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60" yWindow="60" windowWidth="15480" windowHeight="11520"/>
  </bookViews>
  <sheets>
    <sheet name="декабрь (2)" sheetId="18" r:id="rId1"/>
    <sheet name="декабрь" sheetId="17" r:id="rId2"/>
    <sheet name="ноябрь" sheetId="16" r:id="rId3"/>
    <sheet name="август (А.Ю.)" sheetId="15" r:id="rId4"/>
    <sheet name="август" sheetId="14" r:id="rId5"/>
    <sheet name="июль" sheetId="13" r:id="rId6"/>
    <sheet name="июнь " sheetId="12" r:id="rId7"/>
    <sheet name="апрель" sheetId="9" r:id="rId8"/>
    <sheet name="март" sheetId="8" r:id="rId9"/>
    <sheet name="февраль (А.Ю.)" sheetId="7" r:id="rId10"/>
    <sheet name="февраль" sheetId="6" r:id="rId11"/>
    <sheet name="январь" sheetId="5" r:id="rId12"/>
    <sheet name="проект на 2024 (уточн.)" sheetId="3" r:id="rId13"/>
  </sheets>
  <definedNames>
    <definedName name="_xlnm.Print_Titles" localSheetId="4">август!$18:$20</definedName>
    <definedName name="_xlnm.Print_Titles" localSheetId="3">'август (А.Ю.)'!$18:$20</definedName>
    <definedName name="_xlnm.Print_Titles" localSheetId="7">апрель!$17:$19</definedName>
    <definedName name="_xlnm.Print_Titles" localSheetId="1">декабрь!$18:$20</definedName>
    <definedName name="_xlnm.Print_Titles" localSheetId="0">'декабрь (2)'!$21:$23</definedName>
    <definedName name="_xlnm.Print_Titles" localSheetId="5">июль!$18:$20</definedName>
    <definedName name="_xlnm.Print_Titles" localSheetId="6">'июнь '!$17:$19</definedName>
    <definedName name="_xlnm.Print_Titles" localSheetId="8">март!$17:$19</definedName>
    <definedName name="_xlnm.Print_Titles" localSheetId="2">ноябрь!$18:$20</definedName>
    <definedName name="_xlnm.Print_Titles" localSheetId="12">'проект на 2024 (уточн.)'!$17:$19</definedName>
    <definedName name="_xlnm.Print_Titles" localSheetId="10">февраль!$17:$19</definedName>
    <definedName name="_xlnm.Print_Titles" localSheetId="9">'февраль (А.Ю.)'!$17:$19</definedName>
    <definedName name="_xlnm.Print_Titles" localSheetId="11">январь!$17:$19</definedName>
    <definedName name="_xlnm.Print_Area" localSheetId="4">август!$A$2:$O$544</definedName>
    <definedName name="_xlnm.Print_Area" localSheetId="3">'август (А.Ю.)'!$A$2:$O$544</definedName>
    <definedName name="_xlnm.Print_Area" localSheetId="7">апрель!$A$1:$O$497</definedName>
    <definedName name="_xlnm.Print_Area" localSheetId="1">декабрь!$A$2:$O$565</definedName>
    <definedName name="_xlnm.Print_Area" localSheetId="0">'декабрь (2)'!$A$1:$Q$579</definedName>
    <definedName name="_xlnm.Print_Area" localSheetId="5">июль!$A$2:$O$542</definedName>
    <definedName name="_xlnm.Print_Area" localSheetId="6">'июнь '!$A$2:$O$518</definedName>
    <definedName name="_xlnm.Print_Area" localSheetId="8">март!$A$1:$O$477</definedName>
    <definedName name="_xlnm.Print_Area" localSheetId="2">ноябрь!$A$2:$O$562</definedName>
    <definedName name="_xlnm.Print_Area" localSheetId="12">'проект на 2024 (уточн.)'!$A$1:$O$412</definedName>
    <definedName name="_xlnm.Print_Area" localSheetId="10">февраль!$A$1:$O$462</definedName>
    <definedName name="_xlnm.Print_Area" localSheetId="9">'февраль (А.Ю.)'!$A$1:$O$463</definedName>
    <definedName name="_xlnm.Print_Area" localSheetId="11">январь!$A$1:$O$453</definedName>
  </definedNames>
  <calcPr calcId="144525"/>
</workbook>
</file>

<file path=xl/calcChain.xml><?xml version="1.0" encoding="utf-8"?>
<calcChain xmlns="http://schemas.openxmlformats.org/spreadsheetml/2006/main">
  <c r="I314" i="18" l="1"/>
  <c r="O314" i="18" s="1"/>
  <c r="N314" i="18"/>
  <c r="I315" i="18"/>
  <c r="O315" i="18" s="1"/>
  <c r="N315" i="18"/>
  <c r="Q423" i="18" l="1"/>
  <c r="Q277" i="18"/>
  <c r="Q272" i="18"/>
  <c r="Q258" i="18"/>
  <c r="Q252" i="18"/>
  <c r="Q179" i="18"/>
  <c r="Q175" i="18"/>
  <c r="Q163" i="18"/>
  <c r="Q145" i="18"/>
  <c r="Q141" i="18"/>
  <c r="Q122" i="18"/>
  <c r="Q107" i="18" l="1"/>
  <c r="Q100" i="18"/>
  <c r="Q92" i="18"/>
  <c r="Q445" i="18"/>
  <c r="Q396" i="18"/>
  <c r="N572" i="18" l="1"/>
  <c r="M572" i="18"/>
  <c r="I572" i="18"/>
  <c r="O572" i="18" s="1"/>
  <c r="Q382" i="18" l="1"/>
  <c r="Q341" i="18"/>
  <c r="Q80" i="18"/>
  <c r="Q460" i="18" l="1"/>
  <c r="P373" i="18" l="1"/>
  <c r="P372" i="18" s="1"/>
  <c r="P371" i="18" l="1"/>
  <c r="P307" i="18"/>
  <c r="P256" i="18"/>
  <c r="P444" i="18"/>
  <c r="P447" i="18"/>
  <c r="P446" i="18" s="1"/>
  <c r="P544" i="18"/>
  <c r="P538" i="18"/>
  <c r="P532" i="18"/>
  <c r="P527" i="18"/>
  <c r="P519" i="18"/>
  <c r="P506" i="18"/>
  <c r="P504" i="18"/>
  <c r="P502" i="18"/>
  <c r="P493" i="18"/>
  <c r="P487" i="18"/>
  <c r="P485" i="18"/>
  <c r="P255" i="18" l="1"/>
  <c r="P306" i="18"/>
  <c r="P526" i="18"/>
  <c r="P443" i="18"/>
  <c r="P518" i="18"/>
  <c r="P531" i="18"/>
  <c r="P525" i="18" s="1"/>
  <c r="P537" i="18"/>
  <c r="Q99" i="18"/>
  <c r="Q75" i="18"/>
  <c r="P442" i="18" l="1"/>
  <c r="P536" i="18"/>
  <c r="P517" i="18"/>
  <c r="P477" i="18"/>
  <c r="P465" i="18"/>
  <c r="P464" i="18" s="1"/>
  <c r="P470" i="18"/>
  <c r="P459" i="18"/>
  <c r="P453" i="18"/>
  <c r="P452" i="18" s="1"/>
  <c r="P451" i="18" s="1"/>
  <c r="P450" i="18" s="1"/>
  <c r="P438" i="18"/>
  <c r="P431" i="18"/>
  <c r="P430" i="18" s="1"/>
  <c r="P424" i="18"/>
  <c r="P420" i="18"/>
  <c r="P417" i="18"/>
  <c r="P414" i="18"/>
  <c r="P404" i="18"/>
  <c r="P387" i="18"/>
  <c r="P380" i="18"/>
  <c r="P352" i="18"/>
  <c r="P350" i="18"/>
  <c r="P346" i="18"/>
  <c r="P344" i="18"/>
  <c r="P342" i="18"/>
  <c r="P340" i="18"/>
  <c r="P319" i="18"/>
  <c r="P304" i="18"/>
  <c r="P297" i="18"/>
  <c r="P386" i="18" l="1"/>
  <c r="P441" i="18"/>
  <c r="P516" i="18"/>
  <c r="P339" i="18"/>
  <c r="P296" i="18"/>
  <c r="P458" i="18"/>
  <c r="P524" i="18"/>
  <c r="P449" i="18"/>
  <c r="P385" i="18"/>
  <c r="P429" i="18"/>
  <c r="P476" i="18"/>
  <c r="P463" i="18"/>
  <c r="P437" i="18"/>
  <c r="P318" i="18"/>
  <c r="P403" i="18"/>
  <c r="P413" i="18"/>
  <c r="P469" i="18"/>
  <c r="P295" i="18" l="1"/>
  <c r="P440" i="18"/>
  <c r="P338" i="18"/>
  <c r="P457" i="18"/>
  <c r="P523" i="18"/>
  <c r="P515" i="18"/>
  <c r="P399" i="18"/>
  <c r="P317" i="18"/>
  <c r="P475" i="18"/>
  <c r="P468" i="18"/>
  <c r="P428" i="18"/>
  <c r="P294" i="18"/>
  <c r="P436" i="18"/>
  <c r="P288" i="18"/>
  <c r="P552" i="18"/>
  <c r="P560" i="18"/>
  <c r="P263" i="18"/>
  <c r="P251" i="18"/>
  <c r="P243" i="18"/>
  <c r="P240" i="18"/>
  <c r="P236" i="18"/>
  <c r="P232" i="18"/>
  <c r="P228" i="18"/>
  <c r="P216" i="18"/>
  <c r="P208" i="18"/>
  <c r="P206" i="18"/>
  <c r="P201" i="18"/>
  <c r="P196" i="18"/>
  <c r="P193" i="18"/>
  <c r="P185" i="18"/>
  <c r="P178" i="18"/>
  <c r="P174" i="18"/>
  <c r="P170" i="18"/>
  <c r="P168" i="18"/>
  <c r="P162" i="18"/>
  <c r="P158" i="18"/>
  <c r="P150" i="18"/>
  <c r="P147" i="18"/>
  <c r="P146" i="18" s="1"/>
  <c r="P142" i="18"/>
  <c r="P131" i="18"/>
  <c r="P125" i="18"/>
  <c r="P121" i="18"/>
  <c r="P117" i="18"/>
  <c r="P109" i="18"/>
  <c r="P112" i="18"/>
  <c r="P104" i="18"/>
  <c r="P95" i="18"/>
  <c r="P94" i="18" s="1"/>
  <c r="P91" i="18"/>
  <c r="P87" i="18"/>
  <c r="P84" i="18"/>
  <c r="P74" i="18"/>
  <c r="P36" i="18"/>
  <c r="P31" i="18"/>
  <c r="P205" i="18" l="1"/>
  <c r="P108" i="18"/>
  <c r="P177" i="18"/>
  <c r="P120" i="18"/>
  <c r="P161" i="18"/>
  <c r="P184" i="18"/>
  <c r="P130" i="18"/>
  <c r="P398" i="18"/>
  <c r="P397" i="18" s="1"/>
  <c r="P30" i="18"/>
  <c r="P29" i="18" s="1"/>
  <c r="P456" i="18"/>
  <c r="P337" i="18"/>
  <c r="P235" i="18"/>
  <c r="P570" i="18"/>
  <c r="P239" i="18"/>
  <c r="P435" i="18"/>
  <c r="P167" i="18"/>
  <c r="P215" i="18"/>
  <c r="P242" i="18"/>
  <c r="P474" i="18"/>
  <c r="P250" i="18"/>
  <c r="P149" i="18"/>
  <c r="P83" i="18"/>
  <c r="P124" i="18"/>
  <c r="P173" i="18"/>
  <c r="P221" i="18"/>
  <c r="P551" i="18"/>
  <c r="P462" i="18"/>
  <c r="P73" i="18"/>
  <c r="P157" i="18"/>
  <c r="P200" i="18"/>
  <c r="P116" i="18"/>
  <c r="P231" i="18"/>
  <c r="P262" i="18"/>
  <c r="P287" i="18"/>
  <c r="P192" i="18"/>
  <c r="P559" i="18"/>
  <c r="P90" i="18"/>
  <c r="P103" i="18"/>
  <c r="P254" i="18"/>
  <c r="P35" i="18"/>
  <c r="P63" i="18"/>
  <c r="P59" i="18"/>
  <c r="P50" i="18"/>
  <c r="P49" i="18" s="1"/>
  <c r="P42" i="18"/>
  <c r="P176" i="18" l="1"/>
  <c r="P129" i="18"/>
  <c r="P204" i="18"/>
  <c r="P183" i="18"/>
  <c r="P182" i="18" s="1"/>
  <c r="P119" i="18"/>
  <c r="P160" i="18"/>
  <c r="P455" i="18"/>
  <c r="P249" i="18"/>
  <c r="P28" i="18"/>
  <c r="P123" i="18"/>
  <c r="P461" i="18"/>
  <c r="P569" i="18"/>
  <c r="P214" i="18"/>
  <c r="P473" i="18"/>
  <c r="P166" i="18"/>
  <c r="P82" i="18"/>
  <c r="P261" i="18"/>
  <c r="P220" i="18"/>
  <c r="P230" i="18"/>
  <c r="P115" i="18"/>
  <c r="P282" i="18"/>
  <c r="P72" i="18"/>
  <c r="P172" i="18"/>
  <c r="P41" i="18"/>
  <c r="P156" i="18"/>
  <c r="P434" i="18"/>
  <c r="P191" i="18"/>
  <c r="P58" i="18"/>
  <c r="P48" i="18" s="1"/>
  <c r="P550" i="18"/>
  <c r="P89" i="18"/>
  <c r="P102" i="18"/>
  <c r="P248" i="18"/>
  <c r="P34" i="18"/>
  <c r="H122" i="18"/>
  <c r="H69" i="18"/>
  <c r="P128" i="18" l="1"/>
  <c r="P203" i="18"/>
  <c r="P71" i="18"/>
  <c r="P181" i="18"/>
  <c r="P472" i="18"/>
  <c r="P568" i="18"/>
  <c r="P219" i="18"/>
  <c r="P213" i="18"/>
  <c r="P165" i="18"/>
  <c r="P266" i="18"/>
  <c r="P433" i="18"/>
  <c r="P40" i="18"/>
  <c r="P190" i="18"/>
  <c r="P47" i="18"/>
  <c r="P549" i="18"/>
  <c r="P101" i="18"/>
  <c r="P33" i="18"/>
  <c r="H290" i="18"/>
  <c r="H444" i="18"/>
  <c r="H445" i="18"/>
  <c r="H111" i="18"/>
  <c r="H54" i="18"/>
  <c r="H51" i="18"/>
  <c r="H341" i="18"/>
  <c r="P218" i="18" l="1"/>
  <c r="P212" i="18"/>
  <c r="P164" i="18"/>
  <c r="P567" i="18"/>
  <c r="P189" i="18"/>
  <c r="P548" i="18"/>
  <c r="P27" i="18"/>
  <c r="N498" i="18"/>
  <c r="N499" i="18"/>
  <c r="K503" i="18"/>
  <c r="L498" i="18"/>
  <c r="L499" i="18"/>
  <c r="P180" i="18" l="1"/>
  <c r="P566" i="18"/>
  <c r="P547" i="18"/>
  <c r="P26" i="18"/>
  <c r="H126" i="18"/>
  <c r="H355" i="18"/>
  <c r="H96" i="18"/>
  <c r="P546" i="18" l="1"/>
  <c r="H503" i="18"/>
  <c r="K496" i="18"/>
  <c r="H112" i="18"/>
  <c r="H113" i="18"/>
  <c r="K376" i="18"/>
  <c r="L376" i="18" s="1"/>
  <c r="L377" i="18"/>
  <c r="I97" i="18"/>
  <c r="N97" i="18"/>
  <c r="O97" i="18" s="1"/>
  <c r="I534" i="18" l="1"/>
  <c r="H538" i="18"/>
  <c r="N448" i="18" l="1"/>
  <c r="K447" i="18"/>
  <c r="K446" i="18" s="1"/>
  <c r="N446" i="18" s="1"/>
  <c r="L448" i="18"/>
  <c r="O448" i="18" s="1"/>
  <c r="L447" i="18" l="1"/>
  <c r="O447" i="18" s="1"/>
  <c r="N447" i="18"/>
  <c r="L446" i="18"/>
  <c r="O446" i="18" s="1"/>
  <c r="Q446" i="18" s="1"/>
  <c r="K494" i="18"/>
  <c r="N520" i="18" l="1"/>
  <c r="I54" i="18"/>
  <c r="I44" i="18"/>
  <c r="I494" i="18"/>
  <c r="H493" i="18"/>
  <c r="H421" i="18" l="1"/>
  <c r="H492" i="17" l="1"/>
  <c r="I478" i="18" l="1"/>
  <c r="L301" i="18"/>
  <c r="M571" i="18" l="1"/>
  <c r="M570" i="18" s="1"/>
  <c r="M569" i="18" s="1"/>
  <c r="M568" i="18" s="1"/>
  <c r="M567" i="18" s="1"/>
  <c r="M566" i="18" s="1"/>
  <c r="N571" i="18"/>
  <c r="N570" i="18" s="1"/>
  <c r="N569" i="18" s="1"/>
  <c r="N568" i="18" s="1"/>
  <c r="N567" i="18" s="1"/>
  <c r="N566" i="18" s="1"/>
  <c r="L571" i="18"/>
  <c r="J571" i="18"/>
  <c r="J570" i="18" s="1"/>
  <c r="J569" i="18" s="1"/>
  <c r="J568" i="18" s="1"/>
  <c r="J567" i="18" s="1"/>
  <c r="J566" i="18" s="1"/>
  <c r="I571" i="18"/>
  <c r="H571" i="18"/>
  <c r="H570" i="18" s="1"/>
  <c r="H569" i="18" s="1"/>
  <c r="H568" i="18" s="1"/>
  <c r="H567" i="18" s="1"/>
  <c r="H566" i="18" s="1"/>
  <c r="G571" i="18"/>
  <c r="G570" i="18" s="1"/>
  <c r="G569" i="18" s="1"/>
  <c r="G568" i="18" s="1"/>
  <c r="L570" i="18"/>
  <c r="L569" i="18" s="1"/>
  <c r="L568" i="18" s="1"/>
  <c r="L567" i="18" s="1"/>
  <c r="L566" i="18" s="1"/>
  <c r="K570" i="18"/>
  <c r="K569" i="18" s="1"/>
  <c r="K568" i="18" s="1"/>
  <c r="K567" i="18" s="1"/>
  <c r="K566" i="18" s="1"/>
  <c r="K562" i="18" s="1"/>
  <c r="I570" i="18"/>
  <c r="N565" i="18"/>
  <c r="M565" i="18"/>
  <c r="I565" i="18"/>
  <c r="O565" i="18" s="1"/>
  <c r="M564" i="18"/>
  <c r="H564" i="18"/>
  <c r="N564" i="18" s="1"/>
  <c r="N562" i="18"/>
  <c r="N561" i="18"/>
  <c r="M561" i="18"/>
  <c r="M560" i="18" s="1"/>
  <c r="M559" i="18" s="1"/>
  <c r="I561" i="18"/>
  <c r="I560" i="18" s="1"/>
  <c r="L560" i="18"/>
  <c r="L559" i="18" s="1"/>
  <c r="J560" i="18"/>
  <c r="J559" i="18" s="1"/>
  <c r="H560" i="18"/>
  <c r="G560" i="18"/>
  <c r="G559" i="18" s="1"/>
  <c r="K559" i="18"/>
  <c r="K556" i="18" s="1"/>
  <c r="M558" i="18"/>
  <c r="I558" i="18"/>
  <c r="O558" i="18" s="1"/>
  <c r="Q569" i="18" s="1"/>
  <c r="M557" i="18"/>
  <c r="I557" i="18"/>
  <c r="O557" i="18" s="1"/>
  <c r="Q568" i="18" s="1"/>
  <c r="N556" i="18"/>
  <c r="M556" i="18"/>
  <c r="I556" i="18"/>
  <c r="N555" i="18"/>
  <c r="M555" i="18"/>
  <c r="I555" i="18"/>
  <c r="O555" i="18" s="1"/>
  <c r="H554" i="18"/>
  <c r="N554" i="18" s="1"/>
  <c r="G554" i="18"/>
  <c r="M554" i="18" s="1"/>
  <c r="N553" i="18"/>
  <c r="M553" i="18"/>
  <c r="I553" i="18"/>
  <c r="O553" i="18" s="1"/>
  <c r="Q553" i="18" s="1"/>
  <c r="L552" i="18"/>
  <c r="J552" i="18"/>
  <c r="J551" i="18" s="1"/>
  <c r="H552" i="18"/>
  <c r="G552" i="18"/>
  <c r="L551" i="18"/>
  <c r="L550" i="18" s="1"/>
  <c r="L549" i="18" s="1"/>
  <c r="L548" i="18" s="1"/>
  <c r="L547" i="18" s="1"/>
  <c r="K550" i="18"/>
  <c r="N545" i="18"/>
  <c r="M545" i="18"/>
  <c r="I545" i="18"/>
  <c r="O545" i="18" s="1"/>
  <c r="Q545" i="18" s="1"/>
  <c r="H544" i="18"/>
  <c r="N544" i="18" s="1"/>
  <c r="G544" i="18"/>
  <c r="M544" i="18" s="1"/>
  <c r="N543" i="18"/>
  <c r="M543" i="18"/>
  <c r="I543" i="18"/>
  <c r="O543" i="18" s="1"/>
  <c r="N542" i="18"/>
  <c r="M542" i="18"/>
  <c r="I542" i="18"/>
  <c r="O542" i="18" s="1"/>
  <c r="N541" i="18"/>
  <c r="I541" i="18"/>
  <c r="O541" i="18" s="1"/>
  <c r="Q541" i="18" s="1"/>
  <c r="H540" i="18"/>
  <c r="N540" i="18" s="1"/>
  <c r="N539" i="18"/>
  <c r="M539" i="18"/>
  <c r="I539" i="18"/>
  <c r="L538" i="18"/>
  <c r="J538" i="18"/>
  <c r="J537" i="18" s="1"/>
  <c r="J536" i="18" s="1"/>
  <c r="G538" i="18"/>
  <c r="G537" i="18" s="1"/>
  <c r="G536" i="18" s="1"/>
  <c r="L537" i="18"/>
  <c r="L536" i="18" s="1"/>
  <c r="K537" i="18"/>
  <c r="K536" i="18"/>
  <c r="O535" i="18"/>
  <c r="Q535" i="18" s="1"/>
  <c r="M535" i="18"/>
  <c r="I535" i="18"/>
  <c r="G535" i="18"/>
  <c r="G532" i="18" s="1"/>
  <c r="G531" i="18" s="1"/>
  <c r="N534" i="18"/>
  <c r="M534" i="18"/>
  <c r="N533" i="18"/>
  <c r="M533" i="18"/>
  <c r="I533" i="18"/>
  <c r="L532" i="18"/>
  <c r="L531" i="18" s="1"/>
  <c r="J532" i="18"/>
  <c r="J531" i="18" s="1"/>
  <c r="H532" i="18"/>
  <c r="H531" i="18" s="1"/>
  <c r="K531" i="18"/>
  <c r="O530" i="18"/>
  <c r="Q530" i="18" s="1"/>
  <c r="N530" i="18"/>
  <c r="M530" i="18"/>
  <c r="N529" i="18"/>
  <c r="M529" i="18"/>
  <c r="I529" i="18"/>
  <c r="N528" i="18"/>
  <c r="M528" i="18"/>
  <c r="L528" i="18"/>
  <c r="L527" i="18" s="1"/>
  <c r="L526" i="18" s="1"/>
  <c r="I528" i="18"/>
  <c r="I527" i="18" s="1"/>
  <c r="I526" i="18" s="1"/>
  <c r="K527" i="18"/>
  <c r="K526" i="18" s="1"/>
  <c r="K525" i="18" s="1"/>
  <c r="K524" i="18" s="1"/>
  <c r="K523" i="18" s="1"/>
  <c r="J527" i="18"/>
  <c r="J526" i="18" s="1"/>
  <c r="H527" i="18"/>
  <c r="H526" i="18" s="1"/>
  <c r="G527" i="18"/>
  <c r="N522" i="18"/>
  <c r="M522" i="18"/>
  <c r="I522" i="18"/>
  <c r="O522" i="18" s="1"/>
  <c r="Q522" i="18" s="1"/>
  <c r="N521" i="18"/>
  <c r="G521" i="18"/>
  <c r="M521" i="18" s="1"/>
  <c r="L520" i="18"/>
  <c r="L519" i="18" s="1"/>
  <c r="L518" i="18" s="1"/>
  <c r="L517" i="18" s="1"/>
  <c r="L516" i="18" s="1"/>
  <c r="L515" i="18" s="1"/>
  <c r="I520" i="18"/>
  <c r="G520" i="18"/>
  <c r="G519" i="18" s="1"/>
  <c r="N519" i="18"/>
  <c r="N518" i="18" s="1"/>
  <c r="N517" i="18" s="1"/>
  <c r="N516" i="18" s="1"/>
  <c r="N515" i="18" s="1"/>
  <c r="K519" i="18"/>
  <c r="K518" i="18" s="1"/>
  <c r="K517" i="18" s="1"/>
  <c r="K516" i="18" s="1"/>
  <c r="K515" i="18" s="1"/>
  <c r="J519" i="18"/>
  <c r="J518" i="18" s="1"/>
  <c r="J517" i="18" s="1"/>
  <c r="J516" i="18" s="1"/>
  <c r="J515" i="18" s="1"/>
  <c r="H518" i="18"/>
  <c r="H517" i="18" s="1"/>
  <c r="H516" i="18" s="1"/>
  <c r="H515" i="18" s="1"/>
  <c r="N514" i="18"/>
  <c r="I514" i="18"/>
  <c r="I513" i="18"/>
  <c r="O513" i="18" s="1"/>
  <c r="Q513" i="18" s="1"/>
  <c r="H513" i="18"/>
  <c r="I512" i="18" s="1"/>
  <c r="O512" i="18" s="1"/>
  <c r="Q512" i="18" s="1"/>
  <c r="O510" i="18"/>
  <c r="Q510" i="18" s="1"/>
  <c r="M510" i="18"/>
  <c r="O509" i="18"/>
  <c r="M509" i="18"/>
  <c r="P509" i="18" s="1"/>
  <c r="Q509" i="18" s="1"/>
  <c r="O508" i="18"/>
  <c r="M508" i="18"/>
  <c r="P508" i="18" s="1"/>
  <c r="O507" i="18"/>
  <c r="Q507" i="18" s="1"/>
  <c r="N507" i="18"/>
  <c r="N506" i="18" s="1"/>
  <c r="M507" i="18"/>
  <c r="M506" i="18" s="1"/>
  <c r="L506" i="18"/>
  <c r="J506" i="18"/>
  <c r="I506" i="18"/>
  <c r="H506" i="18"/>
  <c r="G506" i="18"/>
  <c r="N505" i="18"/>
  <c r="N504" i="18" s="1"/>
  <c r="M505" i="18"/>
  <c r="M504" i="18" s="1"/>
  <c r="L505" i="18"/>
  <c r="L504" i="18" s="1"/>
  <c r="K504" i="18"/>
  <c r="J504" i="18"/>
  <c r="N503" i="18"/>
  <c r="M503" i="18"/>
  <c r="M502" i="18" s="1"/>
  <c r="L503" i="18"/>
  <c r="L502" i="18" s="1"/>
  <c r="I503" i="18"/>
  <c r="K502" i="18"/>
  <c r="J502" i="18"/>
  <c r="H502" i="18"/>
  <c r="G502" i="18"/>
  <c r="N501" i="18"/>
  <c r="M501" i="18"/>
  <c r="L501" i="18"/>
  <c r="I501" i="18"/>
  <c r="K500" i="18"/>
  <c r="J500" i="18"/>
  <c r="H500" i="18"/>
  <c r="G500" i="18"/>
  <c r="M499" i="18"/>
  <c r="I499" i="18"/>
  <c r="O499" i="18" s="1"/>
  <c r="Q499" i="18" s="1"/>
  <c r="M498" i="18"/>
  <c r="H498" i="18"/>
  <c r="O497" i="18"/>
  <c r="Q497" i="18" s="1"/>
  <c r="N497" i="18"/>
  <c r="M497" i="18"/>
  <c r="N496" i="18"/>
  <c r="L496" i="18"/>
  <c r="I496" i="18"/>
  <c r="G496" i="18"/>
  <c r="M496" i="18" s="1"/>
  <c r="N495" i="18"/>
  <c r="M495" i="18"/>
  <c r="I495" i="18"/>
  <c r="O495" i="18" s="1"/>
  <c r="Q495" i="18" s="1"/>
  <c r="N494" i="18"/>
  <c r="M494" i="18"/>
  <c r="L494" i="18"/>
  <c r="K493" i="18"/>
  <c r="J493" i="18"/>
  <c r="O489" i="18"/>
  <c r="N489" i="18"/>
  <c r="M489" i="18"/>
  <c r="L489" i="18"/>
  <c r="J489" i="18"/>
  <c r="I489" i="18"/>
  <c r="G489" i="18"/>
  <c r="O488" i="18"/>
  <c r="Q488" i="18" s="1"/>
  <c r="N488" i="18"/>
  <c r="N487" i="18" s="1"/>
  <c r="M488" i="18"/>
  <c r="M487" i="18" s="1"/>
  <c r="L487" i="18"/>
  <c r="J487" i="18"/>
  <c r="I487" i="18"/>
  <c r="G487" i="18"/>
  <c r="N486" i="18"/>
  <c r="N485" i="18" s="1"/>
  <c r="M486" i="18"/>
  <c r="M485" i="18" s="1"/>
  <c r="I486" i="18"/>
  <c r="I485" i="18" s="1"/>
  <c r="L485" i="18"/>
  <c r="J485" i="18"/>
  <c r="H485" i="18"/>
  <c r="H484" i="18" s="1"/>
  <c r="H483" i="18" s="1"/>
  <c r="G485" i="18"/>
  <c r="K484" i="18"/>
  <c r="K483" i="18" s="1"/>
  <c r="O478" i="18"/>
  <c r="Q478" i="18" s="1"/>
  <c r="N478" i="18"/>
  <c r="N477" i="18" s="1"/>
  <c r="N476" i="18" s="1"/>
  <c r="N475" i="18" s="1"/>
  <c r="N474" i="18" s="1"/>
  <c r="N473" i="18" s="1"/>
  <c r="N472" i="18" s="1"/>
  <c r="M478" i="18"/>
  <c r="M477" i="18" s="1"/>
  <c r="M476" i="18" s="1"/>
  <c r="M475" i="18" s="1"/>
  <c r="M474" i="18" s="1"/>
  <c r="M473" i="18" s="1"/>
  <c r="M472" i="18" s="1"/>
  <c r="L477" i="18"/>
  <c r="L476" i="18" s="1"/>
  <c r="L475" i="18" s="1"/>
  <c r="L474" i="18" s="1"/>
  <c r="L473" i="18" s="1"/>
  <c r="L472" i="18" s="1"/>
  <c r="J477" i="18"/>
  <c r="J476" i="18" s="1"/>
  <c r="J475" i="18" s="1"/>
  <c r="J474" i="18" s="1"/>
  <c r="J473" i="18" s="1"/>
  <c r="J472" i="18" s="1"/>
  <c r="I477" i="18"/>
  <c r="I476" i="18" s="1"/>
  <c r="H476" i="18"/>
  <c r="H475" i="18" s="1"/>
  <c r="H474" i="18" s="1"/>
  <c r="H473" i="18" s="1"/>
  <c r="H472" i="18" s="1"/>
  <c r="G477" i="18"/>
  <c r="G476" i="18" s="1"/>
  <c r="G475" i="18" s="1"/>
  <c r="K476" i="18"/>
  <c r="K475" i="18" s="1"/>
  <c r="K474" i="18" s="1"/>
  <c r="K473" i="18" s="1"/>
  <c r="K472" i="18" s="1"/>
  <c r="K471" i="18" s="1"/>
  <c r="O470" i="18"/>
  <c r="N470" i="18"/>
  <c r="N469" i="18" s="1"/>
  <c r="N468" i="18" s="1"/>
  <c r="M470" i="18"/>
  <c r="M469" i="18" s="1"/>
  <c r="M468" i="18" s="1"/>
  <c r="L470" i="18"/>
  <c r="L469" i="18" s="1"/>
  <c r="L468" i="18" s="1"/>
  <c r="J470" i="18"/>
  <c r="J469" i="18" s="1"/>
  <c r="J468" i="18" s="1"/>
  <c r="I470" i="18"/>
  <c r="I469" i="18" s="1"/>
  <c r="I468" i="18" s="1"/>
  <c r="G470" i="18"/>
  <c r="K469" i="18"/>
  <c r="K468" i="18" s="1"/>
  <c r="H469" i="18"/>
  <c r="H468" i="18" s="1"/>
  <c r="O465" i="18"/>
  <c r="N465" i="18"/>
  <c r="N464" i="18" s="1"/>
  <c r="N463" i="18" s="1"/>
  <c r="M465" i="18"/>
  <c r="M464" i="18" s="1"/>
  <c r="M463" i="18" s="1"/>
  <c r="L465" i="18"/>
  <c r="L464" i="18" s="1"/>
  <c r="L463" i="18" s="1"/>
  <c r="J465" i="18"/>
  <c r="J464" i="18" s="1"/>
  <c r="J463" i="18" s="1"/>
  <c r="I465" i="18"/>
  <c r="I464" i="18" s="1"/>
  <c r="I463" i="18" s="1"/>
  <c r="G465" i="18"/>
  <c r="G464" i="18" s="1"/>
  <c r="K464" i="18"/>
  <c r="K463" i="18" s="1"/>
  <c r="K462" i="18" s="1"/>
  <c r="K461" i="18" s="1"/>
  <c r="H464" i="18"/>
  <c r="H463" i="18" s="1"/>
  <c r="H462" i="18" s="1"/>
  <c r="H461" i="18" s="1"/>
  <c r="O459" i="18"/>
  <c r="Q459" i="18" s="1"/>
  <c r="N459" i="18"/>
  <c r="N458" i="18" s="1"/>
  <c r="N457" i="18" s="1"/>
  <c r="N456" i="18" s="1"/>
  <c r="N455" i="18" s="1"/>
  <c r="M459" i="18"/>
  <c r="M458" i="18" s="1"/>
  <c r="M457" i="18" s="1"/>
  <c r="M456" i="18" s="1"/>
  <c r="M455" i="18" s="1"/>
  <c r="L459" i="18"/>
  <c r="L458" i="18" s="1"/>
  <c r="L457" i="18" s="1"/>
  <c r="L456" i="18" s="1"/>
  <c r="L455" i="18" s="1"/>
  <c r="J459" i="18"/>
  <c r="J458" i="18" s="1"/>
  <c r="J457" i="18" s="1"/>
  <c r="J456" i="18" s="1"/>
  <c r="J455" i="18" s="1"/>
  <c r="I459" i="18"/>
  <c r="I458" i="18" s="1"/>
  <c r="I457" i="18" s="1"/>
  <c r="I456" i="18" s="1"/>
  <c r="I455" i="18" s="1"/>
  <c r="G459" i="18"/>
  <c r="K458" i="18"/>
  <c r="K457" i="18" s="1"/>
  <c r="K456" i="18" s="1"/>
  <c r="K455" i="18" s="1"/>
  <c r="H458" i="18"/>
  <c r="H457" i="18" s="1"/>
  <c r="H456" i="18" s="1"/>
  <c r="H455" i="18" s="1"/>
  <c r="N454" i="18"/>
  <c r="N453" i="18" s="1"/>
  <c r="N452" i="18" s="1"/>
  <c r="N451" i="18" s="1"/>
  <c r="N450" i="18" s="1"/>
  <c r="N449" i="18" s="1"/>
  <c r="M454" i="18"/>
  <c r="M453" i="18" s="1"/>
  <c r="M452" i="18" s="1"/>
  <c r="M451" i="18" s="1"/>
  <c r="M450" i="18" s="1"/>
  <c r="M449" i="18" s="1"/>
  <c r="L454" i="18"/>
  <c r="L453" i="18" s="1"/>
  <c r="L452" i="18" s="1"/>
  <c r="L451" i="18" s="1"/>
  <c r="L450" i="18" s="1"/>
  <c r="L449" i="18" s="1"/>
  <c r="I454" i="18"/>
  <c r="I453" i="18" s="1"/>
  <c r="I452" i="18" s="1"/>
  <c r="I451" i="18" s="1"/>
  <c r="I450" i="18" s="1"/>
  <c r="K453" i="18"/>
  <c r="K452" i="18" s="1"/>
  <c r="K451" i="18" s="1"/>
  <c r="K450" i="18" s="1"/>
  <c r="K449" i="18" s="1"/>
  <c r="J453" i="18"/>
  <c r="J452" i="18" s="1"/>
  <c r="J451" i="18" s="1"/>
  <c r="J450" i="18" s="1"/>
  <c r="J449" i="18" s="1"/>
  <c r="H453" i="18"/>
  <c r="H452" i="18" s="1"/>
  <c r="H451" i="18" s="1"/>
  <c r="H450" i="18" s="1"/>
  <c r="H449" i="18" s="1"/>
  <c r="G453" i="18"/>
  <c r="N445" i="18"/>
  <c r="M445" i="18"/>
  <c r="M444" i="18" s="1"/>
  <c r="M443" i="18" s="1"/>
  <c r="M442" i="18" s="1"/>
  <c r="M441" i="18" s="1"/>
  <c r="M440" i="18" s="1"/>
  <c r="I445" i="18"/>
  <c r="L444" i="18"/>
  <c r="L443" i="18" s="1"/>
  <c r="L442" i="18" s="1"/>
  <c r="L441" i="18" s="1"/>
  <c r="L440" i="18" s="1"/>
  <c r="J444" i="18"/>
  <c r="J443" i="18" s="1"/>
  <c r="J442" i="18" s="1"/>
  <c r="J441" i="18" s="1"/>
  <c r="J440" i="18" s="1"/>
  <c r="H443" i="18"/>
  <c r="H442" i="18" s="1"/>
  <c r="H441" i="18" s="1"/>
  <c r="H440" i="18" s="1"/>
  <c r="G444" i="18"/>
  <c r="G443" i="18" s="1"/>
  <c r="K443" i="18"/>
  <c r="K442" i="18" s="1"/>
  <c r="K441" i="18" s="1"/>
  <c r="K440" i="18" s="1"/>
  <c r="N439" i="18"/>
  <c r="N438" i="18" s="1"/>
  <c r="N437" i="18" s="1"/>
  <c r="N436" i="18" s="1"/>
  <c r="N435" i="18" s="1"/>
  <c r="N434" i="18" s="1"/>
  <c r="M439" i="18"/>
  <c r="I439" i="18"/>
  <c r="I438" i="18" s="1"/>
  <c r="I437" i="18" s="1"/>
  <c r="I436" i="18" s="1"/>
  <c r="L438" i="18"/>
  <c r="L437" i="18" s="1"/>
  <c r="L436" i="18" s="1"/>
  <c r="L435" i="18" s="1"/>
  <c r="L434" i="18" s="1"/>
  <c r="J438" i="18"/>
  <c r="J437" i="18" s="1"/>
  <c r="J436" i="18" s="1"/>
  <c r="J435" i="18" s="1"/>
  <c r="J434" i="18" s="1"/>
  <c r="H438" i="18"/>
  <c r="H437" i="18" s="1"/>
  <c r="H436" i="18" s="1"/>
  <c r="H435" i="18" s="1"/>
  <c r="H434" i="18" s="1"/>
  <c r="G438" i="18"/>
  <c r="K437" i="18"/>
  <c r="K436" i="18" s="1"/>
  <c r="K435" i="18" s="1"/>
  <c r="K434" i="18" s="1"/>
  <c r="O431" i="18"/>
  <c r="N431" i="18"/>
  <c r="N430" i="18" s="1"/>
  <c r="N429" i="18" s="1"/>
  <c r="N428" i="18" s="1"/>
  <c r="M431" i="18"/>
  <c r="M430" i="18" s="1"/>
  <c r="M429" i="18" s="1"/>
  <c r="M428" i="18" s="1"/>
  <c r="L431" i="18"/>
  <c r="L430" i="18" s="1"/>
  <c r="L429" i="18" s="1"/>
  <c r="L428" i="18" s="1"/>
  <c r="J431" i="18"/>
  <c r="J430" i="18" s="1"/>
  <c r="J429" i="18" s="1"/>
  <c r="J428" i="18" s="1"/>
  <c r="I431" i="18"/>
  <c r="I430" i="18" s="1"/>
  <c r="G431" i="18"/>
  <c r="G430" i="18" s="1"/>
  <c r="K430" i="18"/>
  <c r="K429" i="18" s="1"/>
  <c r="K428" i="18" s="1"/>
  <c r="H430" i="18"/>
  <c r="H429" i="18" s="1"/>
  <c r="H428" i="18" s="1"/>
  <c r="N427" i="18"/>
  <c r="M427" i="18"/>
  <c r="L427" i="18"/>
  <c r="O427" i="18" s="1"/>
  <c r="Q438" i="18" s="1"/>
  <c r="N426" i="18"/>
  <c r="M426" i="18"/>
  <c r="P426" i="18" s="1"/>
  <c r="N425" i="18"/>
  <c r="N424" i="18" s="1"/>
  <c r="M425" i="18"/>
  <c r="M424" i="18" s="1"/>
  <c r="I425" i="18"/>
  <c r="I424" i="18" s="1"/>
  <c r="L424" i="18"/>
  <c r="J424" i="18"/>
  <c r="G424" i="18"/>
  <c r="N422" i="18"/>
  <c r="M422" i="18"/>
  <c r="L422" i="18"/>
  <c r="L420" i="18" s="1"/>
  <c r="I422" i="18"/>
  <c r="O422" i="18" s="1"/>
  <c r="Q422" i="18" s="1"/>
  <c r="N421" i="18"/>
  <c r="M421" i="18"/>
  <c r="I421" i="18"/>
  <c r="K420" i="18"/>
  <c r="K419" i="18" s="1"/>
  <c r="J420" i="18"/>
  <c r="H420" i="18"/>
  <c r="H419" i="18" s="1"/>
  <c r="G420" i="18"/>
  <c r="N418" i="18"/>
  <c r="N417" i="18" s="1"/>
  <c r="M418" i="18"/>
  <c r="M417" i="18" s="1"/>
  <c r="I418" i="18"/>
  <c r="I417" i="18" s="1"/>
  <c r="L417" i="18"/>
  <c r="J417" i="18"/>
  <c r="H417" i="18"/>
  <c r="G417" i="18"/>
  <c r="N416" i="18"/>
  <c r="M416" i="18"/>
  <c r="L416" i="18"/>
  <c r="I416" i="18"/>
  <c r="N415" i="18"/>
  <c r="M415" i="18"/>
  <c r="L415" i="18"/>
  <c r="I415" i="18"/>
  <c r="K414" i="18"/>
  <c r="K413" i="18" s="1"/>
  <c r="J414" i="18"/>
  <c r="H414" i="18"/>
  <c r="H413" i="18" s="1"/>
  <c r="G414" i="18"/>
  <c r="N409" i="18"/>
  <c r="M409" i="18"/>
  <c r="I409" i="18"/>
  <c r="O409" i="18" s="1"/>
  <c r="H408" i="18"/>
  <c r="N408" i="18" s="1"/>
  <c r="G408" i="18"/>
  <c r="M408" i="18" s="1"/>
  <c r="N407" i="18"/>
  <c r="M407" i="18"/>
  <c r="I407" i="18"/>
  <c r="O407" i="18" s="1"/>
  <c r="Q418" i="18" s="1"/>
  <c r="N406" i="18"/>
  <c r="G406" i="18"/>
  <c r="M406" i="18" s="1"/>
  <c r="N405" i="18"/>
  <c r="M405" i="18"/>
  <c r="M404" i="18" s="1"/>
  <c r="I405" i="18"/>
  <c r="I404" i="18" s="1"/>
  <c r="L404" i="18"/>
  <c r="L403" i="18" s="1"/>
  <c r="J404" i="18"/>
  <c r="J403" i="18" s="1"/>
  <c r="H404" i="18"/>
  <c r="G404" i="18"/>
  <c r="K403" i="18"/>
  <c r="N402" i="18"/>
  <c r="N401" i="18" s="1"/>
  <c r="N400" i="18" s="1"/>
  <c r="M402" i="18"/>
  <c r="M401" i="18" s="1"/>
  <c r="M400" i="18" s="1"/>
  <c r="I402" i="18"/>
  <c r="O402" i="18" s="1"/>
  <c r="L401" i="18"/>
  <c r="L400" i="18" s="1"/>
  <c r="J401" i="18"/>
  <c r="J400" i="18" s="1"/>
  <c r="G401" i="18"/>
  <c r="K400" i="18"/>
  <c r="K399" i="18" s="1"/>
  <c r="K398" i="18" s="1"/>
  <c r="K397" i="18" s="1"/>
  <c r="H400" i="18"/>
  <c r="N395" i="18"/>
  <c r="M395" i="18"/>
  <c r="M393" i="18" s="1"/>
  <c r="I395" i="18"/>
  <c r="M394" i="18"/>
  <c r="I394" i="18"/>
  <c r="H394" i="18"/>
  <c r="N394" i="18" s="1"/>
  <c r="I393" i="18"/>
  <c r="O393" i="18" s="1"/>
  <c r="Q393" i="18" s="1"/>
  <c r="H393" i="18"/>
  <c r="I392" i="18"/>
  <c r="N391" i="18"/>
  <c r="M391" i="18"/>
  <c r="I391" i="18"/>
  <c r="N390" i="18"/>
  <c r="M390" i="18"/>
  <c r="I390" i="18"/>
  <c r="N389" i="18"/>
  <c r="M389" i="18"/>
  <c r="I389" i="18"/>
  <c r="N388" i="18"/>
  <c r="M388" i="18"/>
  <c r="I388" i="18"/>
  <c r="L387" i="18"/>
  <c r="L386" i="18" s="1"/>
  <c r="L385" i="18" s="1"/>
  <c r="J387" i="18"/>
  <c r="J386" i="18" s="1"/>
  <c r="J385" i="18" s="1"/>
  <c r="H387" i="18"/>
  <c r="H386" i="18" s="1"/>
  <c r="H385" i="18" s="1"/>
  <c r="G387" i="18"/>
  <c r="G386" i="18" s="1"/>
  <c r="G385" i="18" s="1"/>
  <c r="K386" i="18"/>
  <c r="K385" i="18" s="1"/>
  <c r="N384" i="18"/>
  <c r="M384" i="18"/>
  <c r="L384" i="18"/>
  <c r="O384" i="18" s="1"/>
  <c r="M383" i="18"/>
  <c r="P383" i="18" s="1"/>
  <c r="K383" i="18"/>
  <c r="N383" i="18" s="1"/>
  <c r="O381" i="18"/>
  <c r="N381" i="18"/>
  <c r="M381" i="18"/>
  <c r="L381" i="18"/>
  <c r="J381" i="18"/>
  <c r="J380" i="18" s="1"/>
  <c r="J379" i="18" s="1"/>
  <c r="J378" i="18" s="1"/>
  <c r="I381" i="18"/>
  <c r="I380" i="18" s="1"/>
  <c r="I379" i="18" s="1"/>
  <c r="I378" i="18" s="1"/>
  <c r="G381" i="18"/>
  <c r="H380" i="18"/>
  <c r="H379" i="18" s="1"/>
  <c r="N377" i="18"/>
  <c r="M377" i="18"/>
  <c r="I377" i="18"/>
  <c r="J376" i="18"/>
  <c r="H376" i="18"/>
  <c r="G376" i="18"/>
  <c r="N375" i="18"/>
  <c r="N374" i="18" s="1"/>
  <c r="M375" i="18"/>
  <c r="M374" i="18" s="1"/>
  <c r="L375" i="18"/>
  <c r="L374" i="18" s="1"/>
  <c r="L373" i="18" s="1"/>
  <c r="L372" i="18" s="1"/>
  <c r="L371" i="18" s="1"/>
  <c r="I375" i="18"/>
  <c r="J374" i="18"/>
  <c r="H374" i="18"/>
  <c r="G374" i="18"/>
  <c r="K373" i="18"/>
  <c r="K372" i="18" s="1"/>
  <c r="K371" i="18" s="1"/>
  <c r="N370" i="18"/>
  <c r="M370" i="18"/>
  <c r="I370" i="18"/>
  <c r="O370" i="18" s="1"/>
  <c r="Q370" i="18" s="1"/>
  <c r="H369" i="18"/>
  <c r="H367" i="18" s="1"/>
  <c r="N367" i="18" s="1"/>
  <c r="G369" i="18"/>
  <c r="G367" i="18" s="1"/>
  <c r="M367" i="18" s="1"/>
  <c r="M365" i="18"/>
  <c r="L365" i="18"/>
  <c r="L364" i="18" s="1"/>
  <c r="I365" i="18"/>
  <c r="H365" i="18"/>
  <c r="H364" i="18" s="1"/>
  <c r="K364" i="18"/>
  <c r="J364" i="18"/>
  <c r="G364" i="18"/>
  <c r="I364" i="18" s="1"/>
  <c r="N363" i="18"/>
  <c r="M363" i="18"/>
  <c r="L363" i="18"/>
  <c r="I363" i="18"/>
  <c r="N362" i="18"/>
  <c r="M362" i="18"/>
  <c r="L362" i="18"/>
  <c r="I362" i="18"/>
  <c r="N361" i="18"/>
  <c r="M361" i="18"/>
  <c r="I361" i="18"/>
  <c r="M360" i="18"/>
  <c r="L360" i="18"/>
  <c r="I360" i="18"/>
  <c r="H360" i="18"/>
  <c r="N360" i="18" s="1"/>
  <c r="N359" i="18"/>
  <c r="L359" i="18"/>
  <c r="O359" i="18" s="1"/>
  <c r="N358" i="18"/>
  <c r="L358" i="18"/>
  <c r="O358" i="18" s="1"/>
  <c r="N357" i="18"/>
  <c r="L357" i="18"/>
  <c r="O357" i="18" s="1"/>
  <c r="Q368" i="18" s="1"/>
  <c r="N356" i="18"/>
  <c r="L356" i="18"/>
  <c r="O356" i="18" s="1"/>
  <c r="N355" i="18"/>
  <c r="N354" i="18" s="1"/>
  <c r="M355" i="18"/>
  <c r="M354" i="18" s="1"/>
  <c r="L355" i="18"/>
  <c r="L354" i="18" s="1"/>
  <c r="I355" i="18"/>
  <c r="O355" i="18" s="1"/>
  <c r="Q355" i="18" s="1"/>
  <c r="K354" i="18"/>
  <c r="J354" i="18"/>
  <c r="H354" i="18"/>
  <c r="G354" i="18"/>
  <c r="N353" i="18"/>
  <c r="N352" i="18" s="1"/>
  <c r="M353" i="18"/>
  <c r="M352" i="18" s="1"/>
  <c r="I353" i="18"/>
  <c r="L352" i="18"/>
  <c r="J352" i="18"/>
  <c r="H352" i="18"/>
  <c r="G352" i="18"/>
  <c r="N351" i="18"/>
  <c r="N350" i="18" s="1"/>
  <c r="M351" i="18"/>
  <c r="M350" i="18" s="1"/>
  <c r="L351" i="18"/>
  <c r="L350" i="18" s="1"/>
  <c r="I351" i="18"/>
  <c r="I350" i="18" s="1"/>
  <c r="K350" i="18"/>
  <c r="J350" i="18"/>
  <c r="H350" i="18"/>
  <c r="N349" i="18"/>
  <c r="M349" i="18"/>
  <c r="I349" i="18"/>
  <c r="O349" i="18" s="1"/>
  <c r="N348" i="18"/>
  <c r="M348" i="18"/>
  <c r="I348" i="18"/>
  <c r="O348" i="18" s="1"/>
  <c r="N347" i="18"/>
  <c r="N346" i="18" s="1"/>
  <c r="M347" i="18"/>
  <c r="M346" i="18" s="1"/>
  <c r="I347" i="18"/>
  <c r="O347" i="18" s="1"/>
  <c r="Q347" i="18" s="1"/>
  <c r="L346" i="18"/>
  <c r="J346" i="18"/>
  <c r="H346" i="18"/>
  <c r="G346" i="18"/>
  <c r="N345" i="18"/>
  <c r="N344" i="18" s="1"/>
  <c r="M345" i="18"/>
  <c r="M344" i="18" s="1"/>
  <c r="I345" i="18"/>
  <c r="O345" i="18" s="1"/>
  <c r="Q345" i="18" s="1"/>
  <c r="L344" i="18"/>
  <c r="J344" i="18"/>
  <c r="H344" i="18"/>
  <c r="G344" i="18"/>
  <c r="N343" i="18"/>
  <c r="N342" i="18" s="1"/>
  <c r="M343" i="18"/>
  <c r="M342" i="18" s="1"/>
  <c r="L343" i="18"/>
  <c r="L342" i="18" s="1"/>
  <c r="I343" i="18"/>
  <c r="I342" i="18" s="1"/>
  <c r="K342" i="18"/>
  <c r="J342" i="18"/>
  <c r="H342" i="18"/>
  <c r="G342" i="18"/>
  <c r="N341" i="18"/>
  <c r="N340" i="18" s="1"/>
  <c r="M341" i="18"/>
  <c r="M340" i="18" s="1"/>
  <c r="I341" i="18"/>
  <c r="O340" i="18" s="1"/>
  <c r="Q340" i="18" s="1"/>
  <c r="L340" i="18"/>
  <c r="J340" i="18"/>
  <c r="H340" i="18"/>
  <c r="G340" i="18"/>
  <c r="O335" i="18"/>
  <c r="O334" i="18"/>
  <c r="N333" i="18"/>
  <c r="M333" i="18"/>
  <c r="I333" i="18"/>
  <c r="O333" i="18" s="1"/>
  <c r="N332" i="18"/>
  <c r="M332" i="18"/>
  <c r="L332" i="18"/>
  <c r="I332" i="18"/>
  <c r="L331" i="18"/>
  <c r="L330" i="18" s="1"/>
  <c r="L329" i="18" s="1"/>
  <c r="H331" i="18"/>
  <c r="H330" i="18" s="1"/>
  <c r="H329" i="18" s="1"/>
  <c r="G331" i="18"/>
  <c r="K330" i="18"/>
  <c r="J330" i="18"/>
  <c r="J329" i="18" s="1"/>
  <c r="N328" i="18"/>
  <c r="M328" i="18"/>
  <c r="I328" i="18"/>
  <c r="H327" i="18"/>
  <c r="N327" i="18" s="1"/>
  <c r="H326" i="18"/>
  <c r="H325" i="18" s="1"/>
  <c r="H324" i="18" s="1"/>
  <c r="G326" i="18"/>
  <c r="M326" i="18" s="1"/>
  <c r="M325" i="18" s="1"/>
  <c r="M324" i="18" s="1"/>
  <c r="L325" i="18"/>
  <c r="L324" i="18" s="1"/>
  <c r="K325" i="18"/>
  <c r="K324" i="18" s="1"/>
  <c r="J325" i="18"/>
  <c r="J324" i="18" s="1"/>
  <c r="N323" i="18"/>
  <c r="N322" i="18" s="1"/>
  <c r="M323" i="18"/>
  <c r="M322" i="18" s="1"/>
  <c r="L323" i="18"/>
  <c r="O323" i="18" s="1"/>
  <c r="Q323" i="18" s="1"/>
  <c r="J322" i="18"/>
  <c r="I322" i="18"/>
  <c r="H322" i="18"/>
  <c r="G322" i="18"/>
  <c r="N321" i="18"/>
  <c r="M321" i="18"/>
  <c r="I321" i="18"/>
  <c r="N320" i="18"/>
  <c r="M320" i="18"/>
  <c r="K320" i="18"/>
  <c r="I320" i="18"/>
  <c r="O320" i="18" s="1"/>
  <c r="Q320" i="18" s="1"/>
  <c r="L319" i="18"/>
  <c r="J319" i="18"/>
  <c r="H319" i="18"/>
  <c r="G319" i="18"/>
  <c r="K318" i="18"/>
  <c r="K317" i="18" s="1"/>
  <c r="Q326" i="18"/>
  <c r="Q325" i="18"/>
  <c r="N313" i="18"/>
  <c r="M313" i="18"/>
  <c r="I313" i="18"/>
  <c r="I312" i="18" s="1"/>
  <c r="H312" i="18"/>
  <c r="N312" i="18" s="1"/>
  <c r="G312" i="18"/>
  <c r="M312" i="18" s="1"/>
  <c r="N310" i="18"/>
  <c r="M310" i="18"/>
  <c r="I310" i="18"/>
  <c r="O310" i="18" s="1"/>
  <c r="Q310" i="18" s="1"/>
  <c r="N309" i="18"/>
  <c r="J309" i="18"/>
  <c r="J308" i="18" s="1"/>
  <c r="J307" i="18" s="1"/>
  <c r="J306" i="18" s="1"/>
  <c r="G309" i="18"/>
  <c r="I309" i="18" s="1"/>
  <c r="O309" i="18" s="1"/>
  <c r="Q309" i="18" s="1"/>
  <c r="N308" i="18"/>
  <c r="L306" i="18"/>
  <c r="K306" i="18"/>
  <c r="N305" i="18"/>
  <c r="N304" i="18" s="1"/>
  <c r="M305" i="18"/>
  <c r="M304" i="18" s="1"/>
  <c r="L305" i="18"/>
  <c r="L304" i="18" s="1"/>
  <c r="I305" i="18"/>
  <c r="I304" i="18" s="1"/>
  <c r="J304" i="18"/>
  <c r="G304" i="18"/>
  <c r="N303" i="18"/>
  <c r="N302" i="18" s="1"/>
  <c r="L303" i="18"/>
  <c r="L302" i="18" s="1"/>
  <c r="J303" i="18"/>
  <c r="J302" i="18" s="1"/>
  <c r="I303" i="18"/>
  <c r="I302" i="18" s="1"/>
  <c r="H302" i="18"/>
  <c r="G302" i="18"/>
  <c r="O301" i="18"/>
  <c r="N301" i="18"/>
  <c r="N300" i="18" s="1"/>
  <c r="M301" i="18"/>
  <c r="M300" i="18" s="1"/>
  <c r="L300" i="18"/>
  <c r="K300" i="18"/>
  <c r="J300" i="18"/>
  <c r="I300" i="18"/>
  <c r="H300" i="18"/>
  <c r="G300" i="18"/>
  <c r="N299" i="18"/>
  <c r="M299" i="18"/>
  <c r="I299" i="18"/>
  <c r="N298" i="18"/>
  <c r="M298" i="18"/>
  <c r="L298" i="18"/>
  <c r="L297" i="18" s="1"/>
  <c r="I298" i="18"/>
  <c r="K297" i="18"/>
  <c r="J297" i="18"/>
  <c r="H297" i="18"/>
  <c r="G297" i="18"/>
  <c r="N292" i="18"/>
  <c r="M292" i="18"/>
  <c r="M291" i="18" s="1"/>
  <c r="I292" i="18"/>
  <c r="I291" i="18" s="1"/>
  <c r="L291" i="18"/>
  <c r="J291" i="18"/>
  <c r="H291" i="18"/>
  <c r="G291" i="18"/>
  <c r="N290" i="18"/>
  <c r="N289" i="18" s="1"/>
  <c r="M290" i="18"/>
  <c r="M289" i="18" s="1"/>
  <c r="I290" i="18"/>
  <c r="I289" i="18" s="1"/>
  <c r="L289" i="18"/>
  <c r="J289" i="18"/>
  <c r="H289" i="18"/>
  <c r="G289" i="18"/>
  <c r="K288" i="18"/>
  <c r="K287" i="18" s="1"/>
  <c r="K282" i="18" s="1"/>
  <c r="K267" i="18" s="1"/>
  <c r="N286" i="18"/>
  <c r="I286" i="18"/>
  <c r="O286" i="18" s="1"/>
  <c r="Q286" i="18" s="1"/>
  <c r="H285" i="18"/>
  <c r="H284" i="18" s="1"/>
  <c r="N281" i="18"/>
  <c r="I281" i="18"/>
  <c r="N280" i="18"/>
  <c r="I280" i="18"/>
  <c r="O280" i="18" s="1"/>
  <c r="Q280" i="18" s="1"/>
  <c r="I279" i="18"/>
  <c r="I278" i="18"/>
  <c r="N276" i="18"/>
  <c r="M276" i="18"/>
  <c r="I276" i="18"/>
  <c r="N275" i="18"/>
  <c r="M275" i="18"/>
  <c r="I275" i="18"/>
  <c r="H274" i="18"/>
  <c r="H273" i="18" s="1"/>
  <c r="G274" i="18"/>
  <c r="M274" i="18" s="1"/>
  <c r="N271" i="18"/>
  <c r="I271" i="18"/>
  <c r="O271" i="18" s="1"/>
  <c r="Q271" i="18" s="1"/>
  <c r="N270" i="18"/>
  <c r="N268" i="18" s="1"/>
  <c r="I270" i="18"/>
  <c r="O270" i="18" s="1"/>
  <c r="Q270" i="18" s="1"/>
  <c r="N269" i="18"/>
  <c r="I269" i="18"/>
  <c r="N264" i="18"/>
  <c r="N263" i="18" s="1"/>
  <c r="N262" i="18" s="1"/>
  <c r="N261" i="18" s="1"/>
  <c r="M264" i="18"/>
  <c r="M263" i="18" s="1"/>
  <c r="M262" i="18" s="1"/>
  <c r="M261" i="18" s="1"/>
  <c r="I264" i="18"/>
  <c r="O264" i="18" s="1"/>
  <c r="L263" i="18"/>
  <c r="L262" i="18" s="1"/>
  <c r="L261" i="18" s="1"/>
  <c r="J263" i="18"/>
  <c r="J262" i="18" s="1"/>
  <c r="J261" i="18" s="1"/>
  <c r="H263" i="18"/>
  <c r="H262" i="18" s="1"/>
  <c r="H261" i="18" s="1"/>
  <c r="G263" i="18"/>
  <c r="G262" i="18" s="1"/>
  <c r="K262" i="18"/>
  <c r="K261" i="18" s="1"/>
  <c r="O260" i="18"/>
  <c r="Q260" i="18" s="1"/>
  <c r="N260" i="18"/>
  <c r="I260" i="18"/>
  <c r="O259" i="18"/>
  <c r="Q259" i="18" s="1"/>
  <c r="N259" i="18"/>
  <c r="I259" i="18"/>
  <c r="N257" i="18"/>
  <c r="N256" i="18" s="1"/>
  <c r="M257" i="18"/>
  <c r="M256" i="18" s="1"/>
  <c r="M255" i="18" s="1"/>
  <c r="M254" i="18" s="1"/>
  <c r="I257" i="18"/>
  <c r="O257" i="18" s="1"/>
  <c r="Q257" i="18" s="1"/>
  <c r="L256" i="18"/>
  <c r="L255" i="18" s="1"/>
  <c r="L254" i="18" s="1"/>
  <c r="J256" i="18"/>
  <c r="J255" i="18" s="1"/>
  <c r="J254" i="18" s="1"/>
  <c r="G256" i="18"/>
  <c r="K255" i="18"/>
  <c r="K254" i="18" s="1"/>
  <c r="H255" i="18"/>
  <c r="H254" i="18" s="1"/>
  <c r="O251" i="18"/>
  <c r="Q251" i="18" s="1"/>
  <c r="N251" i="18"/>
  <c r="N250" i="18" s="1"/>
  <c r="N249" i="18" s="1"/>
  <c r="M251" i="18"/>
  <c r="M250" i="18" s="1"/>
  <c r="M249" i="18" s="1"/>
  <c r="L251" i="18"/>
  <c r="L250" i="18" s="1"/>
  <c r="L249" i="18" s="1"/>
  <c r="J251" i="18"/>
  <c r="J250" i="18" s="1"/>
  <c r="J249" i="18" s="1"/>
  <c r="I251" i="18"/>
  <c r="G251" i="18"/>
  <c r="G250" i="18" s="1"/>
  <c r="K250" i="18"/>
  <c r="K249" i="18" s="1"/>
  <c r="K248" i="18" s="1"/>
  <c r="H250" i="18"/>
  <c r="H249" i="18" s="1"/>
  <c r="N247" i="18"/>
  <c r="M247" i="18"/>
  <c r="I247" i="18"/>
  <c r="M246" i="18"/>
  <c r="H246" i="18"/>
  <c r="G246" i="18"/>
  <c r="O245" i="18"/>
  <c r="Q245" i="18" s="1"/>
  <c r="N245" i="18"/>
  <c r="M245" i="18"/>
  <c r="I244" i="18"/>
  <c r="O244" i="18" s="1"/>
  <c r="Q244" i="18" s="1"/>
  <c r="H244" i="18"/>
  <c r="N244" i="18" s="1"/>
  <c r="G244" i="18"/>
  <c r="M244" i="18" s="1"/>
  <c r="L242" i="18"/>
  <c r="K242" i="18"/>
  <c r="J242" i="18"/>
  <c r="N241" i="18"/>
  <c r="N240" i="18" s="1"/>
  <c r="N239" i="18" s="1"/>
  <c r="M241" i="18"/>
  <c r="M240" i="18" s="1"/>
  <c r="M239" i="18" s="1"/>
  <c r="I241" i="18"/>
  <c r="I240" i="18" s="1"/>
  <c r="L240" i="18"/>
  <c r="L239" i="18" s="1"/>
  <c r="J240" i="18"/>
  <c r="J239" i="18" s="1"/>
  <c r="H240" i="18"/>
  <c r="H239" i="18" s="1"/>
  <c r="G240" i="18"/>
  <c r="G239" i="18" s="1"/>
  <c r="K239" i="18"/>
  <c r="N238" i="18"/>
  <c r="M238" i="18"/>
  <c r="I238" i="18"/>
  <c r="O238" i="18" s="1"/>
  <c r="Q238" i="18" s="1"/>
  <c r="N237" i="18"/>
  <c r="M237" i="18"/>
  <c r="I237" i="18"/>
  <c r="O237" i="18" s="1"/>
  <c r="Q237" i="18" s="1"/>
  <c r="N236" i="18"/>
  <c r="G236" i="18"/>
  <c r="G235" i="18" s="1"/>
  <c r="H235" i="18"/>
  <c r="N235" i="18" s="1"/>
  <c r="N234" i="18"/>
  <c r="M234" i="18"/>
  <c r="I234" i="18"/>
  <c r="N233" i="18"/>
  <c r="M233" i="18"/>
  <c r="O233" i="18" s="1"/>
  <c r="Q233" i="18" s="1"/>
  <c r="I233" i="18"/>
  <c r="L232" i="18"/>
  <c r="L231" i="18" s="1"/>
  <c r="J232" i="18"/>
  <c r="J231" i="18" s="1"/>
  <c r="H232" i="18"/>
  <c r="H231" i="18" s="1"/>
  <c r="G232" i="18"/>
  <c r="G231" i="18" s="1"/>
  <c r="K231" i="18"/>
  <c r="K230" i="18" s="1"/>
  <c r="N229" i="18"/>
  <c r="N228" i="18" s="1"/>
  <c r="M229" i="18"/>
  <c r="M228" i="18" s="1"/>
  <c r="L229" i="18"/>
  <c r="L228" i="18" s="1"/>
  <c r="I229" i="18"/>
  <c r="I228" i="18" s="1"/>
  <c r="K228" i="18"/>
  <c r="K221" i="18" s="1"/>
  <c r="K220" i="18" s="1"/>
  <c r="K219" i="18" s="1"/>
  <c r="K218" i="18" s="1"/>
  <c r="J228" i="18"/>
  <c r="H228" i="18"/>
  <c r="G228" i="18"/>
  <c r="G221" i="18" s="1"/>
  <c r="N227" i="18"/>
  <c r="M227" i="18"/>
  <c r="L227" i="18"/>
  <c r="I227" i="18"/>
  <c r="N226" i="18"/>
  <c r="M226" i="18"/>
  <c r="L226" i="18"/>
  <c r="I226" i="18"/>
  <c r="N225" i="18"/>
  <c r="M225" i="18"/>
  <c r="L225" i="18"/>
  <c r="O225" i="18" s="1"/>
  <c r="Q225" i="18" s="1"/>
  <c r="N224" i="18"/>
  <c r="J224" i="18"/>
  <c r="I224" i="18"/>
  <c r="N223" i="18"/>
  <c r="N222" i="18" s="1"/>
  <c r="M223" i="18"/>
  <c r="O223" i="18" s="1"/>
  <c r="Q223" i="18" s="1"/>
  <c r="I223" i="18"/>
  <c r="M222" i="18"/>
  <c r="O222" i="18" s="1"/>
  <c r="Q222" i="18" s="1"/>
  <c r="I222" i="18"/>
  <c r="H222" i="18"/>
  <c r="N217" i="18"/>
  <c r="N216" i="18" s="1"/>
  <c r="N215" i="18" s="1"/>
  <c r="N214" i="18" s="1"/>
  <c r="N213" i="18" s="1"/>
  <c r="N212" i="18" s="1"/>
  <c r="M217" i="18"/>
  <c r="M216" i="18" s="1"/>
  <c r="M215" i="18" s="1"/>
  <c r="M214" i="18" s="1"/>
  <c r="M213" i="18" s="1"/>
  <c r="M212" i="18" s="1"/>
  <c r="I217" i="18"/>
  <c r="O217" i="18" s="1"/>
  <c r="Q217" i="18" s="1"/>
  <c r="L216" i="18"/>
  <c r="L215" i="18" s="1"/>
  <c r="L214" i="18" s="1"/>
  <c r="L213" i="18" s="1"/>
  <c r="L212" i="18" s="1"/>
  <c r="J216" i="18"/>
  <c r="J215" i="18" s="1"/>
  <c r="J214" i="18" s="1"/>
  <c r="J213" i="18" s="1"/>
  <c r="J212" i="18" s="1"/>
  <c r="H216" i="18"/>
  <c r="H215" i="18" s="1"/>
  <c r="H214" i="18" s="1"/>
  <c r="H213" i="18" s="1"/>
  <c r="H212" i="18" s="1"/>
  <c r="G216" i="18"/>
  <c r="G215" i="18" s="1"/>
  <c r="K215" i="18"/>
  <c r="K214" i="18" s="1"/>
  <c r="K213" i="18" s="1"/>
  <c r="K212" i="18" s="1"/>
  <c r="N211" i="18"/>
  <c r="M211" i="18"/>
  <c r="I211" i="18"/>
  <c r="O211" i="18" s="1"/>
  <c r="Q211" i="18" s="1"/>
  <c r="H210" i="18"/>
  <c r="N210" i="18" s="1"/>
  <c r="G210" i="18"/>
  <c r="M210" i="18" s="1"/>
  <c r="N207" i="18"/>
  <c r="N206" i="18" s="1"/>
  <c r="M207" i="18"/>
  <c r="M206" i="18" s="1"/>
  <c r="M205" i="18" s="1"/>
  <c r="M204" i="18" s="1"/>
  <c r="M203" i="18" s="1"/>
  <c r="I207" i="18"/>
  <c r="L206" i="18"/>
  <c r="L205" i="18" s="1"/>
  <c r="L204" i="18" s="1"/>
  <c r="L203" i="18" s="1"/>
  <c r="J206" i="18"/>
  <c r="J205" i="18" s="1"/>
  <c r="J204" i="18" s="1"/>
  <c r="J203" i="18" s="1"/>
  <c r="H206" i="18"/>
  <c r="H205" i="18" s="1"/>
  <c r="G206" i="18"/>
  <c r="G205" i="18" s="1"/>
  <c r="G204" i="18" s="1"/>
  <c r="K205" i="18"/>
  <c r="K204" i="18" s="1"/>
  <c r="K203" i="18" s="1"/>
  <c r="N202" i="18"/>
  <c r="N201" i="18" s="1"/>
  <c r="N200" i="18" s="1"/>
  <c r="M202" i="18"/>
  <c r="M201" i="18" s="1"/>
  <c r="M200" i="18" s="1"/>
  <c r="I202" i="18"/>
  <c r="O202" i="18" s="1"/>
  <c r="Q202" i="18" s="1"/>
  <c r="L201" i="18"/>
  <c r="L200" i="18" s="1"/>
  <c r="J201" i="18"/>
  <c r="J200" i="18" s="1"/>
  <c r="H201" i="18"/>
  <c r="H200" i="18" s="1"/>
  <c r="G201" i="18"/>
  <c r="K200" i="18"/>
  <c r="K199" i="18" s="1"/>
  <c r="N199" i="18"/>
  <c r="N198" i="18" s="1"/>
  <c r="O198" i="18"/>
  <c r="M198" i="18"/>
  <c r="L198" i="18"/>
  <c r="J198" i="18"/>
  <c r="I198" i="18"/>
  <c r="H198" i="18"/>
  <c r="G198" i="18"/>
  <c r="N197" i="18"/>
  <c r="N196" i="18" s="1"/>
  <c r="M197" i="18"/>
  <c r="M196" i="18" s="1"/>
  <c r="L197" i="18"/>
  <c r="L196" i="18" s="1"/>
  <c r="I197" i="18"/>
  <c r="I196" i="18" s="1"/>
  <c r="K196" i="18"/>
  <c r="J196" i="18"/>
  <c r="H196" i="18"/>
  <c r="G196" i="18"/>
  <c r="N195" i="18"/>
  <c r="M195" i="18"/>
  <c r="L195" i="18"/>
  <c r="L193" i="18" s="1"/>
  <c r="I195" i="18"/>
  <c r="N194" i="18"/>
  <c r="M194" i="18"/>
  <c r="I194" i="18"/>
  <c r="O194" i="18" s="1"/>
  <c r="Q194" i="18" s="1"/>
  <c r="K193" i="18"/>
  <c r="J193" i="18"/>
  <c r="H193" i="18"/>
  <c r="G193" i="18"/>
  <c r="N188" i="18"/>
  <c r="M188" i="18"/>
  <c r="M187" i="18" s="1"/>
  <c r="I188" i="18"/>
  <c r="O188" i="18" s="1"/>
  <c r="H187" i="18"/>
  <c r="N187" i="18" s="1"/>
  <c r="G187" i="18"/>
  <c r="N186" i="18"/>
  <c r="N185" i="18" s="1"/>
  <c r="M186" i="18"/>
  <c r="L186" i="18"/>
  <c r="L185" i="18" s="1"/>
  <c r="L184" i="18" s="1"/>
  <c r="L183" i="18" s="1"/>
  <c r="L182" i="18" s="1"/>
  <c r="L181" i="18" s="1"/>
  <c r="I186" i="18"/>
  <c r="I185" i="18" s="1"/>
  <c r="K185" i="18"/>
  <c r="K184" i="18" s="1"/>
  <c r="K183" i="18" s="1"/>
  <c r="K182" i="18" s="1"/>
  <c r="K181" i="18" s="1"/>
  <c r="J185" i="18"/>
  <c r="J184" i="18" s="1"/>
  <c r="J183" i="18" s="1"/>
  <c r="J182" i="18" s="1"/>
  <c r="J181" i="18" s="1"/>
  <c r="G185" i="18"/>
  <c r="O178" i="18"/>
  <c r="Q178" i="18" s="1"/>
  <c r="N178" i="18"/>
  <c r="N177" i="18" s="1"/>
  <c r="N176" i="18" s="1"/>
  <c r="M178" i="18"/>
  <c r="M177" i="18" s="1"/>
  <c r="M176" i="18" s="1"/>
  <c r="L178" i="18"/>
  <c r="L177" i="18" s="1"/>
  <c r="L176" i="18" s="1"/>
  <c r="J178" i="18"/>
  <c r="J177" i="18" s="1"/>
  <c r="J176" i="18" s="1"/>
  <c r="I178" i="18"/>
  <c r="I177" i="18" s="1"/>
  <c r="I176" i="18" s="1"/>
  <c r="G178" i="18"/>
  <c r="G177" i="18" s="1"/>
  <c r="K177" i="18"/>
  <c r="K176" i="18" s="1"/>
  <c r="H177" i="18"/>
  <c r="H176" i="18" s="1"/>
  <c r="O174" i="18"/>
  <c r="Q174" i="18" s="1"/>
  <c r="N174" i="18"/>
  <c r="N173" i="18" s="1"/>
  <c r="N172" i="18" s="1"/>
  <c r="M174" i="18"/>
  <c r="M173" i="18" s="1"/>
  <c r="M172" i="18" s="1"/>
  <c r="L174" i="18"/>
  <c r="L173" i="18" s="1"/>
  <c r="L172" i="18" s="1"/>
  <c r="J174" i="18"/>
  <c r="J173" i="18" s="1"/>
  <c r="J172" i="18" s="1"/>
  <c r="I174" i="18"/>
  <c r="I173" i="18" s="1"/>
  <c r="I172" i="18" s="1"/>
  <c r="G174" i="18"/>
  <c r="G173" i="18" s="1"/>
  <c r="K173" i="18"/>
  <c r="K172" i="18" s="1"/>
  <c r="H173" i="18"/>
  <c r="H172" i="18" s="1"/>
  <c r="N171" i="18"/>
  <c r="N170" i="18" s="1"/>
  <c r="M171" i="18"/>
  <c r="M170" i="18" s="1"/>
  <c r="I171" i="18"/>
  <c r="L170" i="18"/>
  <c r="J170" i="18"/>
  <c r="H170" i="18"/>
  <c r="G170" i="18"/>
  <c r="N169" i="18"/>
  <c r="N168" i="18" s="1"/>
  <c r="M169" i="18"/>
  <c r="M168" i="18" s="1"/>
  <c r="I169" i="18"/>
  <c r="O169" i="18" s="1"/>
  <c r="Q169" i="18" s="1"/>
  <c r="L168" i="18"/>
  <c r="J168" i="18"/>
  <c r="H168" i="18"/>
  <c r="G168" i="18"/>
  <c r="K167" i="18"/>
  <c r="K166" i="18" s="1"/>
  <c r="K165" i="18" s="1"/>
  <c r="K164" i="18" s="1"/>
  <c r="N163" i="18"/>
  <c r="N162" i="18" s="1"/>
  <c r="N161" i="18" s="1"/>
  <c r="N160" i="18" s="1"/>
  <c r="O162" i="18"/>
  <c r="Q162" i="18" s="1"/>
  <c r="M162" i="18"/>
  <c r="M161" i="18" s="1"/>
  <c r="M160" i="18" s="1"/>
  <c r="L162" i="18"/>
  <c r="L161" i="18" s="1"/>
  <c r="L160" i="18" s="1"/>
  <c r="J162" i="18"/>
  <c r="J161" i="18" s="1"/>
  <c r="J160" i="18" s="1"/>
  <c r="I162" i="18"/>
  <c r="G162" i="18"/>
  <c r="G161" i="18" s="1"/>
  <c r="K161" i="18"/>
  <c r="K160" i="18" s="1"/>
  <c r="H161" i="18"/>
  <c r="H160" i="18" s="1"/>
  <c r="N159" i="18"/>
  <c r="N158" i="18" s="1"/>
  <c r="N157" i="18" s="1"/>
  <c r="N156" i="18" s="1"/>
  <c r="M159" i="18"/>
  <c r="M158" i="18" s="1"/>
  <c r="M157" i="18" s="1"/>
  <c r="M156" i="18" s="1"/>
  <c r="I159" i="18"/>
  <c r="O159" i="18" s="1"/>
  <c r="Q159" i="18" s="1"/>
  <c r="L158" i="18"/>
  <c r="L157" i="18" s="1"/>
  <c r="L156" i="18" s="1"/>
  <c r="J158" i="18"/>
  <c r="J157" i="18" s="1"/>
  <c r="J156" i="18" s="1"/>
  <c r="H158" i="18"/>
  <c r="H157" i="18" s="1"/>
  <c r="H156" i="18" s="1"/>
  <c r="G158" i="18"/>
  <c r="G157" i="18" s="1"/>
  <c r="K157" i="18"/>
  <c r="K156" i="18" s="1"/>
  <c r="O155" i="18"/>
  <c r="Q155" i="18" s="1"/>
  <c r="N155" i="18"/>
  <c r="M155" i="18"/>
  <c r="N154" i="18"/>
  <c r="M154" i="18"/>
  <c r="I154" i="18"/>
  <c r="O154" i="18" s="1"/>
  <c r="N153" i="18"/>
  <c r="M153" i="18"/>
  <c r="I153" i="18"/>
  <c r="O153" i="18" s="1"/>
  <c r="N152" i="18"/>
  <c r="M152" i="18"/>
  <c r="I152" i="18"/>
  <c r="O152" i="18" s="1"/>
  <c r="N151" i="18"/>
  <c r="N150" i="18" s="1"/>
  <c r="N149" i="18" s="1"/>
  <c r="O150" i="18"/>
  <c r="M150" i="18"/>
  <c r="M149" i="18" s="1"/>
  <c r="L150" i="18"/>
  <c r="L149" i="18" s="1"/>
  <c r="J150" i="18"/>
  <c r="J149" i="18" s="1"/>
  <c r="I150" i="18"/>
  <c r="I149" i="18" s="1"/>
  <c r="G150" i="18"/>
  <c r="G149" i="18" s="1"/>
  <c r="K149" i="18"/>
  <c r="K148" i="18" s="1"/>
  <c r="H149" i="18"/>
  <c r="N148" i="18"/>
  <c r="N147" i="18" s="1"/>
  <c r="N146" i="18" s="1"/>
  <c r="O147" i="18"/>
  <c r="M147" i="18"/>
  <c r="M146" i="18" s="1"/>
  <c r="L147" i="18"/>
  <c r="L146" i="18" s="1"/>
  <c r="J147" i="18"/>
  <c r="J146" i="18" s="1"/>
  <c r="I147" i="18"/>
  <c r="I146" i="18" s="1"/>
  <c r="H147" i="18"/>
  <c r="H146" i="18" s="1"/>
  <c r="G147" i="18"/>
  <c r="G146" i="18" s="1"/>
  <c r="K146" i="18"/>
  <c r="O144" i="18"/>
  <c r="Q144" i="18" s="1"/>
  <c r="N144" i="18"/>
  <c r="M144" i="18"/>
  <c r="L144" i="18"/>
  <c r="J144" i="18"/>
  <c r="I144" i="18"/>
  <c r="G144" i="18"/>
  <c r="N143" i="18"/>
  <c r="N142" i="18" s="1"/>
  <c r="M143" i="18"/>
  <c r="I143" i="18"/>
  <c r="I142" i="18" s="1"/>
  <c r="L142" i="18"/>
  <c r="J142" i="18"/>
  <c r="H142" i="18"/>
  <c r="G142" i="18"/>
  <c r="N140" i="18"/>
  <c r="M140" i="18"/>
  <c r="I140" i="18"/>
  <c r="O140" i="18" s="1"/>
  <c r="Q140" i="18" s="1"/>
  <c r="N139" i="18"/>
  <c r="M139" i="18"/>
  <c r="I139" i="18"/>
  <c r="L138" i="18"/>
  <c r="J138" i="18"/>
  <c r="H138" i="18"/>
  <c r="G138" i="18"/>
  <c r="M138" i="18" s="1"/>
  <c r="K137" i="18"/>
  <c r="K136" i="18" s="1"/>
  <c r="N133" i="18"/>
  <c r="M133" i="18"/>
  <c r="I133" i="18"/>
  <c r="O133" i="18" s="1"/>
  <c r="Q133" i="18" s="1"/>
  <c r="M132" i="18"/>
  <c r="H132" i="18"/>
  <c r="N132" i="18" s="1"/>
  <c r="M131" i="18"/>
  <c r="H131" i="18"/>
  <c r="N131" i="18" s="1"/>
  <c r="M130" i="18"/>
  <c r="M129" i="18" s="1"/>
  <c r="L129" i="18"/>
  <c r="K129" i="18"/>
  <c r="J129" i="18"/>
  <c r="G129" i="18"/>
  <c r="G128" i="18" s="1"/>
  <c r="M128" i="18" s="1"/>
  <c r="M126" i="18"/>
  <c r="M125" i="18" s="1"/>
  <c r="M124" i="18" s="1"/>
  <c r="M123" i="18" s="1"/>
  <c r="N126" i="18"/>
  <c r="N125" i="18" s="1"/>
  <c r="N124" i="18" s="1"/>
  <c r="N123" i="18" s="1"/>
  <c r="L125" i="18"/>
  <c r="L124" i="18" s="1"/>
  <c r="L123" i="18" s="1"/>
  <c r="J125" i="18"/>
  <c r="J124" i="18" s="1"/>
  <c r="J123" i="18" s="1"/>
  <c r="G125" i="18"/>
  <c r="G124" i="18" s="1"/>
  <c r="K124" i="18"/>
  <c r="K123" i="18" s="1"/>
  <c r="K118" i="18" s="1"/>
  <c r="N122" i="18"/>
  <c r="N121" i="18" s="1"/>
  <c r="N120" i="18" s="1"/>
  <c r="N119" i="18" s="1"/>
  <c r="M122" i="18"/>
  <c r="I122" i="18"/>
  <c r="I121" i="18" s="1"/>
  <c r="L121" i="18"/>
  <c r="L120" i="18" s="1"/>
  <c r="L119" i="18" s="1"/>
  <c r="K121" i="18"/>
  <c r="K120" i="18" s="1"/>
  <c r="K119" i="18" s="1"/>
  <c r="J121" i="18"/>
  <c r="J120" i="18" s="1"/>
  <c r="J119" i="18" s="1"/>
  <c r="H121" i="18"/>
  <c r="H120" i="18" s="1"/>
  <c r="H119" i="18" s="1"/>
  <c r="G121" i="18"/>
  <c r="N118" i="18"/>
  <c r="N117" i="18" s="1"/>
  <c r="N116" i="18" s="1"/>
  <c r="N115" i="18" s="1"/>
  <c r="M118" i="18"/>
  <c r="M117" i="18" s="1"/>
  <c r="M116" i="18" s="1"/>
  <c r="M115" i="18" s="1"/>
  <c r="I118" i="18"/>
  <c r="I117" i="18" s="1"/>
  <c r="I116" i="18" s="1"/>
  <c r="I115" i="18" s="1"/>
  <c r="L117" i="18"/>
  <c r="L116" i="18" s="1"/>
  <c r="L115" i="18" s="1"/>
  <c r="J117" i="18"/>
  <c r="J116" i="18" s="1"/>
  <c r="J115" i="18" s="1"/>
  <c r="G117" i="18"/>
  <c r="K116" i="18"/>
  <c r="K115" i="18" s="1"/>
  <c r="H116" i="18"/>
  <c r="H115" i="18" s="1"/>
  <c r="N114" i="18"/>
  <c r="M114" i="18"/>
  <c r="I114" i="18"/>
  <c r="O114" i="18" s="1"/>
  <c r="Q114" i="18" s="1"/>
  <c r="N113" i="18"/>
  <c r="M113" i="18"/>
  <c r="I113" i="18"/>
  <c r="L112" i="18"/>
  <c r="J112" i="18"/>
  <c r="G112" i="18"/>
  <c r="N111" i="18"/>
  <c r="I111" i="18"/>
  <c r="N110" i="18"/>
  <c r="M110" i="18"/>
  <c r="M109" i="18" s="1"/>
  <c r="I110" i="18"/>
  <c r="L109" i="18"/>
  <c r="J109" i="18"/>
  <c r="H109" i="18"/>
  <c r="G109" i="18"/>
  <c r="K108" i="18"/>
  <c r="N106" i="18"/>
  <c r="M106" i="18"/>
  <c r="I106" i="18"/>
  <c r="O106" i="18" s="1"/>
  <c r="Q106" i="18" s="1"/>
  <c r="N105" i="18"/>
  <c r="M105" i="18"/>
  <c r="I105" i="18"/>
  <c r="L104" i="18"/>
  <c r="L103" i="18" s="1"/>
  <c r="J104" i="18"/>
  <c r="J103" i="18" s="1"/>
  <c r="H104" i="18"/>
  <c r="H103" i="18" s="1"/>
  <c r="G104" i="18"/>
  <c r="G103" i="18" s="1"/>
  <c r="K103" i="18"/>
  <c r="K102" i="18" s="1"/>
  <c r="K101" i="18" s="1"/>
  <c r="N100" i="18"/>
  <c r="M100" i="18"/>
  <c r="L100" i="18"/>
  <c r="L99" i="18" s="1"/>
  <c r="O99" i="18" s="1"/>
  <c r="K99" i="18"/>
  <c r="N99" i="18" s="1"/>
  <c r="J99" i="18"/>
  <c r="J98" i="18" s="1"/>
  <c r="M98" i="18" s="1"/>
  <c r="P98" i="18" s="1"/>
  <c r="N96" i="18"/>
  <c r="N95" i="18" s="1"/>
  <c r="N94" i="18" s="1"/>
  <c r="M96" i="18"/>
  <c r="M95" i="18" s="1"/>
  <c r="M94" i="18" s="1"/>
  <c r="I96" i="18"/>
  <c r="O96" i="18" s="1"/>
  <c r="L95" i="18"/>
  <c r="L94" i="18" s="1"/>
  <c r="J95" i="18"/>
  <c r="J94" i="18" s="1"/>
  <c r="H95" i="18"/>
  <c r="H94" i="18" s="1"/>
  <c r="H93" i="18" s="1"/>
  <c r="G95" i="18"/>
  <c r="G94" i="18" s="1"/>
  <c r="K94" i="18"/>
  <c r="O91" i="18"/>
  <c r="Q91" i="18" s="1"/>
  <c r="N91" i="18"/>
  <c r="N90" i="18" s="1"/>
  <c r="N89" i="18" s="1"/>
  <c r="M91" i="18"/>
  <c r="M90" i="18" s="1"/>
  <c r="M89" i="18" s="1"/>
  <c r="L91" i="18"/>
  <c r="L90" i="18" s="1"/>
  <c r="L89" i="18" s="1"/>
  <c r="J91" i="18"/>
  <c r="J90" i="18" s="1"/>
  <c r="J89" i="18" s="1"/>
  <c r="I91" i="18"/>
  <c r="I90" i="18" s="1"/>
  <c r="I89" i="18" s="1"/>
  <c r="G91" i="18"/>
  <c r="G90" i="18" s="1"/>
  <c r="K90" i="18"/>
  <c r="K89" i="18" s="1"/>
  <c r="H90" i="18"/>
  <c r="H89" i="18" s="1"/>
  <c r="O87" i="18"/>
  <c r="Q98" i="18" s="1"/>
  <c r="N87" i="18"/>
  <c r="M87" i="18"/>
  <c r="L87" i="18"/>
  <c r="J87" i="18"/>
  <c r="I87" i="18"/>
  <c r="G87" i="18"/>
  <c r="N86" i="18"/>
  <c r="M86" i="18"/>
  <c r="I86" i="18"/>
  <c r="N85" i="18"/>
  <c r="M85" i="18"/>
  <c r="I85" i="18"/>
  <c r="L84" i="18"/>
  <c r="J84" i="18"/>
  <c r="H84" i="18"/>
  <c r="H83" i="18" s="1"/>
  <c r="H82" i="18" s="1"/>
  <c r="G84" i="18"/>
  <c r="K83" i="18"/>
  <c r="K82" i="18" s="1"/>
  <c r="O79" i="18"/>
  <c r="Q79" i="18" s="1"/>
  <c r="N79" i="18"/>
  <c r="N78" i="18" s="1"/>
  <c r="N77" i="18" s="1"/>
  <c r="N76" i="18" s="1"/>
  <c r="M79" i="18"/>
  <c r="M78" i="18" s="1"/>
  <c r="M77" i="18" s="1"/>
  <c r="M76" i="18" s="1"/>
  <c r="L79" i="18"/>
  <c r="L78" i="18" s="1"/>
  <c r="L77" i="18" s="1"/>
  <c r="L76" i="18" s="1"/>
  <c r="J79" i="18"/>
  <c r="J78" i="18" s="1"/>
  <c r="J77" i="18" s="1"/>
  <c r="J76" i="18" s="1"/>
  <c r="I79" i="18"/>
  <c r="G79" i="18"/>
  <c r="G78" i="18" s="1"/>
  <c r="K78" i="18"/>
  <c r="K77" i="18" s="1"/>
  <c r="K76" i="18" s="1"/>
  <c r="H78" i="18"/>
  <c r="H77" i="18" s="1"/>
  <c r="H76" i="18" s="1"/>
  <c r="N75" i="18"/>
  <c r="N74" i="18" s="1"/>
  <c r="N73" i="18" s="1"/>
  <c r="N72" i="18" s="1"/>
  <c r="N71" i="18" s="1"/>
  <c r="M75" i="18"/>
  <c r="M74" i="18" s="1"/>
  <c r="M73" i="18" s="1"/>
  <c r="M72" i="18" s="1"/>
  <c r="M71" i="18" s="1"/>
  <c r="I75" i="18"/>
  <c r="I74" i="18" s="1"/>
  <c r="L74" i="18"/>
  <c r="L73" i="18" s="1"/>
  <c r="L72" i="18" s="1"/>
  <c r="L71" i="18" s="1"/>
  <c r="J74" i="18"/>
  <c r="J73" i="18" s="1"/>
  <c r="J72" i="18" s="1"/>
  <c r="J71" i="18" s="1"/>
  <c r="H74" i="18"/>
  <c r="H73" i="18" s="1"/>
  <c r="H72" i="18" s="1"/>
  <c r="H71" i="18" s="1"/>
  <c r="G74" i="18"/>
  <c r="G73" i="18" s="1"/>
  <c r="K73" i="18"/>
  <c r="K72" i="18" s="1"/>
  <c r="K71" i="18" s="1"/>
  <c r="N69" i="18"/>
  <c r="N68" i="18" s="1"/>
  <c r="N67" i="18" s="1"/>
  <c r="N66" i="18" s="1"/>
  <c r="N65" i="18" s="1"/>
  <c r="M69" i="18"/>
  <c r="M68" i="18" s="1"/>
  <c r="M67" i="18" s="1"/>
  <c r="M66" i="18" s="1"/>
  <c r="M65" i="18" s="1"/>
  <c r="I69" i="18"/>
  <c r="L68" i="18"/>
  <c r="L67" i="18" s="1"/>
  <c r="L66" i="18" s="1"/>
  <c r="L65" i="18" s="1"/>
  <c r="J68" i="18"/>
  <c r="J67" i="18" s="1"/>
  <c r="J66" i="18" s="1"/>
  <c r="J65" i="18" s="1"/>
  <c r="H68" i="18"/>
  <c r="H67" i="18" s="1"/>
  <c r="H66" i="18" s="1"/>
  <c r="H65" i="18" s="1"/>
  <c r="G68" i="18"/>
  <c r="G67" i="18" s="1"/>
  <c r="K67" i="18"/>
  <c r="K66" i="18" s="1"/>
  <c r="K65" i="18" s="1"/>
  <c r="O63" i="18"/>
  <c r="Q74" i="18" s="1"/>
  <c r="N63" i="18"/>
  <c r="N58" i="18" s="1"/>
  <c r="M63" i="18"/>
  <c r="L63" i="18"/>
  <c r="J63" i="18"/>
  <c r="I63" i="18"/>
  <c r="G63" i="18"/>
  <c r="K62" i="18"/>
  <c r="K55" i="18" s="1"/>
  <c r="H62" i="18"/>
  <c r="N61" i="18"/>
  <c r="M61" i="18"/>
  <c r="L61" i="18"/>
  <c r="N60" i="18"/>
  <c r="M60" i="18"/>
  <c r="L60" i="18"/>
  <c r="J59" i="18"/>
  <c r="I59" i="18"/>
  <c r="G59" i="18"/>
  <c r="K58" i="18"/>
  <c r="H58" i="18"/>
  <c r="N57" i="18"/>
  <c r="M57" i="18"/>
  <c r="I57" i="18"/>
  <c r="I56" i="18" s="1"/>
  <c r="O56" i="18" s="1"/>
  <c r="H56" i="18"/>
  <c r="N56" i="18" s="1"/>
  <c r="G56" i="18"/>
  <c r="M56" i="18" s="1"/>
  <c r="N55" i="18"/>
  <c r="M55" i="18"/>
  <c r="I55" i="18"/>
  <c r="O55" i="18" s="1"/>
  <c r="O54" i="18"/>
  <c r="N54" i="18"/>
  <c r="M54" i="18"/>
  <c r="N53" i="18"/>
  <c r="I53" i="18"/>
  <c r="O53" i="18" s="1"/>
  <c r="H52" i="18"/>
  <c r="I52" i="18" s="1"/>
  <c r="O52" i="18" s="1"/>
  <c r="N51" i="18"/>
  <c r="M51" i="18"/>
  <c r="I51" i="18"/>
  <c r="L50" i="18"/>
  <c r="L49" i="18" s="1"/>
  <c r="J50" i="18"/>
  <c r="J49" i="18" s="1"/>
  <c r="H50" i="18"/>
  <c r="G50" i="18"/>
  <c r="K49" i="18"/>
  <c r="K48" i="18" s="1"/>
  <c r="N46" i="18"/>
  <c r="M46" i="18"/>
  <c r="I46" i="18"/>
  <c r="O46" i="18" s="1"/>
  <c r="H45" i="18"/>
  <c r="N45" i="18" s="1"/>
  <c r="G45" i="18"/>
  <c r="O44" i="18"/>
  <c r="Q44" i="18" s="1"/>
  <c r="N44" i="18"/>
  <c r="N43" i="18" s="1"/>
  <c r="N42" i="18" s="1"/>
  <c r="M44" i="18"/>
  <c r="M43" i="18" s="1"/>
  <c r="L43" i="18"/>
  <c r="L42" i="18" s="1"/>
  <c r="L41" i="18" s="1"/>
  <c r="L40" i="18" s="1"/>
  <c r="J43" i="18"/>
  <c r="J42" i="18" s="1"/>
  <c r="J41" i="18" s="1"/>
  <c r="J40" i="18" s="1"/>
  <c r="I43" i="18"/>
  <c r="G43" i="18"/>
  <c r="K42" i="18"/>
  <c r="K41" i="18" s="1"/>
  <c r="K40" i="18" s="1"/>
  <c r="N37" i="18"/>
  <c r="N36" i="18" s="1"/>
  <c r="N35" i="18" s="1"/>
  <c r="N34" i="18" s="1"/>
  <c r="N33" i="18" s="1"/>
  <c r="M37" i="18"/>
  <c r="M36" i="18" s="1"/>
  <c r="M35" i="18" s="1"/>
  <c r="M34" i="18" s="1"/>
  <c r="M33" i="18" s="1"/>
  <c r="I37" i="18"/>
  <c r="O37" i="18" s="1"/>
  <c r="L36" i="18"/>
  <c r="L35" i="18" s="1"/>
  <c r="L34" i="18" s="1"/>
  <c r="L33" i="18" s="1"/>
  <c r="J36" i="18"/>
  <c r="J35" i="18" s="1"/>
  <c r="J34" i="18" s="1"/>
  <c r="J33" i="18" s="1"/>
  <c r="H36" i="18"/>
  <c r="H35" i="18" s="1"/>
  <c r="H34" i="18" s="1"/>
  <c r="H33" i="18" s="1"/>
  <c r="G36" i="18"/>
  <c r="G35" i="18" s="1"/>
  <c r="K35" i="18"/>
  <c r="K34" i="18" s="1"/>
  <c r="K33" i="18" s="1"/>
  <c r="O32" i="18"/>
  <c r="Q32" i="18" s="1"/>
  <c r="M32" i="18"/>
  <c r="M31" i="18" s="1"/>
  <c r="M30" i="18" s="1"/>
  <c r="M29" i="18" s="1"/>
  <c r="M28" i="18" s="1"/>
  <c r="I32" i="18"/>
  <c r="I31" i="18" s="1"/>
  <c r="I30" i="18" s="1"/>
  <c r="I29" i="18" s="1"/>
  <c r="I28" i="18" s="1"/>
  <c r="G32" i="18"/>
  <c r="G31" i="18" s="1"/>
  <c r="G30" i="18" s="1"/>
  <c r="N31" i="18"/>
  <c r="N30" i="18" s="1"/>
  <c r="N29" i="18" s="1"/>
  <c r="N28" i="18" s="1"/>
  <c r="L31" i="18"/>
  <c r="L30" i="18" s="1"/>
  <c r="L29" i="18" s="1"/>
  <c r="L28" i="18" s="1"/>
  <c r="J31" i="18"/>
  <c r="J30" i="18" s="1"/>
  <c r="J29" i="18" s="1"/>
  <c r="J28" i="18" s="1"/>
  <c r="K30" i="18"/>
  <c r="K29" i="18" s="1"/>
  <c r="K28" i="18" s="1"/>
  <c r="K27" i="18" s="1"/>
  <c r="K26" i="18" s="1"/>
  <c r="H30" i="18"/>
  <c r="H29" i="18" s="1"/>
  <c r="H28" i="18" s="1"/>
  <c r="H27" i="18" s="1"/>
  <c r="H318" i="18" l="1"/>
  <c r="H317" i="18" s="1"/>
  <c r="H221" i="18"/>
  <c r="M193" i="18"/>
  <c r="M59" i="18"/>
  <c r="M319" i="18"/>
  <c r="J419" i="18"/>
  <c r="O354" i="18"/>
  <c r="Q354" i="18" s="1"/>
  <c r="I246" i="18"/>
  <c r="J288" i="18"/>
  <c r="J287" i="18" s="1"/>
  <c r="J282" i="18" s="1"/>
  <c r="J267" i="18" s="1"/>
  <c r="N500" i="18"/>
  <c r="I36" i="18"/>
  <c r="I35" i="18" s="1"/>
  <c r="I34" i="18" s="1"/>
  <c r="G192" i="18"/>
  <c r="Q199" i="18"/>
  <c r="Q188" i="18"/>
  <c r="G318" i="18"/>
  <c r="O360" i="18"/>
  <c r="Q360" i="18" s="1"/>
  <c r="G167" i="18"/>
  <c r="G166" i="18" s="1"/>
  <c r="J83" i="18"/>
  <c r="J82" i="18" s="1"/>
  <c r="I131" i="18"/>
  <c r="I138" i="18"/>
  <c r="O405" i="18"/>
  <c r="O100" i="18"/>
  <c r="I168" i="18"/>
  <c r="H288" i="18"/>
  <c r="H287" i="18" s="1"/>
  <c r="K412" i="18"/>
  <c r="K411" i="18" s="1"/>
  <c r="K410" i="18" s="1"/>
  <c r="N193" i="18"/>
  <c r="G273" i="18"/>
  <c r="G267" i="18" s="1"/>
  <c r="L414" i="18"/>
  <c r="I45" i="18"/>
  <c r="O332" i="18"/>
  <c r="Q332" i="18" s="1"/>
  <c r="H403" i="18"/>
  <c r="Q359" i="18"/>
  <c r="Q348" i="18"/>
  <c r="Q349" i="18"/>
  <c r="Q384" i="18"/>
  <c r="N112" i="18"/>
  <c r="Q381" i="18"/>
  <c r="Q57" i="18"/>
  <c r="Q46" i="18"/>
  <c r="O365" i="18"/>
  <c r="Q333" i="18"/>
  <c r="Q542" i="18"/>
  <c r="O299" i="18"/>
  <c r="G108" i="18"/>
  <c r="N246" i="18"/>
  <c r="Q334" i="18"/>
  <c r="Q554" i="18"/>
  <c r="Q543" i="18"/>
  <c r="N274" i="18"/>
  <c r="L288" i="18"/>
  <c r="L287" i="18" s="1"/>
  <c r="L282" i="18" s="1"/>
  <c r="L267" i="18" s="1"/>
  <c r="Q335" i="18"/>
  <c r="I376" i="18"/>
  <c r="M493" i="18"/>
  <c r="M84" i="18"/>
  <c r="M83" i="18" s="1"/>
  <c r="M82" i="18" s="1"/>
  <c r="N138" i="18"/>
  <c r="N137" i="18" s="1"/>
  <c r="N136" i="18" s="1"/>
  <c r="N135" i="18" s="1"/>
  <c r="H167" i="18"/>
  <c r="H166" i="18" s="1"/>
  <c r="H165" i="18" s="1"/>
  <c r="H164" i="18" s="1"/>
  <c r="H184" i="18"/>
  <c r="H183" i="18" s="1"/>
  <c r="H182" i="18" s="1"/>
  <c r="H181" i="18" s="1"/>
  <c r="O197" i="18"/>
  <c r="Q197" i="18" s="1"/>
  <c r="M232" i="18"/>
  <c r="M231" i="18" s="1"/>
  <c r="G419" i="18"/>
  <c r="O364" i="18"/>
  <c r="I401" i="18"/>
  <c r="I400" i="18" s="1"/>
  <c r="N552" i="18"/>
  <c r="G49" i="18"/>
  <c r="N326" i="18"/>
  <c r="N325" i="18" s="1"/>
  <c r="N324" i="18" s="1"/>
  <c r="K339" i="18"/>
  <c r="K338" i="18" s="1"/>
  <c r="K337" i="18" s="1"/>
  <c r="L83" i="18"/>
  <c r="L82" i="18" s="1"/>
  <c r="I158" i="18"/>
  <c r="I157" i="18" s="1"/>
  <c r="Q508" i="18"/>
  <c r="J525" i="18"/>
  <c r="M318" i="18"/>
  <c r="M317" i="18" s="1"/>
  <c r="N284" i="18"/>
  <c r="I284" i="18"/>
  <c r="O284" i="18" s="1"/>
  <c r="Q284" i="18" s="1"/>
  <c r="H283" i="18"/>
  <c r="I283" i="18" s="1"/>
  <c r="O283" i="18" s="1"/>
  <c r="Q283" i="18" s="1"/>
  <c r="M288" i="18"/>
  <c r="M287" i="18" s="1"/>
  <c r="M282" i="18" s="1"/>
  <c r="N84" i="18"/>
  <c r="H296" i="18"/>
  <c r="H295" i="18" s="1"/>
  <c r="M387" i="18"/>
  <c r="M386" i="18" s="1"/>
  <c r="M385" i="18" s="1"/>
  <c r="H130" i="18"/>
  <c r="H129" i="18" s="1"/>
  <c r="H128" i="18" s="1"/>
  <c r="N128" i="18" s="1"/>
  <c r="L192" i="18"/>
  <c r="L191" i="18" s="1"/>
  <c r="L190" i="18" s="1"/>
  <c r="L189" i="18" s="1"/>
  <c r="I285" i="18"/>
  <c r="O285" i="18" s="1"/>
  <c r="Q285" i="18" s="1"/>
  <c r="O292" i="18"/>
  <c r="Q292" i="18" s="1"/>
  <c r="L322" i="18"/>
  <c r="L318" i="18" s="1"/>
  <c r="L317" i="18" s="1"/>
  <c r="L316" i="18" s="1"/>
  <c r="I346" i="18"/>
  <c r="N387" i="18"/>
  <c r="N386" i="18" s="1"/>
  <c r="N385" i="18" s="1"/>
  <c r="G137" i="18"/>
  <c r="K192" i="18"/>
  <c r="K191" i="18" s="1"/>
  <c r="J296" i="18"/>
  <c r="J295" i="18" s="1"/>
  <c r="J294" i="18" s="1"/>
  <c r="L413" i="18"/>
  <c r="O486" i="18"/>
  <c r="Q486" i="18" s="1"/>
  <c r="N560" i="18"/>
  <c r="N559" i="18" s="1"/>
  <c r="L167" i="18"/>
  <c r="L166" i="18" s="1"/>
  <c r="K549" i="18"/>
  <c r="K548" i="18" s="1"/>
  <c r="K547" i="18" s="1"/>
  <c r="K546" i="18" s="1"/>
  <c r="H537" i="18"/>
  <c r="N537" i="18" s="1"/>
  <c r="N536" i="18" s="1"/>
  <c r="H551" i="18"/>
  <c r="I554" i="18"/>
  <c r="O554" i="18" s="1"/>
  <c r="J108" i="18"/>
  <c r="I193" i="18"/>
  <c r="I192" i="18" s="1"/>
  <c r="N331" i="18"/>
  <c r="N513" i="18"/>
  <c r="I564" i="18"/>
  <c r="O564" i="18" s="1"/>
  <c r="G373" i="18"/>
  <c r="G372" i="18" s="1"/>
  <c r="G484" i="18"/>
  <c r="G551" i="18"/>
  <c r="G550" i="18" s="1"/>
  <c r="I256" i="18"/>
  <c r="I255" i="18" s="1"/>
  <c r="I254" i="18" s="1"/>
  <c r="O321" i="18"/>
  <c r="Q321" i="18" s="1"/>
  <c r="M364" i="18"/>
  <c r="O416" i="18"/>
  <c r="N484" i="18"/>
  <c r="H42" i="18"/>
  <c r="H41" i="18" s="1"/>
  <c r="H40" i="18" s="1"/>
  <c r="M45" i="18"/>
  <c r="M42" i="18" s="1"/>
  <c r="M41" i="18" s="1"/>
  <c r="M40" i="18" s="1"/>
  <c r="O139" i="18"/>
  <c r="Q139" i="18" s="1"/>
  <c r="O143" i="18"/>
  <c r="O195" i="18"/>
  <c r="Q195" i="18" s="1"/>
  <c r="O226" i="18"/>
  <c r="Q226" i="18" s="1"/>
  <c r="O241" i="18"/>
  <c r="Q241" i="18" s="1"/>
  <c r="N297" i="18"/>
  <c r="N296" i="18" s="1"/>
  <c r="N295" i="18" s="1"/>
  <c r="N364" i="18"/>
  <c r="N339" i="18" s="1"/>
  <c r="N338" i="18" s="1"/>
  <c r="L383" i="18"/>
  <c r="O383" i="18" s="1"/>
  <c r="Q383" i="18" s="1"/>
  <c r="O487" i="18"/>
  <c r="Q487" i="18" s="1"/>
  <c r="H559" i="18"/>
  <c r="I216" i="18"/>
  <c r="I215" i="18" s="1"/>
  <c r="N291" i="18"/>
  <c r="J484" i="18"/>
  <c r="J483" i="18" s="1"/>
  <c r="I42" i="18"/>
  <c r="I41" i="18" s="1"/>
  <c r="I40" i="18" s="1"/>
  <c r="J167" i="18"/>
  <c r="J166" i="18" s="1"/>
  <c r="O201" i="18"/>
  <c r="O207" i="18"/>
  <c r="M297" i="18"/>
  <c r="I326" i="18"/>
  <c r="I325" i="18" s="1"/>
  <c r="O375" i="18"/>
  <c r="Q375" i="18" s="1"/>
  <c r="K380" i="18"/>
  <c r="I387" i="18"/>
  <c r="H392" i="18"/>
  <c r="N392" i="18" s="1"/>
  <c r="J413" i="18"/>
  <c r="J412" i="18" s="1"/>
  <c r="O256" i="18"/>
  <c r="Q256" i="18" s="1"/>
  <c r="O216" i="18"/>
  <c r="Q216" i="18" s="1"/>
  <c r="O263" i="18"/>
  <c r="Q263" i="18" s="1"/>
  <c r="O138" i="18"/>
  <c r="I137" i="18"/>
  <c r="O168" i="18"/>
  <c r="Q168" i="18" s="1"/>
  <c r="H268" i="18"/>
  <c r="H267" i="18" s="1"/>
  <c r="N267" i="18" s="1"/>
  <c r="N273" i="18"/>
  <c r="M462" i="18"/>
  <c r="M461" i="18" s="1"/>
  <c r="N483" i="18"/>
  <c r="O90" i="18"/>
  <c r="Q90" i="18" s="1"/>
  <c r="P93" i="18"/>
  <c r="N184" i="18"/>
  <c r="N183" i="18" s="1"/>
  <c r="N182" i="18" s="1"/>
  <c r="N181" i="18" s="1"/>
  <c r="I201" i="18"/>
  <c r="I200" i="18" s="1"/>
  <c r="O250" i="18"/>
  <c r="Q250" i="18" s="1"/>
  <c r="I263" i="18"/>
  <c r="I262" i="18" s="1"/>
  <c r="I261" i="18" s="1"/>
  <c r="H311" i="18"/>
  <c r="N311" i="18" s="1"/>
  <c r="I374" i="18"/>
  <c r="O404" i="18"/>
  <c r="P419" i="18"/>
  <c r="J137" i="18"/>
  <c r="P138" i="18"/>
  <c r="N330" i="18"/>
  <c r="L546" i="18"/>
  <c r="L137" i="18"/>
  <c r="O146" i="18"/>
  <c r="H316" i="18"/>
  <c r="O505" i="18"/>
  <c r="Q505" i="18" s="1"/>
  <c r="O43" i="18"/>
  <c r="Q54" i="18" s="1"/>
  <c r="Q55" i="18"/>
  <c r="L27" i="18"/>
  <c r="L26" i="18" s="1"/>
  <c r="O149" i="18"/>
  <c r="O158" i="18"/>
  <c r="Q158" i="18" s="1"/>
  <c r="M303" i="18"/>
  <c r="M302" i="18" s="1"/>
  <c r="J318" i="18"/>
  <c r="J317" i="18" s="1"/>
  <c r="I344" i="18"/>
  <c r="O363" i="18"/>
  <c r="M369" i="18"/>
  <c r="G403" i="18"/>
  <c r="O430" i="18"/>
  <c r="G493" i="18"/>
  <c r="G492" i="18" s="1"/>
  <c r="M520" i="18"/>
  <c r="M519" i="18" s="1"/>
  <c r="M518" i="18" s="1"/>
  <c r="M517" i="18" s="1"/>
  <c r="M516" i="18" s="1"/>
  <c r="M515" i="18" s="1"/>
  <c r="O161" i="18"/>
  <c r="Q161" i="18" s="1"/>
  <c r="O374" i="18"/>
  <c r="Q374" i="18" s="1"/>
  <c r="J550" i="18"/>
  <c r="J549" i="18" s="1"/>
  <c r="J548" i="18" s="1"/>
  <c r="J547" i="18" s="1"/>
  <c r="J546" i="18" s="1"/>
  <c r="O78" i="18"/>
  <c r="Q78" i="18" s="1"/>
  <c r="M167" i="18"/>
  <c r="M166" i="18" s="1"/>
  <c r="M165" i="18" s="1"/>
  <c r="M164" i="18" s="1"/>
  <c r="O300" i="18"/>
  <c r="P379" i="18"/>
  <c r="K433" i="18"/>
  <c r="I462" i="18"/>
  <c r="I461" i="18" s="1"/>
  <c r="I521" i="18"/>
  <c r="O521" i="18" s="1"/>
  <c r="Q521" i="18" s="1"/>
  <c r="O173" i="18"/>
  <c r="Q173" i="18" s="1"/>
  <c r="O346" i="18"/>
  <c r="Q358" i="18"/>
  <c r="O477" i="18"/>
  <c r="Q477" i="18" s="1"/>
  <c r="Q489" i="18"/>
  <c r="N538" i="18"/>
  <c r="O561" i="18"/>
  <c r="Q561" i="18" s="1"/>
  <c r="O322" i="18"/>
  <c r="Q322" i="18" s="1"/>
  <c r="L339" i="18"/>
  <c r="L338" i="18" s="1"/>
  <c r="L337" i="18" s="1"/>
  <c r="O344" i="18"/>
  <c r="Q344" i="18" s="1"/>
  <c r="Q356" i="18"/>
  <c r="L493" i="18"/>
  <c r="O544" i="18"/>
  <c r="O31" i="18"/>
  <c r="Q43" i="18"/>
  <c r="O177" i="18"/>
  <c r="Q177" i="18" s="1"/>
  <c r="O186" i="18"/>
  <c r="Q186" i="18" s="1"/>
  <c r="I273" i="18"/>
  <c r="O273" i="18" s="1"/>
  <c r="Q273" i="18" s="1"/>
  <c r="G366" i="18"/>
  <c r="M366" i="18" s="1"/>
  <c r="O464" i="18"/>
  <c r="H512" i="18"/>
  <c r="I540" i="18"/>
  <c r="O540" i="18" s="1"/>
  <c r="Q540" i="18" s="1"/>
  <c r="M552" i="18"/>
  <c r="M551" i="18" s="1"/>
  <c r="M550" i="18" s="1"/>
  <c r="M549" i="18" s="1"/>
  <c r="M548" i="18" s="1"/>
  <c r="M547" i="18" s="1"/>
  <c r="M546" i="18" s="1"/>
  <c r="O95" i="18"/>
  <c r="J230" i="18"/>
  <c r="G243" i="18"/>
  <c r="G288" i="18"/>
  <c r="G287" i="18" s="1"/>
  <c r="N319" i="18"/>
  <c r="N318" i="18" s="1"/>
  <c r="N317" i="18" s="1"/>
  <c r="O401" i="18"/>
  <c r="N404" i="18"/>
  <c r="I414" i="18"/>
  <c r="I413" i="18" s="1"/>
  <c r="O506" i="18"/>
  <c r="Q506" i="18" s="1"/>
  <c r="O36" i="18"/>
  <c r="Q36" i="18" s="1"/>
  <c r="L108" i="18"/>
  <c r="L102" i="18" s="1"/>
  <c r="L101" i="18" s="1"/>
  <c r="H137" i="18"/>
  <c r="H136" i="18" s="1"/>
  <c r="H135" i="18" s="1"/>
  <c r="H134" i="18" s="1"/>
  <c r="N134" i="18" s="1"/>
  <c r="N232" i="18"/>
  <c r="N231" i="18" s="1"/>
  <c r="H243" i="18"/>
  <c r="H242" i="18" s="1"/>
  <c r="I354" i="18"/>
  <c r="O362" i="18"/>
  <c r="L426" i="18"/>
  <c r="O426" i="18" s="1"/>
  <c r="Q437" i="18" s="1"/>
  <c r="O458" i="18"/>
  <c r="Q458" i="18" s="1"/>
  <c r="O469" i="18"/>
  <c r="O529" i="18"/>
  <c r="Q529" i="18" s="1"/>
  <c r="M532" i="18"/>
  <c r="M531" i="18" s="1"/>
  <c r="J58" i="18"/>
  <c r="J48" i="18" s="1"/>
  <c r="J47" i="18" s="1"/>
  <c r="L433" i="18"/>
  <c r="J462" i="18"/>
  <c r="J461" i="18" s="1"/>
  <c r="N462" i="18"/>
  <c r="N461" i="18" s="1"/>
  <c r="N532" i="18"/>
  <c r="N531" i="18" s="1"/>
  <c r="K492" i="18"/>
  <c r="K491" i="18" s="1"/>
  <c r="K482" i="18" s="1"/>
  <c r="K481" i="18" s="1"/>
  <c r="K480" i="18" s="1"/>
  <c r="K479" i="18" s="1"/>
  <c r="M192" i="18"/>
  <c r="M191" i="18" s="1"/>
  <c r="M190" i="18" s="1"/>
  <c r="J492" i="18"/>
  <c r="J491" i="18" s="1"/>
  <c r="J482" i="18" s="1"/>
  <c r="J481" i="18" s="1"/>
  <c r="M538" i="18"/>
  <c r="M537" i="18" s="1"/>
  <c r="M536" i="18" s="1"/>
  <c r="M104" i="18"/>
  <c r="M103" i="18" s="1"/>
  <c r="J192" i="18"/>
  <c r="J191" i="18" s="1"/>
  <c r="J190" i="18" s="1"/>
  <c r="J189" i="18" s="1"/>
  <c r="J524" i="18"/>
  <c r="J523" i="18" s="1"/>
  <c r="N104" i="18"/>
  <c r="N103" i="18" s="1"/>
  <c r="L462" i="18"/>
  <c r="L461" i="18" s="1"/>
  <c r="M112" i="18"/>
  <c r="M108" i="18" s="1"/>
  <c r="J339" i="18"/>
  <c r="J338" i="18" s="1"/>
  <c r="J337" i="18" s="1"/>
  <c r="I109" i="18"/>
  <c r="N288" i="18"/>
  <c r="N287" i="18" s="1"/>
  <c r="N420" i="18"/>
  <c r="N419" i="18" s="1"/>
  <c r="O57" i="18"/>
  <c r="I340" i="18"/>
  <c r="H373" i="18"/>
  <c r="H372" i="18" s="1"/>
  <c r="H371" i="18" s="1"/>
  <c r="H81" i="18"/>
  <c r="H525" i="18"/>
  <c r="O533" i="18"/>
  <c r="Q533" i="18" s="1"/>
  <c r="O539" i="18"/>
  <c r="Q539" i="18" s="1"/>
  <c r="I95" i="18"/>
  <c r="I94" i="18" s="1"/>
  <c r="I93" i="18" s="1"/>
  <c r="K296" i="18"/>
  <c r="K295" i="18" s="1"/>
  <c r="K294" i="18" s="1"/>
  <c r="L248" i="18"/>
  <c r="L98" i="18"/>
  <c r="L93" i="18" s="1"/>
  <c r="L81" i="18" s="1"/>
  <c r="J165" i="18"/>
  <c r="J164" i="18" s="1"/>
  <c r="N403" i="18"/>
  <c r="N399" i="18" s="1"/>
  <c r="N398" i="18" s="1"/>
  <c r="N397" i="18" s="1"/>
  <c r="M403" i="18"/>
  <c r="M399" i="18" s="1"/>
  <c r="M398" i="18" s="1"/>
  <c r="M397" i="18" s="1"/>
  <c r="M99" i="18"/>
  <c r="P99" i="18" s="1"/>
  <c r="H209" i="18"/>
  <c r="N209" i="18" s="1"/>
  <c r="N27" i="18"/>
  <c r="N26" i="18" s="1"/>
  <c r="G58" i="18"/>
  <c r="M93" i="18"/>
  <c r="M81" i="18" s="1"/>
  <c r="L230" i="18"/>
  <c r="L165" i="18"/>
  <c r="L164" i="18" s="1"/>
  <c r="O234" i="18"/>
  <c r="Q234" i="18" s="1"/>
  <c r="M248" i="18"/>
  <c r="M58" i="18"/>
  <c r="J93" i="18"/>
  <c r="J81" i="18" s="1"/>
  <c r="G176" i="18"/>
  <c r="K190" i="18"/>
  <c r="K189" i="18" s="1"/>
  <c r="K180" i="18" s="1"/>
  <c r="G200" i="18"/>
  <c r="H230" i="18"/>
  <c r="N230" i="18" s="1"/>
  <c r="J316" i="18"/>
  <c r="J293" i="18" s="1"/>
  <c r="K329" i="18"/>
  <c r="J373" i="18"/>
  <c r="J372" i="18" s="1"/>
  <c r="J371" i="18" s="1"/>
  <c r="L136" i="18"/>
  <c r="L135" i="18" s="1"/>
  <c r="L134" i="18" s="1"/>
  <c r="L127" i="18" s="1"/>
  <c r="K98" i="18"/>
  <c r="N98" i="18" s="1"/>
  <c r="N93" i="18" s="1"/>
  <c r="K135" i="18"/>
  <c r="K134" i="18" s="1"/>
  <c r="K127" i="18" s="1"/>
  <c r="K126" i="18" s="1"/>
  <c r="J136" i="18"/>
  <c r="J135" i="18" s="1"/>
  <c r="J134" i="18" s="1"/>
  <c r="J411" i="18"/>
  <c r="J410" i="18" s="1"/>
  <c r="J399" i="18"/>
  <c r="J398" i="18" s="1"/>
  <c r="J397" i="18" s="1"/>
  <c r="O528" i="18"/>
  <c r="Q528" i="18" s="1"/>
  <c r="N493" i="18"/>
  <c r="O496" i="18"/>
  <c r="Q496" i="18" s="1"/>
  <c r="O494" i="18"/>
  <c r="Q494" i="18" s="1"/>
  <c r="O110" i="18"/>
  <c r="Q110" i="18" s="1"/>
  <c r="N109" i="18"/>
  <c r="N108" i="18" s="1"/>
  <c r="N50" i="18"/>
  <c r="I493" i="18"/>
  <c r="I502" i="18"/>
  <c r="O121" i="18"/>
  <c r="Q121" i="18" s="1"/>
  <c r="L296" i="18"/>
  <c r="L295" i="18" s="1"/>
  <c r="L294" i="18" s="1"/>
  <c r="I498" i="18"/>
  <c r="O498" i="18" s="1"/>
  <c r="P498" i="18" s="1"/>
  <c r="Q498" i="18" s="1"/>
  <c r="G413" i="18"/>
  <c r="H433" i="18"/>
  <c r="O439" i="18"/>
  <c r="G437" i="18"/>
  <c r="G436" i="18" s="1"/>
  <c r="M438" i="18"/>
  <c r="M437" i="18" s="1"/>
  <c r="M436" i="18" s="1"/>
  <c r="M435" i="18" s="1"/>
  <c r="M434" i="18" s="1"/>
  <c r="M433" i="18" s="1"/>
  <c r="M420" i="18"/>
  <c r="M419" i="18" s="1"/>
  <c r="H339" i="18"/>
  <c r="H338" i="18" s="1"/>
  <c r="M339" i="18"/>
  <c r="M338" i="18" s="1"/>
  <c r="O319" i="18"/>
  <c r="Q319" i="18" s="1"/>
  <c r="H307" i="18"/>
  <c r="M121" i="18"/>
  <c r="M120" i="18" s="1"/>
  <c r="M119" i="18" s="1"/>
  <c r="O86" i="18"/>
  <c r="Q97" i="18" s="1"/>
  <c r="G83" i="18"/>
  <c r="G82" i="18" s="1"/>
  <c r="N83" i="18"/>
  <c r="N82" i="18" s="1"/>
  <c r="I84" i="18"/>
  <c r="I83" i="18" s="1"/>
  <c r="I82" i="18" s="1"/>
  <c r="O85" i="18"/>
  <c r="M50" i="18"/>
  <c r="M49" i="18" s="1"/>
  <c r="J27" i="18"/>
  <c r="J26" i="18" s="1"/>
  <c r="H26" i="18"/>
  <c r="I58" i="18"/>
  <c r="I73" i="18"/>
  <c r="G34" i="18"/>
  <c r="O45" i="18"/>
  <c r="Q45" i="18" s="1"/>
  <c r="K47" i="18"/>
  <c r="H49" i="18"/>
  <c r="I50" i="18"/>
  <c r="G72" i="18"/>
  <c r="G77" i="18"/>
  <c r="G89" i="18"/>
  <c r="J102" i="18"/>
  <c r="J101" i="18" s="1"/>
  <c r="G123" i="18"/>
  <c r="G203" i="18"/>
  <c r="N41" i="18"/>
  <c r="N40" i="18" s="1"/>
  <c r="L59" i="18"/>
  <c r="L58" i="18" s="1"/>
  <c r="L48" i="18" s="1"/>
  <c r="L47" i="18" s="1"/>
  <c r="O68" i="18"/>
  <c r="I68" i="18"/>
  <c r="O75" i="18"/>
  <c r="I33" i="18"/>
  <c r="O51" i="18"/>
  <c r="Q51" i="18" s="1"/>
  <c r="N52" i="18"/>
  <c r="O60" i="18"/>
  <c r="G66" i="18"/>
  <c r="I78" i="18"/>
  <c r="N205" i="18"/>
  <c r="N204" i="18" s="1"/>
  <c r="N203" i="18" s="1"/>
  <c r="H204" i="18"/>
  <c r="H203" i="18" s="1"/>
  <c r="M27" i="18"/>
  <c r="M26" i="18" s="1"/>
  <c r="G29" i="18"/>
  <c r="G42" i="18"/>
  <c r="G102" i="18"/>
  <c r="G93" i="18"/>
  <c r="O105" i="18"/>
  <c r="Q105" i="18" s="1"/>
  <c r="H108" i="18"/>
  <c r="H102" i="18" s="1"/>
  <c r="H101" i="18" s="1"/>
  <c r="O111" i="18"/>
  <c r="Q111" i="18" s="1"/>
  <c r="O113" i="18"/>
  <c r="Q113" i="18" s="1"/>
  <c r="G116" i="18"/>
  <c r="O118" i="18"/>
  <c r="Q118" i="18" s="1"/>
  <c r="I120" i="18"/>
  <c r="I126" i="18"/>
  <c r="O126" i="18" s="1"/>
  <c r="Q126" i="18" s="1"/>
  <c r="N130" i="18"/>
  <c r="N129" i="18" s="1"/>
  <c r="O131" i="18"/>
  <c r="Q131" i="18" s="1"/>
  <c r="I132" i="18"/>
  <c r="I136" i="18"/>
  <c r="I156" i="18"/>
  <c r="N167" i="18"/>
  <c r="N166" i="18" s="1"/>
  <c r="N165" i="18" s="1"/>
  <c r="N164" i="18" s="1"/>
  <c r="G172" i="18"/>
  <c r="I206" i="18"/>
  <c r="I210" i="18"/>
  <c r="G214" i="18"/>
  <c r="G220" i="18"/>
  <c r="I221" i="18"/>
  <c r="O229" i="18"/>
  <c r="Q229" i="18" s="1"/>
  <c r="M235" i="18"/>
  <c r="I235" i="18"/>
  <c r="O312" i="18"/>
  <c r="Q312" i="18" s="1"/>
  <c r="I311" i="18"/>
  <c r="I104" i="18"/>
  <c r="I112" i="18"/>
  <c r="M142" i="18"/>
  <c r="M137" i="18" s="1"/>
  <c r="M136" i="18" s="1"/>
  <c r="M135" i="18" s="1"/>
  <c r="M134" i="18" s="1"/>
  <c r="G156" i="18"/>
  <c r="G160" i="18"/>
  <c r="I170" i="18"/>
  <c r="I191" i="18"/>
  <c r="O227" i="18"/>
  <c r="Q227" i="18" s="1"/>
  <c r="G120" i="18"/>
  <c r="H125" i="18"/>
  <c r="H124" i="18" s="1"/>
  <c r="H123" i="18" s="1"/>
  <c r="G136" i="18"/>
  <c r="O171" i="18"/>
  <c r="Q171" i="18" s="1"/>
  <c r="M185" i="18"/>
  <c r="H192" i="18"/>
  <c r="H191" i="18" s="1"/>
  <c r="H190" i="18" s="1"/>
  <c r="N192" i="18"/>
  <c r="N191" i="18" s="1"/>
  <c r="N190" i="18" s="1"/>
  <c r="G209" i="18"/>
  <c r="I214" i="18"/>
  <c r="N221" i="18"/>
  <c r="N220" i="18" s="1"/>
  <c r="H220" i="18"/>
  <c r="M224" i="18"/>
  <c r="J221" i="18"/>
  <c r="J220" i="18" s="1"/>
  <c r="J219" i="18" s="1"/>
  <c r="L224" i="18"/>
  <c r="L221" i="18" s="1"/>
  <c r="L220" i="18" s="1"/>
  <c r="I161" i="18"/>
  <c r="G184" i="18"/>
  <c r="I187" i="18"/>
  <c r="O193" i="18"/>
  <c r="Q193" i="18" s="1"/>
  <c r="G230" i="18"/>
  <c r="I232" i="18"/>
  <c r="I250" i="18"/>
  <c r="O275" i="18"/>
  <c r="Q275" i="18" s="1"/>
  <c r="O276" i="18"/>
  <c r="Q276" i="18" s="1"/>
  <c r="O290" i="18"/>
  <c r="Q290" i="18" s="1"/>
  <c r="I297" i="18"/>
  <c r="O303" i="18"/>
  <c r="Q314" i="18" s="1"/>
  <c r="O305" i="18"/>
  <c r="Q305" i="18" s="1"/>
  <c r="G308" i="18"/>
  <c r="I308" i="18" s="1"/>
  <c r="O308" i="18" s="1"/>
  <c r="Q308" i="18" s="1"/>
  <c r="M309" i="18"/>
  <c r="H248" i="18"/>
  <c r="G255" i="18"/>
  <c r="I274" i="18"/>
  <c r="O278" i="18"/>
  <c r="Q278" i="18" s="1"/>
  <c r="G282" i="18"/>
  <c r="G266" i="18" s="1"/>
  <c r="M266" i="18" s="1"/>
  <c r="G311" i="18"/>
  <c r="I236" i="18"/>
  <c r="J248" i="18"/>
  <c r="G249" i="18"/>
  <c r="M273" i="18"/>
  <c r="G268" i="18"/>
  <c r="I288" i="18"/>
  <c r="G296" i="18"/>
  <c r="O298" i="18"/>
  <c r="Q298" i="18" s="1"/>
  <c r="M236" i="18"/>
  <c r="I239" i="18"/>
  <c r="N243" i="18"/>
  <c r="N242" i="18" s="1"/>
  <c r="O246" i="18"/>
  <c r="Q246" i="18" s="1"/>
  <c r="O247" i="18"/>
  <c r="Q247" i="18" s="1"/>
  <c r="N255" i="18"/>
  <c r="N254" i="18" s="1"/>
  <c r="N248" i="18" s="1"/>
  <c r="G261" i="18"/>
  <c r="O279" i="18"/>
  <c r="Q279" i="18" s="1"/>
  <c r="O313" i="18"/>
  <c r="G317" i="18"/>
  <c r="O269" i="18"/>
  <c r="Q269" i="18" s="1"/>
  <c r="O281" i="18"/>
  <c r="Q281" i="18" s="1"/>
  <c r="N283" i="18"/>
  <c r="N285" i="18"/>
  <c r="I319" i="18"/>
  <c r="G325" i="18"/>
  <c r="O326" i="18"/>
  <c r="I327" i="18"/>
  <c r="O328" i="18"/>
  <c r="G339" i="18"/>
  <c r="O343" i="18"/>
  <c r="Q343" i="18" s="1"/>
  <c r="O361" i="18"/>
  <c r="Q361" i="18" s="1"/>
  <c r="H366" i="18"/>
  <c r="N366" i="18" s="1"/>
  <c r="N369" i="18"/>
  <c r="I369" i="18"/>
  <c r="N376" i="18"/>
  <c r="G380" i="18"/>
  <c r="M380" i="18"/>
  <c r="M379" i="18" s="1"/>
  <c r="O388" i="18"/>
  <c r="Q388" i="18" s="1"/>
  <c r="O389" i="18"/>
  <c r="Q389" i="18" s="1"/>
  <c r="O390" i="18"/>
  <c r="Q401" i="18" s="1"/>
  <c r="O391" i="18"/>
  <c r="Q402" i="18" s="1"/>
  <c r="N393" i="18"/>
  <c r="H399" i="18"/>
  <c r="H398" i="18" s="1"/>
  <c r="H397" i="18" s="1"/>
  <c r="L399" i="18"/>
  <c r="L398" i="18" s="1"/>
  <c r="L397" i="18" s="1"/>
  <c r="N414" i="18"/>
  <c r="N413" i="18" s="1"/>
  <c r="N412" i="18" s="1"/>
  <c r="N411" i="18" s="1"/>
  <c r="N410" i="18" s="1"/>
  <c r="O415" i="18"/>
  <c r="Q415" i="18" s="1"/>
  <c r="M414" i="18"/>
  <c r="M413" i="18" s="1"/>
  <c r="J433" i="18"/>
  <c r="I331" i="18"/>
  <c r="O331" i="18" s="1"/>
  <c r="O330" i="18" s="1"/>
  <c r="O329" i="18" s="1"/>
  <c r="M331" i="18"/>
  <c r="O353" i="18"/>
  <c r="Q353" i="18" s="1"/>
  <c r="I373" i="18"/>
  <c r="M376" i="18"/>
  <c r="M373" i="18" s="1"/>
  <c r="M372" i="18" s="1"/>
  <c r="M371" i="18" s="1"/>
  <c r="L380" i="18"/>
  <c r="L379" i="18" s="1"/>
  <c r="L378" i="18" s="1"/>
  <c r="L336" i="18" s="1"/>
  <c r="G412" i="18"/>
  <c r="I435" i="18"/>
  <c r="G330" i="18"/>
  <c r="O376" i="18"/>
  <c r="Q376" i="18" s="1"/>
  <c r="O377" i="18"/>
  <c r="Q377" i="18" s="1"/>
  <c r="I386" i="18"/>
  <c r="O394" i="18"/>
  <c r="Q394" i="18" s="1"/>
  <c r="O395" i="18"/>
  <c r="Q395" i="18" s="1"/>
  <c r="I352" i="18"/>
  <c r="G371" i="18"/>
  <c r="G400" i="18"/>
  <c r="I406" i="18"/>
  <c r="O351" i="18"/>
  <c r="Q351" i="18" s="1"/>
  <c r="N365" i="18"/>
  <c r="O392" i="18"/>
  <c r="Q392" i="18" s="1"/>
  <c r="O418" i="18"/>
  <c r="H412" i="18"/>
  <c r="H411" i="18" s="1"/>
  <c r="H410" i="18" s="1"/>
  <c r="I420" i="18"/>
  <c r="O421" i="18"/>
  <c r="Q421" i="18" s="1"/>
  <c r="O425" i="18"/>
  <c r="I429" i="18"/>
  <c r="G469" i="18"/>
  <c r="O503" i="18"/>
  <c r="Q503" i="18" s="1"/>
  <c r="N502" i="18"/>
  <c r="N492" i="18" s="1"/>
  <c r="N491" i="18" s="1"/>
  <c r="O514" i="18"/>
  <c r="Q514" i="18" s="1"/>
  <c r="G518" i="18"/>
  <c r="G526" i="18"/>
  <c r="I444" i="18"/>
  <c r="G463" i="18"/>
  <c r="G474" i="18"/>
  <c r="I484" i="18"/>
  <c r="G483" i="18"/>
  <c r="I511" i="18"/>
  <c r="N512" i="18"/>
  <c r="H511" i="18"/>
  <c r="I408" i="18"/>
  <c r="G429" i="18"/>
  <c r="G442" i="18"/>
  <c r="I449" i="18"/>
  <c r="G491" i="18"/>
  <c r="M500" i="18"/>
  <c r="P500" i="18" s="1"/>
  <c r="L525" i="18"/>
  <c r="L524" i="18" s="1"/>
  <c r="L523" i="18" s="1"/>
  <c r="O444" i="18"/>
  <c r="Q444" i="18" s="1"/>
  <c r="N444" i="18"/>
  <c r="N443" i="18" s="1"/>
  <c r="N442" i="18" s="1"/>
  <c r="N441" i="18" s="1"/>
  <c r="G452" i="18"/>
  <c r="G458" i="18"/>
  <c r="M484" i="18"/>
  <c r="O501" i="18"/>
  <c r="Q501" i="18" s="1"/>
  <c r="O454" i="18"/>
  <c r="I475" i="18"/>
  <c r="L484" i="18"/>
  <c r="L483" i="18" s="1"/>
  <c r="I500" i="18"/>
  <c r="H492" i="18"/>
  <c r="H491" i="18" s="1"/>
  <c r="H482" i="18" s="1"/>
  <c r="L500" i="18"/>
  <c r="L492" i="18" s="1"/>
  <c r="I519" i="18"/>
  <c r="O520" i="18"/>
  <c r="Q520" i="18" s="1"/>
  <c r="O534" i="18"/>
  <c r="Q534" i="18" s="1"/>
  <c r="I532" i="18"/>
  <c r="M527" i="18"/>
  <c r="M526" i="18" s="1"/>
  <c r="M525" i="18" s="1"/>
  <c r="I544" i="18"/>
  <c r="N527" i="18"/>
  <c r="N526" i="18" s="1"/>
  <c r="N525" i="18" s="1"/>
  <c r="N524" i="18" s="1"/>
  <c r="N523" i="18" s="1"/>
  <c r="H536" i="18"/>
  <c r="I538" i="18"/>
  <c r="I552" i="18"/>
  <c r="N551" i="18"/>
  <c r="N550" i="18" s="1"/>
  <c r="N549" i="18" s="1"/>
  <c r="N548" i="18" s="1"/>
  <c r="N547" i="18" s="1"/>
  <c r="N546" i="18" s="1"/>
  <c r="H550" i="18"/>
  <c r="H549" i="18" s="1"/>
  <c r="H548" i="18" s="1"/>
  <c r="H547" i="18" s="1"/>
  <c r="H546" i="18" s="1"/>
  <c r="O556" i="18"/>
  <c r="Q556" i="18" s="1"/>
  <c r="G567" i="18"/>
  <c r="I569" i="18"/>
  <c r="H440" i="17"/>
  <c r="H441" i="17"/>
  <c r="N373" i="18" l="1"/>
  <c r="N372" i="18" s="1"/>
  <c r="N371" i="18" s="1"/>
  <c r="I267" i="18"/>
  <c r="I243" i="18"/>
  <c r="M296" i="18"/>
  <c r="M295" i="18" s="1"/>
  <c r="O196" i="18"/>
  <c r="Q196" i="18" s="1"/>
  <c r="L293" i="18"/>
  <c r="L265" i="18" s="1"/>
  <c r="H282" i="18"/>
  <c r="H266" i="18" s="1"/>
  <c r="N266" i="18" s="1"/>
  <c r="O206" i="18"/>
  <c r="Q206" i="18" s="1"/>
  <c r="Q207" i="18"/>
  <c r="O200" i="18"/>
  <c r="Q200" i="18" s="1"/>
  <c r="Q201" i="18"/>
  <c r="O142" i="18"/>
  <c r="O137" i="18" s="1"/>
  <c r="O136" i="18" s="1"/>
  <c r="Q143" i="18"/>
  <c r="Q138" i="18"/>
  <c r="O291" i="18"/>
  <c r="Q291" i="18" s="1"/>
  <c r="Q427" i="18"/>
  <c r="Q416" i="18"/>
  <c r="Q31" i="18"/>
  <c r="Q42" i="18"/>
  <c r="Q357" i="18"/>
  <c r="Q346" i="18"/>
  <c r="O538" i="18"/>
  <c r="Q538" i="18" s="1"/>
  <c r="N482" i="18"/>
  <c r="M230" i="18"/>
  <c r="Q363" i="18"/>
  <c r="Q324" i="18"/>
  <c r="Q313" i="18"/>
  <c r="Q154" i="18"/>
  <c r="O485" i="18"/>
  <c r="Q485" i="18" s="1"/>
  <c r="Q555" i="18"/>
  <c r="Q544" i="18"/>
  <c r="Q364" i="18"/>
  <c r="O532" i="18"/>
  <c r="Q532" i="18" s="1"/>
  <c r="Q365" i="18"/>
  <c r="K379" i="18"/>
  <c r="K378" i="18" s="1"/>
  <c r="N380" i="18"/>
  <c r="N379" i="18" s="1"/>
  <c r="I559" i="18"/>
  <c r="M127" i="18"/>
  <c r="M102" i="18"/>
  <c r="M101" i="18" s="1"/>
  <c r="M70" i="18" s="1"/>
  <c r="H481" i="18"/>
  <c r="O240" i="18"/>
  <c r="Q240" i="18" s="1"/>
  <c r="O420" i="18"/>
  <c r="Q420" i="18" s="1"/>
  <c r="O74" i="18"/>
  <c r="Q86" i="18"/>
  <c r="O84" i="18"/>
  <c r="Q96" i="18"/>
  <c r="O463" i="18"/>
  <c r="O160" i="18"/>
  <c r="Q160" i="18" s="1"/>
  <c r="O157" i="18"/>
  <c r="Q157" i="18" s="1"/>
  <c r="G242" i="18"/>
  <c r="M243" i="18"/>
  <c r="M242" i="18" s="1"/>
  <c r="O77" i="18"/>
  <c r="Q77" i="18" s="1"/>
  <c r="O352" i="18"/>
  <c r="Q352" i="18" s="1"/>
  <c r="O42" i="18"/>
  <c r="Q56" i="18"/>
  <c r="O438" i="18"/>
  <c r="Q450" i="18"/>
  <c r="O172" i="18"/>
  <c r="Q172" i="18" s="1"/>
  <c r="P137" i="18"/>
  <c r="O417" i="18"/>
  <c r="Q429" i="18"/>
  <c r="M330" i="18"/>
  <c r="M329" i="18" s="1"/>
  <c r="M316" i="18" s="1"/>
  <c r="P331" i="18"/>
  <c r="Q331" i="18" s="1"/>
  <c r="O387" i="18"/>
  <c r="Q387" i="18" s="1"/>
  <c r="O325" i="18"/>
  <c r="O170" i="18"/>
  <c r="Q170" i="18" s="1"/>
  <c r="O117" i="18"/>
  <c r="Q117" i="18" s="1"/>
  <c r="O185" i="18"/>
  <c r="Q185" i="18" s="1"/>
  <c r="P81" i="18"/>
  <c r="O453" i="18"/>
  <c r="Q465" i="18"/>
  <c r="O373" i="18"/>
  <c r="Q373" i="18" s="1"/>
  <c r="O304" i="18"/>
  <c r="Q315" i="18" s="1"/>
  <c r="O232" i="18"/>
  <c r="Q232" i="18" s="1"/>
  <c r="O429" i="18"/>
  <c r="P412" i="18"/>
  <c r="O302" i="18"/>
  <c r="O112" i="18"/>
  <c r="O527" i="18"/>
  <c r="Q527" i="18" s="1"/>
  <c r="L70" i="18"/>
  <c r="O176" i="18"/>
  <c r="Q176" i="18" s="1"/>
  <c r="O89" i="18"/>
  <c r="Q89" i="18" s="1"/>
  <c r="O262" i="18"/>
  <c r="Q262" i="18" s="1"/>
  <c r="M492" i="18"/>
  <c r="M491" i="18" s="1"/>
  <c r="O350" i="18"/>
  <c r="Q350" i="18" s="1"/>
  <c r="Q362" i="18"/>
  <c r="O109" i="18"/>
  <c r="Q109" i="18" s="1"/>
  <c r="O35" i="18"/>
  <c r="Q35" i="18" s="1"/>
  <c r="O94" i="18"/>
  <c r="P378" i="18"/>
  <c r="O504" i="18"/>
  <c r="Q504" i="18" s="1"/>
  <c r="O502" i="18"/>
  <c r="Q502" i="18" s="1"/>
  <c r="O414" i="18"/>
  <c r="Q426" i="18"/>
  <c r="O289" i="18"/>
  <c r="Q289" i="18" s="1"/>
  <c r="O468" i="18"/>
  <c r="O30" i="18"/>
  <c r="Q30" i="18" s="1"/>
  <c r="O560" i="18"/>
  <c r="Q560" i="18" s="1"/>
  <c r="L412" i="18"/>
  <c r="L411" i="18" s="1"/>
  <c r="L410" i="18" s="1"/>
  <c r="O552" i="18"/>
  <c r="Q552" i="18" s="1"/>
  <c r="Q567" i="18"/>
  <c r="M308" i="18"/>
  <c r="O104" i="18"/>
  <c r="Q104" i="18" s="1"/>
  <c r="O59" i="18"/>
  <c r="O58" i="18" s="1"/>
  <c r="Q71" i="18"/>
  <c r="O318" i="18"/>
  <c r="Q318" i="18" s="1"/>
  <c r="O120" i="18"/>
  <c r="Q120" i="18" s="1"/>
  <c r="P492" i="18"/>
  <c r="O519" i="18"/>
  <c r="Q519" i="18" s="1"/>
  <c r="J127" i="18"/>
  <c r="J480" i="18"/>
  <c r="J479" i="18" s="1"/>
  <c r="O457" i="18"/>
  <c r="Q457" i="18" s="1"/>
  <c r="O215" i="18"/>
  <c r="Q215" i="18" s="1"/>
  <c r="O228" i="18"/>
  <c r="Q228" i="18" s="1"/>
  <c r="O50" i="18"/>
  <c r="Q62" i="18"/>
  <c r="H337" i="18"/>
  <c r="H336" i="18" s="1"/>
  <c r="O400" i="18"/>
  <c r="Q400" i="18" s="1"/>
  <c r="O476" i="18"/>
  <c r="Q476" i="18" s="1"/>
  <c r="O255" i="18"/>
  <c r="Q255" i="18" s="1"/>
  <c r="O424" i="18"/>
  <c r="Q435" i="18" s="1"/>
  <c r="Q436" i="18"/>
  <c r="O342" i="18"/>
  <c r="Q342" i="18" s="1"/>
  <c r="O297" i="18"/>
  <c r="Q297" i="18" s="1"/>
  <c r="O224" i="18"/>
  <c r="Q224" i="18" s="1"/>
  <c r="N81" i="18"/>
  <c r="L419" i="18"/>
  <c r="O249" i="18"/>
  <c r="Q249" i="18" s="1"/>
  <c r="O67" i="18"/>
  <c r="O443" i="18"/>
  <c r="Q443" i="18" s="1"/>
  <c r="N102" i="18"/>
  <c r="N101" i="18" s="1"/>
  <c r="M524" i="18"/>
  <c r="M523" i="18" s="1"/>
  <c r="N282" i="18"/>
  <c r="I81" i="18"/>
  <c r="N440" i="18"/>
  <c r="N433" i="18" s="1"/>
  <c r="H127" i="18"/>
  <c r="N127" i="18" s="1"/>
  <c r="H219" i="18"/>
  <c r="H218" i="18" s="1"/>
  <c r="O98" i="18"/>
  <c r="L219" i="18"/>
  <c r="L218" i="18" s="1"/>
  <c r="L180" i="18" s="1"/>
  <c r="N219" i="18"/>
  <c r="N218" i="18" s="1"/>
  <c r="J218" i="18"/>
  <c r="J180" i="18" s="1"/>
  <c r="N189" i="18"/>
  <c r="N337" i="18"/>
  <c r="M412" i="18"/>
  <c r="M411" i="18" s="1"/>
  <c r="M410" i="18" s="1"/>
  <c r="G191" i="18"/>
  <c r="J70" i="18"/>
  <c r="J39" i="18" s="1"/>
  <c r="N329" i="18"/>
  <c r="N316" i="18" s="1"/>
  <c r="K316" i="18"/>
  <c r="K293" i="18" s="1"/>
  <c r="J336" i="18"/>
  <c r="J265" i="18" s="1"/>
  <c r="L39" i="18"/>
  <c r="K93" i="18"/>
  <c r="K81" i="18" s="1"/>
  <c r="K70" i="18" s="1"/>
  <c r="K39" i="18" s="1"/>
  <c r="G48" i="18"/>
  <c r="O493" i="18"/>
  <c r="Q493" i="18" s="1"/>
  <c r="I492" i="18"/>
  <c r="I491" i="18" s="1"/>
  <c r="H70" i="18"/>
  <c r="H306" i="18"/>
  <c r="H294" i="18" s="1"/>
  <c r="H293" i="18" s="1"/>
  <c r="N307" i="18"/>
  <c r="N306" i="18" s="1"/>
  <c r="N294" i="18" s="1"/>
  <c r="I551" i="18"/>
  <c r="I474" i="18"/>
  <c r="O408" i="18"/>
  <c r="I483" i="18"/>
  <c r="G517" i="18"/>
  <c r="G435" i="18"/>
  <c r="I330" i="18"/>
  <c r="G338" i="18"/>
  <c r="I531" i="18"/>
  <c r="G457" i="18"/>
  <c r="G441" i="18"/>
  <c r="O511" i="18"/>
  <c r="Q511" i="18" s="1"/>
  <c r="G473" i="18"/>
  <c r="G525" i="18"/>
  <c r="I428" i="18"/>
  <c r="I324" i="18"/>
  <c r="I372" i="18"/>
  <c r="G324" i="18"/>
  <c r="O187" i="18"/>
  <c r="I213" i="18"/>
  <c r="H189" i="18"/>
  <c r="I103" i="18"/>
  <c r="I205" i="18"/>
  <c r="I167" i="18"/>
  <c r="I125" i="18"/>
  <c r="O125" i="18"/>
  <c r="Q125" i="18" s="1"/>
  <c r="G81" i="18"/>
  <c r="G41" i="18"/>
  <c r="G71" i="18"/>
  <c r="G33" i="18"/>
  <c r="I72" i="18"/>
  <c r="I537" i="18"/>
  <c r="G399" i="18"/>
  <c r="I385" i="18"/>
  <c r="G379" i="18"/>
  <c r="I318" i="18"/>
  <c r="M311" i="18"/>
  <c r="G307" i="18"/>
  <c r="M307" i="18" s="1"/>
  <c r="I296" i="18"/>
  <c r="I160" i="18"/>
  <c r="G208" i="18"/>
  <c r="M209" i="18"/>
  <c r="M208" i="18" s="1"/>
  <c r="G119" i="18"/>
  <c r="I190" i="18"/>
  <c r="G213" i="18"/>
  <c r="O132" i="18"/>
  <c r="Q132" i="18" s="1"/>
  <c r="I130" i="18"/>
  <c r="I128" i="18"/>
  <c r="I119" i="18"/>
  <c r="G165" i="18"/>
  <c r="I77" i="18"/>
  <c r="I67" i="18"/>
  <c r="I27" i="18"/>
  <c r="I108" i="18"/>
  <c r="G76" i="18"/>
  <c r="I568" i="18"/>
  <c r="G482" i="18"/>
  <c r="I443" i="18"/>
  <c r="I339" i="18"/>
  <c r="G566" i="18"/>
  <c r="H524" i="18"/>
  <c r="H523" i="18" s="1"/>
  <c r="H480" i="18" s="1"/>
  <c r="H479" i="18" s="1"/>
  <c r="G549" i="18"/>
  <c r="O500" i="18"/>
  <c r="Q500" i="18" s="1"/>
  <c r="L491" i="18"/>
  <c r="L482" i="18" s="1"/>
  <c r="L481" i="18" s="1"/>
  <c r="L480" i="18" s="1"/>
  <c r="L479" i="18" s="1"/>
  <c r="M483" i="18"/>
  <c r="O484" i="18"/>
  <c r="G451" i="18"/>
  <c r="G428" i="18"/>
  <c r="N511" i="18"/>
  <c r="N481" i="18" s="1"/>
  <c r="N480" i="18" s="1"/>
  <c r="N479" i="18" s="1"/>
  <c r="G468" i="18"/>
  <c r="O419" i="18"/>
  <c r="Q419" i="18" s="1"/>
  <c r="O406" i="18"/>
  <c r="O380" i="18"/>
  <c r="I434" i="18"/>
  <c r="O327" i="18"/>
  <c r="O296" i="18"/>
  <c r="Q296" i="18" s="1"/>
  <c r="I268" i="18"/>
  <c r="O274" i="18"/>
  <c r="Q274" i="18" s="1"/>
  <c r="I249" i="18"/>
  <c r="M184" i="18"/>
  <c r="M183" i="18" s="1"/>
  <c r="M182" i="18" s="1"/>
  <c r="M181" i="18" s="1"/>
  <c r="G183" i="18"/>
  <c r="I184" i="18"/>
  <c r="O311" i="18"/>
  <c r="Q311" i="18" s="1"/>
  <c r="I307" i="18"/>
  <c r="O307" i="18" s="1"/>
  <c r="Q307" i="18" s="1"/>
  <c r="O268" i="18"/>
  <c r="Q268" i="18" s="1"/>
  <c r="O267" i="18"/>
  <c r="Q267" i="18" s="1"/>
  <c r="O235" i="18"/>
  <c r="Q235" i="18" s="1"/>
  <c r="I220" i="18"/>
  <c r="G65" i="18"/>
  <c r="I49" i="18"/>
  <c r="I518" i="18"/>
  <c r="I419" i="18"/>
  <c r="G329" i="18"/>
  <c r="I403" i="18"/>
  <c r="M378" i="18"/>
  <c r="O379" i="18"/>
  <c r="O378" i="18" s="1"/>
  <c r="I367" i="18"/>
  <c r="I366" i="18"/>
  <c r="O369" i="18"/>
  <c r="Q369" i="18" s="1"/>
  <c r="O243" i="18"/>
  <c r="Q243" i="18" s="1"/>
  <c r="I242" i="18"/>
  <c r="G295" i="18"/>
  <c r="I287" i="18"/>
  <c r="M268" i="18"/>
  <c r="M267" i="18"/>
  <c r="O236" i="18"/>
  <c r="Q236" i="18" s="1"/>
  <c r="G254" i="18"/>
  <c r="I231" i="18"/>
  <c r="G135" i="18"/>
  <c r="M221" i="18"/>
  <c r="M220" i="18" s="1"/>
  <c r="M219" i="18" s="1"/>
  <c r="M218" i="18" s="1"/>
  <c r="G219" i="18"/>
  <c r="I209" i="18"/>
  <c r="O210" i="18"/>
  <c r="Q210" i="18" s="1"/>
  <c r="G115" i="18"/>
  <c r="G28" i="18"/>
  <c r="H48" i="18"/>
  <c r="N49" i="18"/>
  <c r="N48" i="18" s="1"/>
  <c r="N47" i="18" s="1"/>
  <c r="H118" i="17"/>
  <c r="H65" i="17"/>
  <c r="O413" i="18" l="1"/>
  <c r="O205" i="18"/>
  <c r="Q205" i="18" s="1"/>
  <c r="O537" i="18"/>
  <c r="Q537" i="18" s="1"/>
  <c r="O192" i="18"/>
  <c r="Q192" i="18" s="1"/>
  <c r="O531" i="18"/>
  <c r="Q531" i="18" s="1"/>
  <c r="Q304" i="18"/>
  <c r="Q198" i="18"/>
  <c r="Q187" i="18"/>
  <c r="Q428" i="18"/>
  <c r="Q417" i="18"/>
  <c r="Q425" i="18"/>
  <c r="Q414" i="18"/>
  <c r="Q137" i="18"/>
  <c r="N70" i="18"/>
  <c r="N39" i="18" s="1"/>
  <c r="O108" i="18"/>
  <c r="Q108" i="18" s="1"/>
  <c r="Q112" i="18"/>
  <c r="Q153" i="18"/>
  <c r="Q142" i="18"/>
  <c r="Q424" i="18"/>
  <c r="Q413" i="18"/>
  <c r="Q391" i="18"/>
  <c r="Q380" i="18"/>
  <c r="Q378" i="18"/>
  <c r="Q379" i="18"/>
  <c r="O386" i="18"/>
  <c r="M189" i="18"/>
  <c r="M180" i="18" s="1"/>
  <c r="N293" i="18"/>
  <c r="O239" i="18"/>
  <c r="Q239" i="18" s="1"/>
  <c r="H180" i="18"/>
  <c r="N378" i="18"/>
  <c r="N336" i="18" s="1"/>
  <c r="K336" i="18"/>
  <c r="K265" i="18" s="1"/>
  <c r="K38" i="18" s="1"/>
  <c r="K25" i="18" s="1"/>
  <c r="M482" i="18"/>
  <c r="M481" i="18" s="1"/>
  <c r="O242" i="18"/>
  <c r="Q242" i="18" s="1"/>
  <c r="O295" i="18"/>
  <c r="Q295" i="18" s="1"/>
  <c r="O475" i="18"/>
  <c r="Q475" i="18" s="1"/>
  <c r="O452" i="18"/>
  <c r="Q464" i="18"/>
  <c r="O324" i="18"/>
  <c r="O437" i="18"/>
  <c r="Q449" i="18"/>
  <c r="O156" i="18"/>
  <c r="Q156" i="18" s="1"/>
  <c r="O103" i="18"/>
  <c r="O462" i="18"/>
  <c r="P411" i="18"/>
  <c r="O570" i="18"/>
  <c r="O41" i="18"/>
  <c r="Q53" i="18"/>
  <c r="O124" i="18"/>
  <c r="Q124" i="18" s="1"/>
  <c r="O518" i="18"/>
  <c r="Q518" i="18" s="1"/>
  <c r="O288" i="18"/>
  <c r="Q288" i="18" s="1"/>
  <c r="O34" i="18"/>
  <c r="Q34" i="18" s="1"/>
  <c r="O428" i="18"/>
  <c r="Q439" i="18" s="1"/>
  <c r="P70" i="18"/>
  <c r="P330" i="18"/>
  <c r="Q330" i="18" s="1"/>
  <c r="O551" i="18"/>
  <c r="Q551" i="18" s="1"/>
  <c r="Q563" i="18"/>
  <c r="O93" i="18"/>
  <c r="O49" i="18"/>
  <c r="Q61" i="18"/>
  <c r="P491" i="18"/>
  <c r="O526" i="18"/>
  <c r="Q526" i="18" s="1"/>
  <c r="O231" i="18"/>
  <c r="Q231" i="18" s="1"/>
  <c r="O76" i="18"/>
  <c r="Q76" i="18" s="1"/>
  <c r="O83" i="18"/>
  <c r="Q95" i="18"/>
  <c r="O119" i="18"/>
  <c r="Q119" i="18" s="1"/>
  <c r="O204" i="18"/>
  <c r="Q204" i="18" s="1"/>
  <c r="Q148" i="18"/>
  <c r="P136" i="18"/>
  <c r="Q136" i="18" s="1"/>
  <c r="H265" i="18"/>
  <c r="O116" i="18"/>
  <c r="Q116" i="18" s="1"/>
  <c r="O73" i="18"/>
  <c r="Q85" i="18"/>
  <c r="O214" i="18"/>
  <c r="Q214" i="18" s="1"/>
  <c r="O317" i="18"/>
  <c r="Q317" i="18" s="1"/>
  <c r="O559" i="18"/>
  <c r="Q559" i="18" s="1"/>
  <c r="O483" i="18"/>
  <c r="P484" i="18"/>
  <c r="Q484" i="18" s="1"/>
  <c r="O536" i="18"/>
  <c r="Q536" i="18" s="1"/>
  <c r="O254" i="18"/>
  <c r="Q254" i="18" s="1"/>
  <c r="P336" i="18"/>
  <c r="O261" i="18"/>
  <c r="Q261" i="18" s="1"/>
  <c r="O372" i="18"/>
  <c r="Q372" i="18" s="1"/>
  <c r="O167" i="18"/>
  <c r="Q167" i="18" s="1"/>
  <c r="O191" i="18"/>
  <c r="Q191" i="18" s="1"/>
  <c r="O339" i="18"/>
  <c r="Q339" i="18" s="1"/>
  <c r="O456" i="18"/>
  <c r="Q456" i="18" s="1"/>
  <c r="O29" i="18"/>
  <c r="Q29" i="18" s="1"/>
  <c r="Q41" i="18"/>
  <c r="Q390" i="18"/>
  <c r="O66" i="18"/>
  <c r="O442" i="18"/>
  <c r="Q442" i="18" s="1"/>
  <c r="N180" i="18"/>
  <c r="G190" i="18"/>
  <c r="G189" i="18" s="1"/>
  <c r="I135" i="18"/>
  <c r="I134" i="18" s="1"/>
  <c r="L38" i="18"/>
  <c r="L25" i="18" s="1"/>
  <c r="J38" i="18"/>
  <c r="J25" i="18" s="1"/>
  <c r="M48" i="18"/>
  <c r="G47" i="18"/>
  <c r="M47" i="18" s="1"/>
  <c r="M39" i="18" s="1"/>
  <c r="O306" i="18"/>
  <c r="Q306" i="18" s="1"/>
  <c r="G248" i="18"/>
  <c r="O492" i="18"/>
  <c r="O491" i="18" s="1"/>
  <c r="G294" i="18"/>
  <c r="O221" i="18"/>
  <c r="Q221" i="18" s="1"/>
  <c r="I76" i="18"/>
  <c r="O130" i="18"/>
  <c r="Q130" i="18" s="1"/>
  <c r="I129" i="18"/>
  <c r="M306" i="18"/>
  <c r="M294" i="18"/>
  <c r="M293" i="18" s="1"/>
  <c r="G27" i="18"/>
  <c r="O209" i="18"/>
  <c r="Q209" i="18" s="1"/>
  <c r="I208" i="18"/>
  <c r="I230" i="18"/>
  <c r="I282" i="18"/>
  <c r="I517" i="18"/>
  <c r="I48" i="18"/>
  <c r="I183" i="18"/>
  <c r="O184" i="18"/>
  <c r="Q184" i="18" s="1"/>
  <c r="O294" i="18"/>
  <c r="Q294" i="18" s="1"/>
  <c r="G450" i="18"/>
  <c r="I338" i="18"/>
  <c r="G481" i="18"/>
  <c r="G164" i="18"/>
  <c r="I295" i="18"/>
  <c r="G316" i="18"/>
  <c r="G378" i="18"/>
  <c r="I536" i="18"/>
  <c r="G101" i="18"/>
  <c r="I371" i="18"/>
  <c r="G456" i="18"/>
  <c r="G337" i="18"/>
  <c r="G516" i="18"/>
  <c r="I482" i="18"/>
  <c r="I473" i="18"/>
  <c r="O366" i="18"/>
  <c r="Q366" i="18" s="1"/>
  <c r="I412" i="18"/>
  <c r="I306" i="18"/>
  <c r="I567" i="18"/>
  <c r="I26" i="18"/>
  <c r="G398" i="18"/>
  <c r="G472" i="18"/>
  <c r="G440" i="18"/>
  <c r="G411" i="18"/>
  <c r="G134" i="18"/>
  <c r="I399" i="18"/>
  <c r="O128" i="18"/>
  <c r="Q128" i="18" s="1"/>
  <c r="I102" i="18"/>
  <c r="O367" i="18"/>
  <c r="Q367" i="18" s="1"/>
  <c r="G182" i="18"/>
  <c r="G548" i="18"/>
  <c r="I442" i="18"/>
  <c r="G212" i="18"/>
  <c r="G306" i="18"/>
  <c r="I317" i="18"/>
  <c r="O412" i="18"/>
  <c r="I124" i="18"/>
  <c r="I329" i="18"/>
  <c r="G434" i="18"/>
  <c r="O403" i="18"/>
  <c r="I550" i="18"/>
  <c r="H47" i="18"/>
  <c r="I248" i="18"/>
  <c r="I66" i="18"/>
  <c r="I71" i="18"/>
  <c r="G40" i="18"/>
  <c r="I166" i="18"/>
  <c r="I204" i="18"/>
  <c r="I212" i="18"/>
  <c r="G524" i="18"/>
  <c r="I525" i="18"/>
  <c r="G462" i="18"/>
  <c r="O544" i="17"/>
  <c r="M544" i="17"/>
  <c r="O550" i="17"/>
  <c r="M550" i="17"/>
  <c r="O551" i="17"/>
  <c r="M551" i="17"/>
  <c r="I544" i="17"/>
  <c r="G544" i="17"/>
  <c r="I550" i="17"/>
  <c r="I551" i="17"/>
  <c r="O262" i="17"/>
  <c r="N262" i="17"/>
  <c r="M262" i="17"/>
  <c r="H262" i="17"/>
  <c r="I262" i="17"/>
  <c r="G262" i="17"/>
  <c r="I263" i="17"/>
  <c r="G263" i="17"/>
  <c r="H122" i="17"/>
  <c r="O411" i="18" l="1"/>
  <c r="O410" i="18" s="1"/>
  <c r="Q491" i="18"/>
  <c r="O525" i="18"/>
  <c r="Q525" i="18" s="1"/>
  <c r="O102" i="18"/>
  <c r="Q102" i="18" s="1"/>
  <c r="Q103" i="18"/>
  <c r="Q411" i="18"/>
  <c r="O385" i="18"/>
  <c r="Q386" i="18"/>
  <c r="O338" i="18"/>
  <c r="Q412" i="18"/>
  <c r="Q338" i="18"/>
  <c r="N265" i="18"/>
  <c r="N38" i="18" s="1"/>
  <c r="N25" i="18" s="1"/>
  <c r="Q492" i="18"/>
  <c r="O248" i="18"/>
  <c r="Q248" i="18" s="1"/>
  <c r="O213" i="18"/>
  <c r="Q213" i="18" s="1"/>
  <c r="O82" i="18"/>
  <c r="Q93" i="18" s="1"/>
  <c r="Q94" i="18"/>
  <c r="O81" i="18"/>
  <c r="O569" i="18"/>
  <c r="O436" i="18"/>
  <c r="Q447" i="18" s="1"/>
  <c r="Q448" i="18"/>
  <c r="O72" i="18"/>
  <c r="Q84" i="18"/>
  <c r="O33" i="18"/>
  <c r="P410" i="18"/>
  <c r="O183" i="18"/>
  <c r="Q183" i="18" s="1"/>
  <c r="O129" i="18"/>
  <c r="Q129" i="18" s="1"/>
  <c r="O190" i="18"/>
  <c r="Q190" i="18" s="1"/>
  <c r="O524" i="18"/>
  <c r="Q524" i="18" s="1"/>
  <c r="O115" i="18"/>
  <c r="Q115" i="18" s="1"/>
  <c r="P483" i="18"/>
  <c r="Q483" i="18" s="1"/>
  <c r="O550" i="18"/>
  <c r="Q550" i="18" s="1"/>
  <c r="O287" i="18"/>
  <c r="Q287" i="18" s="1"/>
  <c r="O461" i="18"/>
  <c r="O451" i="18"/>
  <c r="Q463" i="18"/>
  <c r="O220" i="18"/>
  <c r="Q220" i="18" s="1"/>
  <c r="O166" i="18"/>
  <c r="Q166" i="18" s="1"/>
  <c r="P135" i="18"/>
  <c r="O517" i="18"/>
  <c r="Q517" i="18" s="1"/>
  <c r="O474" i="18"/>
  <c r="Q474" i="18" s="1"/>
  <c r="O399" i="18"/>
  <c r="Q399" i="18" s="1"/>
  <c r="O371" i="18"/>
  <c r="Q371" i="18" s="1"/>
  <c r="P329" i="18"/>
  <c r="Q329" i="18" s="1"/>
  <c r="O337" i="18"/>
  <c r="Q337" i="18" s="1"/>
  <c r="O28" i="18"/>
  <c r="Q28" i="18" s="1"/>
  <c r="Q40" i="18"/>
  <c r="O203" i="18"/>
  <c r="Q203" i="18" s="1"/>
  <c r="O123" i="18"/>
  <c r="Q123" i="18" s="1"/>
  <c r="O230" i="18"/>
  <c r="Q230" i="18" s="1"/>
  <c r="O482" i="18"/>
  <c r="O481" i="18" s="1"/>
  <c r="Q328" i="18"/>
  <c r="O316" i="18"/>
  <c r="O293" i="18" s="1"/>
  <c r="P39" i="18"/>
  <c r="O455" i="18"/>
  <c r="Q455" i="18" s="1"/>
  <c r="O48" i="18"/>
  <c r="O40" i="18"/>
  <c r="Q52" i="18"/>
  <c r="O135" i="18"/>
  <c r="O134" i="18" s="1"/>
  <c r="O65" i="18"/>
  <c r="O441" i="18"/>
  <c r="Q441" i="18" s="1"/>
  <c r="G218" i="18"/>
  <c r="G127" i="18"/>
  <c r="I294" i="18"/>
  <c r="G449" i="18"/>
  <c r="I266" i="18"/>
  <c r="O266" i="18" s="1"/>
  <c r="Q266" i="18" s="1"/>
  <c r="I165" i="18"/>
  <c r="G70" i="18"/>
  <c r="I65" i="18"/>
  <c r="H39" i="18"/>
  <c r="H38" i="18" s="1"/>
  <c r="H25" i="18" s="1"/>
  <c r="I123" i="18"/>
  <c r="I316" i="18"/>
  <c r="I441" i="18"/>
  <c r="I472" i="18"/>
  <c r="G515" i="18"/>
  <c r="I182" i="18"/>
  <c r="I516" i="18"/>
  <c r="O208" i="18"/>
  <c r="Q208" i="18" s="1"/>
  <c r="G293" i="18"/>
  <c r="I101" i="18"/>
  <c r="I524" i="18"/>
  <c r="G523" i="18"/>
  <c r="G547" i="18"/>
  <c r="G181" i="18"/>
  <c r="I398" i="18"/>
  <c r="G397" i="18"/>
  <c r="I411" i="18"/>
  <c r="I481" i="18"/>
  <c r="G336" i="18"/>
  <c r="M337" i="18"/>
  <c r="M336" i="18" s="1"/>
  <c r="M265" i="18" s="1"/>
  <c r="M38" i="18" s="1"/>
  <c r="G26" i="18"/>
  <c r="G461" i="18"/>
  <c r="I203" i="18"/>
  <c r="I549" i="18"/>
  <c r="I566" i="18"/>
  <c r="I337" i="18"/>
  <c r="I47" i="18"/>
  <c r="I219" i="18"/>
  <c r="G410" i="18"/>
  <c r="G455" i="18"/>
  <c r="Q135" i="18" l="1"/>
  <c r="P482" i="18"/>
  <c r="Q48" i="18"/>
  <c r="Q49" i="18"/>
  <c r="Q410" i="18"/>
  <c r="Q385" i="18"/>
  <c r="O189" i="18"/>
  <c r="Q189" i="18" s="1"/>
  <c r="Q33" i="18"/>
  <c r="Q482" i="18"/>
  <c r="O336" i="18"/>
  <c r="O473" i="18"/>
  <c r="Q473" i="18" s="1"/>
  <c r="O71" i="18"/>
  <c r="Q83" i="18"/>
  <c r="O516" i="18"/>
  <c r="Q516" i="18" s="1"/>
  <c r="O282" i="18"/>
  <c r="Q282" i="18" s="1"/>
  <c r="P134" i="18"/>
  <c r="Q134" i="18" s="1"/>
  <c r="O435" i="18"/>
  <c r="O47" i="18"/>
  <c r="Q47" i="18" s="1"/>
  <c r="P316" i="18"/>
  <c r="Q316" i="18" s="1"/>
  <c r="O549" i="18"/>
  <c r="Q549" i="18" s="1"/>
  <c r="O182" i="18"/>
  <c r="Q182" i="18" s="1"/>
  <c r="P481" i="18"/>
  <c r="Q481" i="18" s="1"/>
  <c r="O568" i="18"/>
  <c r="O165" i="18"/>
  <c r="Q165" i="18" s="1"/>
  <c r="O219" i="18"/>
  <c r="Q219" i="18" s="1"/>
  <c r="O27" i="18"/>
  <c r="Q27" i="18" s="1"/>
  <c r="O398" i="18"/>
  <c r="Q398" i="18" s="1"/>
  <c r="O450" i="18"/>
  <c r="Q462" i="18"/>
  <c r="O523" i="18"/>
  <c r="Q523" i="18" s="1"/>
  <c r="O101" i="18"/>
  <c r="Q101" i="18" s="1"/>
  <c r="O212" i="18"/>
  <c r="Q212" i="18" s="1"/>
  <c r="O440" i="18"/>
  <c r="Q440" i="18" s="1"/>
  <c r="G433" i="18"/>
  <c r="G480" i="18"/>
  <c r="M480" i="18" s="1"/>
  <c r="M479" i="18" s="1"/>
  <c r="M25" i="18" s="1"/>
  <c r="G39" i="18"/>
  <c r="I70" i="18"/>
  <c r="I336" i="18"/>
  <c r="I548" i="18"/>
  <c r="I189" i="18"/>
  <c r="I410" i="18"/>
  <c r="I523" i="18"/>
  <c r="I181" i="18"/>
  <c r="I440" i="18"/>
  <c r="I397" i="18"/>
  <c r="G546" i="18"/>
  <c r="I164" i="18"/>
  <c r="G180" i="18"/>
  <c r="G265" i="18"/>
  <c r="I293" i="18"/>
  <c r="I218" i="18"/>
  <c r="I515" i="18"/>
  <c r="H80" i="17"/>
  <c r="N81" i="17"/>
  <c r="I81" i="17"/>
  <c r="G479" i="18" l="1"/>
  <c r="Q336" i="18"/>
  <c r="O397" i="18"/>
  <c r="Q397" i="18" s="1"/>
  <c r="Q409" i="18"/>
  <c r="O548" i="18"/>
  <c r="Q548" i="18" s="1"/>
  <c r="O218" i="18"/>
  <c r="Q218" i="18" s="1"/>
  <c r="Q82" i="18"/>
  <c r="O70" i="18"/>
  <c r="Q70" i="18" s="1"/>
  <c r="O181" i="18"/>
  <c r="Q181" i="18" s="1"/>
  <c r="P480" i="18"/>
  <c r="O164" i="18"/>
  <c r="Q164" i="18" s="1"/>
  <c r="O472" i="18"/>
  <c r="Q472" i="18" s="1"/>
  <c r="P127" i="18"/>
  <c r="P293" i="18"/>
  <c r="Q293" i="18" s="1"/>
  <c r="Q327" i="18"/>
  <c r="O449" i="18"/>
  <c r="Q461" i="18"/>
  <c r="O26" i="18"/>
  <c r="O515" i="18"/>
  <c r="Q515" i="18" s="1"/>
  <c r="O567" i="18"/>
  <c r="O434" i="18"/>
  <c r="I480" i="18"/>
  <c r="I39" i="18"/>
  <c r="I127" i="18"/>
  <c r="I180" i="18"/>
  <c r="I433" i="18"/>
  <c r="G38" i="18"/>
  <c r="I547" i="18"/>
  <c r="I265" i="18"/>
  <c r="N489" i="17"/>
  <c r="Q37" i="18" l="1"/>
  <c r="Q26" i="18"/>
  <c r="P479" i="18"/>
  <c r="P265" i="18"/>
  <c r="O433" i="18"/>
  <c r="Q433" i="18" s="1"/>
  <c r="O547" i="18"/>
  <c r="Q547" i="18" s="1"/>
  <c r="O180" i="18"/>
  <c r="Q180" i="18" s="1"/>
  <c r="Q81" i="18"/>
  <c r="O39" i="18"/>
  <c r="O566" i="18"/>
  <c r="O127" i="18"/>
  <c r="Q127" i="18" s="1"/>
  <c r="Q408" i="18"/>
  <c r="O265" i="18"/>
  <c r="O480" i="18"/>
  <c r="O479" i="18" s="1"/>
  <c r="I479" i="18"/>
  <c r="G25" i="18"/>
  <c r="I38" i="18"/>
  <c r="I546" i="18"/>
  <c r="J305" i="17"/>
  <c r="J304" i="17" s="1"/>
  <c r="G231" i="17"/>
  <c r="M114" i="17"/>
  <c r="I114" i="17"/>
  <c r="O114" i="17" s="1"/>
  <c r="M548" i="17"/>
  <c r="I548" i="17"/>
  <c r="G547" i="17"/>
  <c r="M537" i="17"/>
  <c r="M538" i="17"/>
  <c r="I538" i="17"/>
  <c r="O538" i="17" s="1"/>
  <c r="O537" i="17" s="1"/>
  <c r="G537" i="17"/>
  <c r="I329" i="17"/>
  <c r="M306" i="17"/>
  <c r="I306" i="17"/>
  <c r="O306" i="17" s="1"/>
  <c r="G305" i="17"/>
  <c r="I305" i="17" s="1"/>
  <c r="O305" i="17" s="1"/>
  <c r="G232" i="17"/>
  <c r="I234" i="17"/>
  <c r="M234" i="17"/>
  <c r="M52" i="17"/>
  <c r="M53" i="17"/>
  <c r="I53" i="17"/>
  <c r="G52" i="17"/>
  <c r="I42" i="17"/>
  <c r="M42" i="17"/>
  <c r="G41" i="17"/>
  <c r="M41" i="17" s="1"/>
  <c r="P569" i="17"/>
  <c r="Q569" i="17" s="1"/>
  <c r="P568" i="17"/>
  <c r="Q568" i="17" s="1"/>
  <c r="P567" i="17"/>
  <c r="Q567" i="17" s="1"/>
  <c r="P566" i="17"/>
  <c r="Q566" i="17" s="1"/>
  <c r="P565" i="17"/>
  <c r="N565" i="17"/>
  <c r="M565" i="17"/>
  <c r="M564" i="17" s="1"/>
  <c r="M563" i="17" s="1"/>
  <c r="M562" i="17" s="1"/>
  <c r="M561" i="17" s="1"/>
  <c r="M560" i="17" s="1"/>
  <c r="M559" i="17" s="1"/>
  <c r="I565" i="17"/>
  <c r="O565" i="17" s="1"/>
  <c r="O564" i="17" s="1"/>
  <c r="O563" i="17" s="1"/>
  <c r="O562" i="17" s="1"/>
  <c r="O561" i="17" s="1"/>
  <c r="O560" i="17" s="1"/>
  <c r="O559" i="17" s="1"/>
  <c r="N564" i="17"/>
  <c r="L564" i="17"/>
  <c r="L563" i="17" s="1"/>
  <c r="J564" i="17"/>
  <c r="J563" i="17" s="1"/>
  <c r="J562" i="17" s="1"/>
  <c r="J561" i="17" s="1"/>
  <c r="J560" i="17" s="1"/>
  <c r="J559" i="17" s="1"/>
  <c r="I564" i="17"/>
  <c r="H564" i="17"/>
  <c r="H563" i="17" s="1"/>
  <c r="H562" i="17" s="1"/>
  <c r="H561" i="17" s="1"/>
  <c r="H560" i="17" s="1"/>
  <c r="H559" i="17" s="1"/>
  <c r="G564" i="17"/>
  <c r="N563" i="17"/>
  <c r="N562" i="17" s="1"/>
  <c r="N561" i="17" s="1"/>
  <c r="N560" i="17" s="1"/>
  <c r="N559" i="17" s="1"/>
  <c r="K563" i="17"/>
  <c r="K562" i="17" s="1"/>
  <c r="K561" i="17" s="1"/>
  <c r="K560" i="17" s="1"/>
  <c r="K559" i="17" s="1"/>
  <c r="K555" i="17" s="1"/>
  <c r="I563" i="17"/>
  <c r="L562" i="17"/>
  <c r="I562" i="17"/>
  <c r="I561" i="17" s="1"/>
  <c r="L561" i="17"/>
  <c r="L560" i="17" s="1"/>
  <c r="L559" i="17" s="1"/>
  <c r="P558" i="17"/>
  <c r="N558" i="17"/>
  <c r="M558" i="17"/>
  <c r="I558" i="17"/>
  <c r="O558" i="17" s="1"/>
  <c r="M557" i="17"/>
  <c r="H557" i="17"/>
  <c r="Q556" i="17"/>
  <c r="P556" i="17"/>
  <c r="P555" i="17"/>
  <c r="Q555" i="17" s="1"/>
  <c r="N555" i="17"/>
  <c r="P554" i="17"/>
  <c r="N554" i="17"/>
  <c r="M554" i="17"/>
  <c r="I554" i="17"/>
  <c r="M553" i="17"/>
  <c r="L553" i="17"/>
  <c r="J553" i="17"/>
  <c r="H553" i="17"/>
  <c r="G553" i="17"/>
  <c r="L552" i="17"/>
  <c r="K552" i="17"/>
  <c r="K549" i="17" s="1"/>
  <c r="J552" i="17"/>
  <c r="G552" i="17"/>
  <c r="P549" i="17"/>
  <c r="N549" i="17"/>
  <c r="M549" i="17"/>
  <c r="I549" i="17"/>
  <c r="Q549" i="17" s="1"/>
  <c r="N548" i="17"/>
  <c r="O548" i="17"/>
  <c r="H547" i="17"/>
  <c r="P546" i="17"/>
  <c r="N546" i="17"/>
  <c r="M546" i="17"/>
  <c r="I546" i="17"/>
  <c r="O546" i="17" s="1"/>
  <c r="L545" i="17"/>
  <c r="L544" i="17" s="1"/>
  <c r="L543" i="17" s="1"/>
  <c r="L542" i="17" s="1"/>
  <c r="L541" i="17" s="1"/>
  <c r="L540" i="17" s="1"/>
  <c r="L539" i="17" s="1"/>
  <c r="J545" i="17"/>
  <c r="J544" i="17" s="1"/>
  <c r="I545" i="17"/>
  <c r="H545" i="17"/>
  <c r="G545" i="17"/>
  <c r="P545" i="17" s="1"/>
  <c r="H544" i="17"/>
  <c r="K543" i="17"/>
  <c r="K542" i="17" s="1"/>
  <c r="K541" i="17" s="1"/>
  <c r="J543" i="17"/>
  <c r="J542" i="17" s="1"/>
  <c r="J541" i="17" s="1"/>
  <c r="J540" i="17" s="1"/>
  <c r="K540" i="17"/>
  <c r="K539" i="17" s="1"/>
  <c r="N538" i="17"/>
  <c r="H537" i="17"/>
  <c r="N537" i="17" s="1"/>
  <c r="P536" i="17"/>
  <c r="N536" i="17"/>
  <c r="M536" i="17"/>
  <c r="I536" i="17"/>
  <c r="O536" i="17" s="1"/>
  <c r="P535" i="17"/>
  <c r="N535" i="17"/>
  <c r="M535" i="17"/>
  <c r="I535" i="17"/>
  <c r="N534" i="17"/>
  <c r="I534" i="17"/>
  <c r="O534" i="17" s="1"/>
  <c r="H533" i="17"/>
  <c r="N533" i="17" s="1"/>
  <c r="P532" i="17"/>
  <c r="N532" i="17"/>
  <c r="M532" i="17"/>
  <c r="I532" i="17"/>
  <c r="L531" i="17"/>
  <c r="L530" i="17" s="1"/>
  <c r="J531" i="17"/>
  <c r="J530" i="17" s="1"/>
  <c r="J529" i="17" s="1"/>
  <c r="G531" i="17"/>
  <c r="G530" i="17" s="1"/>
  <c r="K530" i="17"/>
  <c r="L529" i="17"/>
  <c r="K529" i="17"/>
  <c r="O528" i="17"/>
  <c r="M528" i="17"/>
  <c r="I528" i="17"/>
  <c r="G528" i="17"/>
  <c r="G525" i="17" s="1"/>
  <c r="P527" i="17"/>
  <c r="N527" i="17"/>
  <c r="M527" i="17"/>
  <c r="I527" i="17"/>
  <c r="O527" i="17" s="1"/>
  <c r="P526" i="17"/>
  <c r="N526" i="17"/>
  <c r="M526" i="17"/>
  <c r="I526" i="17"/>
  <c r="N525" i="17"/>
  <c r="N524" i="17" s="1"/>
  <c r="L525" i="17"/>
  <c r="J525" i="17"/>
  <c r="J524" i="17" s="1"/>
  <c r="I525" i="17"/>
  <c r="H525" i="17"/>
  <c r="H524" i="17" s="1"/>
  <c r="L524" i="17"/>
  <c r="K524" i="17"/>
  <c r="G524" i="17"/>
  <c r="P524" i="17" s="1"/>
  <c r="P523" i="17"/>
  <c r="Q523" i="17" s="1"/>
  <c r="O523" i="17"/>
  <c r="N523" i="17"/>
  <c r="M523" i="17"/>
  <c r="P522" i="17"/>
  <c r="M522" i="17"/>
  <c r="M521" i="17"/>
  <c r="L521" i="17"/>
  <c r="L520" i="17" s="1"/>
  <c r="L519" i="17" s="1"/>
  <c r="I521" i="17"/>
  <c r="O521" i="17" s="1"/>
  <c r="K520" i="17"/>
  <c r="K519" i="17" s="1"/>
  <c r="J520" i="17"/>
  <c r="J519" i="17" s="1"/>
  <c r="G520" i="17"/>
  <c r="K518" i="17"/>
  <c r="K517" i="17" s="1"/>
  <c r="K516" i="17" s="1"/>
  <c r="P515" i="17"/>
  <c r="N515" i="17"/>
  <c r="M515" i="17"/>
  <c r="I515" i="17"/>
  <c r="O515" i="17" s="1"/>
  <c r="N514" i="17"/>
  <c r="G514" i="17"/>
  <c r="M514" i="17" s="1"/>
  <c r="N513" i="17"/>
  <c r="N512" i="17" s="1"/>
  <c r="L513" i="17"/>
  <c r="I513" i="17"/>
  <c r="G513" i="17"/>
  <c r="L512" i="17"/>
  <c r="K512" i="17"/>
  <c r="K511" i="17" s="1"/>
  <c r="J512" i="17"/>
  <c r="J511" i="17" s="1"/>
  <c r="J510" i="17" s="1"/>
  <c r="J509" i="17" s="1"/>
  <c r="J508" i="17" s="1"/>
  <c r="I512" i="17"/>
  <c r="L511" i="17"/>
  <c r="H511" i="17"/>
  <c r="L510" i="17"/>
  <c r="L509" i="17" s="1"/>
  <c r="L508" i="17" s="1"/>
  <c r="H510" i="17"/>
  <c r="H509" i="17" s="1"/>
  <c r="H508" i="17" s="1"/>
  <c r="P507" i="17"/>
  <c r="Q507" i="17" s="1"/>
  <c r="N507" i="17"/>
  <c r="I507" i="17"/>
  <c r="O507" i="17" s="1"/>
  <c r="I506" i="17"/>
  <c r="O506" i="17" s="1"/>
  <c r="H506" i="17"/>
  <c r="H505" i="17" s="1"/>
  <c r="P503" i="17"/>
  <c r="Q503" i="17" s="1"/>
  <c r="O503" i="17"/>
  <c r="M503" i="17"/>
  <c r="P502" i="17"/>
  <c r="Q502" i="17" s="1"/>
  <c r="O502" i="17"/>
  <c r="M502" i="17"/>
  <c r="P501" i="17"/>
  <c r="Q501" i="17" s="1"/>
  <c r="O501" i="17"/>
  <c r="M501" i="17"/>
  <c r="P500" i="17"/>
  <c r="Q500" i="17" s="1"/>
  <c r="O500" i="17"/>
  <c r="N500" i="17"/>
  <c r="N499" i="17" s="1"/>
  <c r="M500" i="17"/>
  <c r="M499" i="17" s="1"/>
  <c r="O499" i="17"/>
  <c r="L499" i="17"/>
  <c r="J499" i="17"/>
  <c r="I499" i="17"/>
  <c r="H499" i="17"/>
  <c r="G499" i="17"/>
  <c r="P499" i="17" s="1"/>
  <c r="P498" i="17"/>
  <c r="Q498" i="17" s="1"/>
  <c r="N498" i="17"/>
  <c r="M498" i="17"/>
  <c r="L498" i="17"/>
  <c r="Q497" i="17"/>
  <c r="P497" i="17"/>
  <c r="N497" i="17"/>
  <c r="L497" i="17"/>
  <c r="K497" i="17"/>
  <c r="J497" i="17"/>
  <c r="M496" i="17"/>
  <c r="M495" i="17" s="1"/>
  <c r="L496" i="17"/>
  <c r="I496" i="17"/>
  <c r="N496" i="17"/>
  <c r="N495" i="17" s="1"/>
  <c r="L495" i="17"/>
  <c r="K495" i="17"/>
  <c r="J495" i="17"/>
  <c r="H495" i="17"/>
  <c r="G495" i="17"/>
  <c r="P494" i="17"/>
  <c r="N494" i="17"/>
  <c r="M494" i="17"/>
  <c r="L494" i="17"/>
  <c r="O494" i="17" s="1"/>
  <c r="I494" i="17"/>
  <c r="Q494" i="17" s="1"/>
  <c r="K493" i="17"/>
  <c r="J493" i="17"/>
  <c r="M493" i="17" s="1"/>
  <c r="H493" i="17"/>
  <c r="N493" i="17" s="1"/>
  <c r="G493" i="17"/>
  <c r="P492" i="17"/>
  <c r="N492" i="17"/>
  <c r="M492" i="17"/>
  <c r="I492" i="17"/>
  <c r="M491" i="17"/>
  <c r="H491" i="17"/>
  <c r="I491" i="17" s="1"/>
  <c r="P490" i="17"/>
  <c r="Q490" i="17" s="1"/>
  <c r="O490" i="17"/>
  <c r="N490" i="17"/>
  <c r="M490" i="17"/>
  <c r="L489" i="17"/>
  <c r="I489" i="17"/>
  <c r="G489" i="17"/>
  <c r="P488" i="17"/>
  <c r="N488" i="17"/>
  <c r="M488" i="17"/>
  <c r="I488" i="17"/>
  <c r="P487" i="17"/>
  <c r="Q487" i="17" s="1"/>
  <c r="N487" i="17"/>
  <c r="M487" i="17"/>
  <c r="L487" i="17"/>
  <c r="O487" i="17" s="1"/>
  <c r="N486" i="17"/>
  <c r="K486" i="17"/>
  <c r="J486" i="17"/>
  <c r="H486" i="17"/>
  <c r="P483" i="17"/>
  <c r="Q483" i="17" s="1"/>
  <c r="O482" i="17"/>
  <c r="N482" i="17"/>
  <c r="M482" i="17"/>
  <c r="L482" i="17"/>
  <c r="J482" i="17"/>
  <c r="I482" i="17"/>
  <c r="G482" i="17"/>
  <c r="P481" i="17"/>
  <c r="Q481" i="17" s="1"/>
  <c r="O481" i="17"/>
  <c r="N481" i="17"/>
  <c r="N480" i="17" s="1"/>
  <c r="M481" i="17"/>
  <c r="M480" i="17" s="1"/>
  <c r="O480" i="17"/>
  <c r="L480" i="17"/>
  <c r="L477" i="17" s="1"/>
  <c r="L476" i="17" s="1"/>
  <c r="J480" i="17"/>
  <c r="I480" i="17"/>
  <c r="G480" i="17"/>
  <c r="P480" i="17" s="1"/>
  <c r="P479" i="17"/>
  <c r="N479" i="17"/>
  <c r="N478" i="17" s="1"/>
  <c r="N477" i="17" s="1"/>
  <c r="N476" i="17" s="1"/>
  <c r="M479" i="17"/>
  <c r="I479" i="17"/>
  <c r="M478" i="17"/>
  <c r="L478" i="17"/>
  <c r="J478" i="17"/>
  <c r="H478" i="17"/>
  <c r="H477" i="17" s="1"/>
  <c r="H476" i="17" s="1"/>
  <c r="G478" i="17"/>
  <c r="K477" i="17"/>
  <c r="K476" i="17" s="1"/>
  <c r="P471" i="17"/>
  <c r="Q471" i="17" s="1"/>
  <c r="O471" i="17"/>
  <c r="O470" i="17" s="1"/>
  <c r="O469" i="17" s="1"/>
  <c r="O468" i="17" s="1"/>
  <c r="O467" i="17" s="1"/>
  <c r="O466" i="17" s="1"/>
  <c r="O465" i="17" s="1"/>
  <c r="N471" i="17"/>
  <c r="M471" i="17"/>
  <c r="N470" i="17"/>
  <c r="N469" i="17" s="1"/>
  <c r="N468" i="17" s="1"/>
  <c r="N467" i="17" s="1"/>
  <c r="N466" i="17" s="1"/>
  <c r="N465" i="17" s="1"/>
  <c r="M470" i="17"/>
  <c r="M469" i="17" s="1"/>
  <c r="M468" i="17" s="1"/>
  <c r="M467" i="17" s="1"/>
  <c r="M466" i="17" s="1"/>
  <c r="M465" i="17" s="1"/>
  <c r="L470" i="17"/>
  <c r="L469" i="17" s="1"/>
  <c r="L468" i="17" s="1"/>
  <c r="L467" i="17" s="1"/>
  <c r="L466" i="17" s="1"/>
  <c r="L465" i="17" s="1"/>
  <c r="J470" i="17"/>
  <c r="J469" i="17" s="1"/>
  <c r="J468" i="17" s="1"/>
  <c r="J467" i="17" s="1"/>
  <c r="J466" i="17" s="1"/>
  <c r="J465" i="17" s="1"/>
  <c r="I470" i="17"/>
  <c r="I469" i="17" s="1"/>
  <c r="I468" i="17" s="1"/>
  <c r="I467" i="17" s="1"/>
  <c r="I466" i="17" s="1"/>
  <c r="H470" i="17"/>
  <c r="H469" i="17" s="1"/>
  <c r="H468" i="17" s="1"/>
  <c r="H467" i="17" s="1"/>
  <c r="H466" i="17" s="1"/>
  <c r="H465" i="17" s="1"/>
  <c r="G470" i="17"/>
  <c r="K469" i="17"/>
  <c r="K468" i="17" s="1"/>
  <c r="K467" i="17" s="1"/>
  <c r="K466" i="17" s="1"/>
  <c r="K465" i="17" s="1"/>
  <c r="K464" i="17" s="1"/>
  <c r="P464" i="17"/>
  <c r="Q464" i="17" s="1"/>
  <c r="P463" i="17"/>
  <c r="Q463" i="17" s="1"/>
  <c r="O463" i="17"/>
  <c r="N463" i="17"/>
  <c r="N462" i="17" s="1"/>
  <c r="N461" i="17" s="1"/>
  <c r="M463" i="17"/>
  <c r="M462" i="17" s="1"/>
  <c r="M461" i="17" s="1"/>
  <c r="L463" i="17"/>
  <c r="L462" i="17" s="1"/>
  <c r="L461" i="17" s="1"/>
  <c r="J463" i="17"/>
  <c r="J462" i="17" s="1"/>
  <c r="J461" i="17" s="1"/>
  <c r="I463" i="17"/>
  <c r="I462" i="17" s="1"/>
  <c r="I461" i="17" s="1"/>
  <c r="G463" i="17"/>
  <c r="G462" i="17" s="1"/>
  <c r="O462" i="17"/>
  <c r="O461" i="17" s="1"/>
  <c r="K462" i="17"/>
  <c r="H462" i="17"/>
  <c r="H461" i="17" s="1"/>
  <c r="K461" i="17"/>
  <c r="P460" i="17"/>
  <c r="Q460" i="17" s="1"/>
  <c r="P459" i="17"/>
  <c r="Q459" i="17" s="1"/>
  <c r="P458" i="17"/>
  <c r="O458" i="17"/>
  <c r="O457" i="17" s="1"/>
  <c r="O456" i="17" s="1"/>
  <c r="N458" i="17"/>
  <c r="N457" i="17" s="1"/>
  <c r="N456" i="17" s="1"/>
  <c r="N455" i="17" s="1"/>
  <c r="N454" i="17" s="1"/>
  <c r="M458" i="17"/>
  <c r="L458" i="17"/>
  <c r="L457" i="17" s="1"/>
  <c r="L456" i="17" s="1"/>
  <c r="J458" i="17"/>
  <c r="J457" i="17" s="1"/>
  <c r="J456" i="17" s="1"/>
  <c r="I458" i="17"/>
  <c r="G458" i="17"/>
  <c r="M457" i="17"/>
  <c r="M456" i="17" s="1"/>
  <c r="K457" i="17"/>
  <c r="K456" i="17" s="1"/>
  <c r="K455" i="17" s="1"/>
  <c r="K454" i="17" s="1"/>
  <c r="H457" i="17"/>
  <c r="G457" i="17"/>
  <c r="G456" i="17" s="1"/>
  <c r="H456" i="17"/>
  <c r="H455" i="17" s="1"/>
  <c r="H454" i="17" s="1"/>
  <c r="P453" i="17"/>
  <c r="Q453" i="17" s="1"/>
  <c r="O452" i="17"/>
  <c r="O451" i="17" s="1"/>
  <c r="O450" i="17" s="1"/>
  <c r="O449" i="17" s="1"/>
  <c r="O448" i="17" s="1"/>
  <c r="N452" i="17"/>
  <c r="N451" i="17" s="1"/>
  <c r="N450" i="17" s="1"/>
  <c r="N449" i="17" s="1"/>
  <c r="N448" i="17" s="1"/>
  <c r="M452" i="17"/>
  <c r="M451" i="17" s="1"/>
  <c r="M450" i="17" s="1"/>
  <c r="M449" i="17" s="1"/>
  <c r="M448" i="17" s="1"/>
  <c r="L452" i="17"/>
  <c r="J452" i="17"/>
  <c r="J451" i="17" s="1"/>
  <c r="J450" i="17" s="1"/>
  <c r="J449" i="17" s="1"/>
  <c r="J448" i="17" s="1"/>
  <c r="I452" i="17"/>
  <c r="G452" i="17"/>
  <c r="P452" i="17" s="1"/>
  <c r="L451" i="17"/>
  <c r="L450" i="17" s="1"/>
  <c r="L449" i="17" s="1"/>
  <c r="L448" i="17" s="1"/>
  <c r="K451" i="17"/>
  <c r="H451" i="17"/>
  <c r="H450" i="17" s="1"/>
  <c r="H449" i="17" s="1"/>
  <c r="H448" i="17" s="1"/>
  <c r="G451" i="17"/>
  <c r="K450" i="17"/>
  <c r="K449" i="17" s="1"/>
  <c r="K448" i="17" s="1"/>
  <c r="P447" i="17"/>
  <c r="N447" i="17"/>
  <c r="M447" i="17"/>
  <c r="M446" i="17" s="1"/>
  <c r="M445" i="17" s="1"/>
  <c r="M444" i="17" s="1"/>
  <c r="M443" i="17" s="1"/>
  <c r="M442" i="17" s="1"/>
  <c r="L447" i="17"/>
  <c r="L446" i="17" s="1"/>
  <c r="L445" i="17" s="1"/>
  <c r="I447" i="17"/>
  <c r="N446" i="17"/>
  <c r="N445" i="17" s="1"/>
  <c r="N444" i="17" s="1"/>
  <c r="N443" i="17" s="1"/>
  <c r="N442" i="17" s="1"/>
  <c r="K446" i="17"/>
  <c r="K445" i="17" s="1"/>
  <c r="K444" i="17" s="1"/>
  <c r="J446" i="17"/>
  <c r="H446" i="17"/>
  <c r="H445" i="17" s="1"/>
  <c r="H444" i="17" s="1"/>
  <c r="H443" i="17" s="1"/>
  <c r="H442" i="17" s="1"/>
  <c r="G446" i="17"/>
  <c r="J445" i="17"/>
  <c r="J444" i="17" s="1"/>
  <c r="J443" i="17" s="1"/>
  <c r="J442" i="17" s="1"/>
  <c r="L444" i="17"/>
  <c r="L443" i="17" s="1"/>
  <c r="L442" i="17" s="1"/>
  <c r="K443" i="17"/>
  <c r="K442" i="17" s="1"/>
  <c r="M441" i="17"/>
  <c r="M440" i="17" s="1"/>
  <c r="M439" i="17" s="1"/>
  <c r="M438" i="17" s="1"/>
  <c r="M437" i="17" s="1"/>
  <c r="M436" i="17" s="1"/>
  <c r="P441" i="17"/>
  <c r="L440" i="17"/>
  <c r="L439" i="17" s="1"/>
  <c r="L438" i="17" s="1"/>
  <c r="L437" i="17" s="1"/>
  <c r="L436" i="17" s="1"/>
  <c r="J440" i="17"/>
  <c r="J439" i="17" s="1"/>
  <c r="J438" i="17" s="1"/>
  <c r="J437" i="17" s="1"/>
  <c r="J436" i="17" s="1"/>
  <c r="G440" i="17"/>
  <c r="G439" i="17" s="1"/>
  <c r="K439" i="17"/>
  <c r="K438" i="17"/>
  <c r="K437" i="17" s="1"/>
  <c r="K436" i="17" s="1"/>
  <c r="P435" i="17"/>
  <c r="N435" i="17"/>
  <c r="M435" i="17"/>
  <c r="O435" i="17" s="1"/>
  <c r="O434" i="17" s="1"/>
  <c r="O433" i="17" s="1"/>
  <c r="O432" i="17" s="1"/>
  <c r="O431" i="17" s="1"/>
  <c r="O430" i="17" s="1"/>
  <c r="I435" i="17"/>
  <c r="N434" i="17"/>
  <c r="N433" i="17" s="1"/>
  <c r="N432" i="17" s="1"/>
  <c r="N431" i="17" s="1"/>
  <c r="N430" i="17" s="1"/>
  <c r="L434" i="17"/>
  <c r="J434" i="17"/>
  <c r="J433" i="17" s="1"/>
  <c r="J432" i="17" s="1"/>
  <c r="J431" i="17" s="1"/>
  <c r="J430" i="17" s="1"/>
  <c r="I434" i="17"/>
  <c r="I433" i="17" s="1"/>
  <c r="H434" i="17"/>
  <c r="G434" i="17"/>
  <c r="G433" i="17" s="1"/>
  <c r="L433" i="17"/>
  <c r="L432" i="17" s="1"/>
  <c r="L431" i="17" s="1"/>
  <c r="L430" i="17" s="1"/>
  <c r="K433" i="17"/>
  <c r="H433" i="17"/>
  <c r="H432" i="17" s="1"/>
  <c r="H431" i="17" s="1"/>
  <c r="H430" i="17" s="1"/>
  <c r="K432" i="17"/>
  <c r="K431" i="17" s="1"/>
  <c r="K430" i="17" s="1"/>
  <c r="P428" i="17"/>
  <c r="Q428" i="17" s="1"/>
  <c r="O427" i="17"/>
  <c r="N427" i="17"/>
  <c r="N426" i="17" s="1"/>
  <c r="N425" i="17" s="1"/>
  <c r="N424" i="17" s="1"/>
  <c r="M427" i="17"/>
  <c r="M426" i="17" s="1"/>
  <c r="M425" i="17" s="1"/>
  <c r="M424" i="17" s="1"/>
  <c r="L427" i="17"/>
  <c r="L426" i="17" s="1"/>
  <c r="L425" i="17" s="1"/>
  <c r="L424" i="17" s="1"/>
  <c r="J427" i="17"/>
  <c r="I427" i="17"/>
  <c r="Q427" i="17" s="1"/>
  <c r="G427" i="17"/>
  <c r="P427" i="17" s="1"/>
  <c r="O426" i="17"/>
  <c r="O425" i="17" s="1"/>
  <c r="O424" i="17" s="1"/>
  <c r="K426" i="17"/>
  <c r="K425" i="17" s="1"/>
  <c r="K424" i="17" s="1"/>
  <c r="J426" i="17"/>
  <c r="J425" i="17" s="1"/>
  <c r="J424" i="17" s="1"/>
  <c r="J407" i="17" s="1"/>
  <c r="J406" i="17" s="1"/>
  <c r="H426" i="17"/>
  <c r="H425" i="17" s="1"/>
  <c r="H424" i="17" s="1"/>
  <c r="G426" i="17"/>
  <c r="P426" i="17" s="1"/>
  <c r="P423" i="17"/>
  <c r="Q423" i="17" s="1"/>
  <c r="N423" i="17"/>
  <c r="M423" i="17"/>
  <c r="L423" i="17"/>
  <c r="O423" i="17" s="1"/>
  <c r="P422" i="17"/>
  <c r="Q422" i="17" s="1"/>
  <c r="N422" i="17"/>
  <c r="M422" i="17"/>
  <c r="P421" i="17"/>
  <c r="N421" i="17"/>
  <c r="M421" i="17"/>
  <c r="O421" i="17" s="1"/>
  <c r="O420" i="17" s="1"/>
  <c r="I421" i="17"/>
  <c r="N420" i="17"/>
  <c r="L420" i="17"/>
  <c r="J420" i="17"/>
  <c r="I420" i="17"/>
  <c r="G420" i="17"/>
  <c r="P420" i="17" s="1"/>
  <c r="P419" i="17"/>
  <c r="Q419" i="17" s="1"/>
  <c r="P418" i="17"/>
  <c r="N418" i="17"/>
  <c r="M418" i="17"/>
  <c r="L418" i="17"/>
  <c r="L416" i="17" s="1"/>
  <c r="I418" i="17"/>
  <c r="O418" i="17" s="1"/>
  <c r="P417" i="17"/>
  <c r="N417" i="17"/>
  <c r="M417" i="17"/>
  <c r="I417" i="17"/>
  <c r="N416" i="17"/>
  <c r="N415" i="17" s="1"/>
  <c r="M416" i="17"/>
  <c r="K416" i="17"/>
  <c r="K415" i="17" s="1"/>
  <c r="J416" i="17"/>
  <c r="J415" i="17" s="1"/>
  <c r="I416" i="17"/>
  <c r="I415" i="17" s="1"/>
  <c r="H416" i="17"/>
  <c r="G416" i="17"/>
  <c r="H415" i="17"/>
  <c r="P414" i="17"/>
  <c r="N414" i="17"/>
  <c r="M414" i="17"/>
  <c r="M413" i="17" s="1"/>
  <c r="M409" i="17" s="1"/>
  <c r="I414" i="17"/>
  <c r="N413" i="17"/>
  <c r="L413" i="17"/>
  <c r="J413" i="17"/>
  <c r="H413" i="17"/>
  <c r="G413" i="17"/>
  <c r="P412" i="17"/>
  <c r="N412" i="17"/>
  <c r="O412" i="17" s="1"/>
  <c r="M412" i="17"/>
  <c r="L412" i="17"/>
  <c r="I412" i="17"/>
  <c r="P411" i="17"/>
  <c r="N411" i="17"/>
  <c r="M411" i="17"/>
  <c r="L411" i="17"/>
  <c r="I411" i="17"/>
  <c r="M410" i="17"/>
  <c r="K410" i="17"/>
  <c r="K409" i="17" s="1"/>
  <c r="K408" i="17" s="1"/>
  <c r="K407" i="17" s="1"/>
  <c r="K406" i="17" s="1"/>
  <c r="J410" i="17"/>
  <c r="J409" i="17" s="1"/>
  <c r="J408" i="17" s="1"/>
  <c r="H410" i="17"/>
  <c r="N410" i="17" s="1"/>
  <c r="N409" i="17" s="1"/>
  <c r="N408" i="17" s="1"/>
  <c r="G410" i="17"/>
  <c r="H409" i="17"/>
  <c r="P405" i="17"/>
  <c r="N405" i="17"/>
  <c r="M405" i="17"/>
  <c r="I405" i="17"/>
  <c r="O405" i="17" s="1"/>
  <c r="H404" i="17"/>
  <c r="N404" i="17" s="1"/>
  <c r="G404" i="17"/>
  <c r="P403" i="17"/>
  <c r="N403" i="17"/>
  <c r="M403" i="17"/>
  <c r="I403" i="17"/>
  <c r="N402" i="17"/>
  <c r="I402" i="17"/>
  <c r="O402" i="17" s="1"/>
  <c r="G402" i="17"/>
  <c r="M402" i="17" s="1"/>
  <c r="P401" i="17"/>
  <c r="N401" i="17"/>
  <c r="O401" i="17" s="1"/>
  <c r="O400" i="17" s="1"/>
  <c r="M401" i="17"/>
  <c r="I401" i="17"/>
  <c r="M400" i="17"/>
  <c r="L400" i="17"/>
  <c r="J400" i="17"/>
  <c r="J399" i="17" s="1"/>
  <c r="H400" i="17"/>
  <c r="G400" i="17"/>
  <c r="L399" i="17"/>
  <c r="K399" i="17"/>
  <c r="H399" i="17"/>
  <c r="G399" i="17"/>
  <c r="P398" i="17"/>
  <c r="N398" i="17"/>
  <c r="N397" i="17" s="1"/>
  <c r="N396" i="17" s="1"/>
  <c r="M398" i="17"/>
  <c r="I398" i="17"/>
  <c r="M397" i="17"/>
  <c r="M396" i="17" s="1"/>
  <c r="L397" i="17"/>
  <c r="L396" i="17" s="1"/>
  <c r="J397" i="17"/>
  <c r="J396" i="17" s="1"/>
  <c r="J395" i="17" s="1"/>
  <c r="J394" i="17" s="1"/>
  <c r="J393" i="17" s="1"/>
  <c r="G397" i="17"/>
  <c r="G396" i="17" s="1"/>
  <c r="K396" i="17"/>
  <c r="K395" i="17" s="1"/>
  <c r="K394" i="17" s="1"/>
  <c r="K393" i="17" s="1"/>
  <c r="H396" i="17"/>
  <c r="L395" i="17"/>
  <c r="L394" i="17" s="1"/>
  <c r="L393" i="17" s="1"/>
  <c r="P392" i="17"/>
  <c r="Q392" i="17" s="1"/>
  <c r="P391" i="17"/>
  <c r="N391" i="17"/>
  <c r="M391" i="17"/>
  <c r="M389" i="17" s="1"/>
  <c r="I391" i="17"/>
  <c r="M390" i="17"/>
  <c r="I390" i="17"/>
  <c r="O390" i="17" s="1"/>
  <c r="H390" i="17"/>
  <c r="P390" i="17" s="1"/>
  <c r="Q390" i="17" s="1"/>
  <c r="N389" i="17"/>
  <c r="I389" i="17"/>
  <c r="O389" i="17" s="1"/>
  <c r="H389" i="17"/>
  <c r="P389" i="17" s="1"/>
  <c r="I388" i="17"/>
  <c r="O388" i="17" s="1"/>
  <c r="H388" i="17"/>
  <c r="N388" i="17" s="1"/>
  <c r="P387" i="17"/>
  <c r="N387" i="17"/>
  <c r="M387" i="17"/>
  <c r="I387" i="17"/>
  <c r="O387" i="17" s="1"/>
  <c r="P386" i="17"/>
  <c r="O386" i="17"/>
  <c r="N386" i="17"/>
  <c r="M386" i="17"/>
  <c r="I386" i="17"/>
  <c r="Q386" i="17" s="1"/>
  <c r="P385" i="17"/>
  <c r="Q385" i="17" s="1"/>
  <c r="O385" i="17"/>
  <c r="N385" i="17"/>
  <c r="M385" i="17"/>
  <c r="I385" i="17"/>
  <c r="P384" i="17"/>
  <c r="N384" i="17"/>
  <c r="N383" i="17" s="1"/>
  <c r="N382" i="17" s="1"/>
  <c r="N381" i="17" s="1"/>
  <c r="M384" i="17"/>
  <c r="I384" i="17"/>
  <c r="L383" i="17"/>
  <c r="J383" i="17"/>
  <c r="J382" i="17" s="1"/>
  <c r="J381" i="17" s="1"/>
  <c r="I383" i="17"/>
  <c r="I382" i="17" s="1"/>
  <c r="H383" i="17"/>
  <c r="G383" i="17"/>
  <c r="L382" i="17"/>
  <c r="L381" i="17" s="1"/>
  <c r="K382" i="17"/>
  <c r="K381" i="17" s="1"/>
  <c r="H382" i="17"/>
  <c r="H381" i="17" s="1"/>
  <c r="G382" i="17"/>
  <c r="G381" i="17" s="1"/>
  <c r="P380" i="17"/>
  <c r="Q380" i="17" s="1"/>
  <c r="O380" i="17"/>
  <c r="N380" i="17"/>
  <c r="M380" i="17"/>
  <c r="L380" i="17"/>
  <c r="P379" i="17"/>
  <c r="Q379" i="17" s="1"/>
  <c r="M379" i="17"/>
  <c r="L379" i="17"/>
  <c r="O379" i="17" s="1"/>
  <c r="K379" i="17"/>
  <c r="P378" i="17"/>
  <c r="Q378" i="17" s="1"/>
  <c r="O377" i="17"/>
  <c r="N377" i="17"/>
  <c r="M377" i="17"/>
  <c r="L377" i="17"/>
  <c r="L376" i="17" s="1"/>
  <c r="J377" i="17"/>
  <c r="J376" i="17" s="1"/>
  <c r="J375" i="17" s="1"/>
  <c r="J374" i="17" s="1"/>
  <c r="I377" i="17"/>
  <c r="I376" i="17" s="1"/>
  <c r="I375" i="17" s="1"/>
  <c r="G377" i="17"/>
  <c r="G376" i="17" s="1"/>
  <c r="H376" i="17"/>
  <c r="H375" i="17" s="1"/>
  <c r="P373" i="17"/>
  <c r="N373" i="17"/>
  <c r="M373" i="17"/>
  <c r="I373" i="17"/>
  <c r="O373" i="17" s="1"/>
  <c r="J372" i="17"/>
  <c r="H372" i="17"/>
  <c r="N372" i="17" s="1"/>
  <c r="G372" i="17"/>
  <c r="I372" i="17" s="1"/>
  <c r="P371" i="17"/>
  <c r="N371" i="17"/>
  <c r="M371" i="17"/>
  <c r="M370" i="17" s="1"/>
  <c r="L371" i="17"/>
  <c r="I371" i="17"/>
  <c r="Q371" i="17" s="1"/>
  <c r="N370" i="17"/>
  <c r="J370" i="17"/>
  <c r="J369" i="17" s="1"/>
  <c r="J368" i="17" s="1"/>
  <c r="J367" i="17" s="1"/>
  <c r="I370" i="17"/>
  <c r="H370" i="17"/>
  <c r="H369" i="17" s="1"/>
  <c r="H368" i="17" s="1"/>
  <c r="H367" i="17" s="1"/>
  <c r="G370" i="17"/>
  <c r="G369" i="17" s="1"/>
  <c r="K369" i="17"/>
  <c r="K368" i="17"/>
  <c r="K367" i="17" s="1"/>
  <c r="P366" i="17"/>
  <c r="O366" i="17"/>
  <c r="N366" i="17"/>
  <c r="M366" i="17"/>
  <c r="I366" i="17"/>
  <c r="Q366" i="17" s="1"/>
  <c r="H365" i="17"/>
  <c r="N365" i="17" s="1"/>
  <c r="G365" i="17"/>
  <c r="I365" i="17" s="1"/>
  <c r="P364" i="17"/>
  <c r="Q364" i="17" s="1"/>
  <c r="N363" i="17"/>
  <c r="H363" i="17"/>
  <c r="G363" i="17"/>
  <c r="H362" i="17"/>
  <c r="N362" i="17" s="1"/>
  <c r="M361" i="17"/>
  <c r="L361" i="17"/>
  <c r="I361" i="17"/>
  <c r="H361" i="17"/>
  <c r="L360" i="17"/>
  <c r="K360" i="17"/>
  <c r="J360" i="17"/>
  <c r="G360" i="17"/>
  <c r="P359" i="17"/>
  <c r="Q359" i="17" s="1"/>
  <c r="N359" i="17"/>
  <c r="M359" i="17"/>
  <c r="L359" i="17"/>
  <c r="I359" i="17"/>
  <c r="P358" i="17"/>
  <c r="N358" i="17"/>
  <c r="M358" i="17"/>
  <c r="L358" i="17"/>
  <c r="I358" i="17"/>
  <c r="O358" i="17" s="1"/>
  <c r="P357" i="17"/>
  <c r="O357" i="17"/>
  <c r="N357" i="17"/>
  <c r="M357" i="17"/>
  <c r="I357" i="17"/>
  <c r="Q357" i="17" s="1"/>
  <c r="M356" i="17"/>
  <c r="L356" i="17"/>
  <c r="I356" i="17"/>
  <c r="H356" i="17"/>
  <c r="P356" i="17" s="1"/>
  <c r="Q356" i="17" s="1"/>
  <c r="P355" i="17"/>
  <c r="Q355" i="17" s="1"/>
  <c r="N355" i="17"/>
  <c r="L355" i="17"/>
  <c r="O355" i="17" s="1"/>
  <c r="P354" i="17"/>
  <c r="Q354" i="17" s="1"/>
  <c r="N354" i="17"/>
  <c r="L354" i="17"/>
  <c r="O354" i="17" s="1"/>
  <c r="P353" i="17"/>
  <c r="Q353" i="17" s="1"/>
  <c r="N353" i="17"/>
  <c r="L353" i="17"/>
  <c r="O353" i="17" s="1"/>
  <c r="P352" i="17"/>
  <c r="Q352" i="17" s="1"/>
  <c r="N352" i="17"/>
  <c r="L352" i="17"/>
  <c r="O352" i="17" s="1"/>
  <c r="M351" i="17"/>
  <c r="M350" i="17" s="1"/>
  <c r="L351" i="17"/>
  <c r="N351" i="17"/>
  <c r="N350" i="17" s="1"/>
  <c r="L350" i="17"/>
  <c r="K350" i="17"/>
  <c r="J350" i="17"/>
  <c r="G350" i="17"/>
  <c r="P349" i="17"/>
  <c r="N349" i="17"/>
  <c r="M349" i="17"/>
  <c r="M348" i="17" s="1"/>
  <c r="I349" i="17"/>
  <c r="O349" i="17" s="1"/>
  <c r="O348" i="17" s="1"/>
  <c r="N348" i="17"/>
  <c r="L348" i="17"/>
  <c r="J348" i="17"/>
  <c r="H348" i="17"/>
  <c r="G348" i="17"/>
  <c r="P347" i="17"/>
  <c r="N347" i="17"/>
  <c r="M347" i="17"/>
  <c r="M346" i="17" s="1"/>
  <c r="L347" i="17"/>
  <c r="L346" i="17" s="1"/>
  <c r="I347" i="17"/>
  <c r="N346" i="17"/>
  <c r="K346" i="17"/>
  <c r="J346" i="17"/>
  <c r="H346" i="17"/>
  <c r="P346" i="17" s="1"/>
  <c r="P345" i="17"/>
  <c r="N345" i="17"/>
  <c r="M345" i="17"/>
  <c r="I345" i="17"/>
  <c r="O345" i="17" s="1"/>
  <c r="P344" i="17"/>
  <c r="N344" i="17"/>
  <c r="M344" i="17"/>
  <c r="I344" i="17"/>
  <c r="P343" i="17"/>
  <c r="N343" i="17"/>
  <c r="N342" i="17" s="1"/>
  <c r="M343" i="17"/>
  <c r="M342" i="17" s="1"/>
  <c r="I343" i="17"/>
  <c r="O343" i="17" s="1"/>
  <c r="O342" i="17" s="1"/>
  <c r="L342" i="17"/>
  <c r="J342" i="17"/>
  <c r="H342" i="17"/>
  <c r="G342" i="17"/>
  <c r="P341" i="17"/>
  <c r="N341" i="17"/>
  <c r="N340" i="17" s="1"/>
  <c r="M341" i="17"/>
  <c r="I341" i="17"/>
  <c r="M340" i="17"/>
  <c r="L340" i="17"/>
  <c r="J340" i="17"/>
  <c r="H340" i="17"/>
  <c r="G340" i="17"/>
  <c r="P339" i="17"/>
  <c r="N339" i="17"/>
  <c r="M339" i="17"/>
  <c r="M338" i="17" s="1"/>
  <c r="L339" i="17"/>
  <c r="I339" i="17"/>
  <c r="N338" i="17"/>
  <c r="L338" i="17"/>
  <c r="K338" i="17"/>
  <c r="J338" i="17"/>
  <c r="H338" i="17"/>
  <c r="G338" i="17"/>
  <c r="M337" i="17"/>
  <c r="M336" i="17" s="1"/>
  <c r="N337" i="17"/>
  <c r="N336" i="17" s="1"/>
  <c r="L336" i="17"/>
  <c r="J336" i="17"/>
  <c r="G336" i="17"/>
  <c r="L335" i="17"/>
  <c r="L334" i="17" s="1"/>
  <c r="L333" i="17" s="1"/>
  <c r="P331" i="17"/>
  <c r="Q331" i="17" s="1"/>
  <c r="O331" i="17"/>
  <c r="P330" i="17"/>
  <c r="Q330" i="17" s="1"/>
  <c r="O330" i="17"/>
  <c r="P329" i="17"/>
  <c r="N329" i="17"/>
  <c r="M329" i="17"/>
  <c r="M328" i="17"/>
  <c r="L328" i="17"/>
  <c r="I328" i="17"/>
  <c r="L327" i="17"/>
  <c r="H327" i="17"/>
  <c r="H326" i="17" s="1"/>
  <c r="H325" i="17" s="1"/>
  <c r="G327" i="17"/>
  <c r="G326" i="17" s="1"/>
  <c r="K326" i="17"/>
  <c r="J326" i="17"/>
  <c r="J325" i="17" s="1"/>
  <c r="P324" i="17"/>
  <c r="Q324" i="17" s="1"/>
  <c r="O324" i="17"/>
  <c r="N324" i="17"/>
  <c r="M324" i="17"/>
  <c r="I324" i="17"/>
  <c r="H323" i="17"/>
  <c r="H322" i="17"/>
  <c r="G322" i="17"/>
  <c r="M322" i="17" s="1"/>
  <c r="M321" i="17" s="1"/>
  <c r="M320" i="17" s="1"/>
  <c r="L321" i="17"/>
  <c r="K321" i="17"/>
  <c r="K320" i="17" s="1"/>
  <c r="J321" i="17"/>
  <c r="J320" i="17" s="1"/>
  <c r="G321" i="17"/>
  <c r="L320" i="17"/>
  <c r="P319" i="17"/>
  <c r="Q319" i="17" s="1"/>
  <c r="O319" i="17"/>
  <c r="O318" i="17" s="1"/>
  <c r="N319" i="17"/>
  <c r="N318" i="17" s="1"/>
  <c r="M319" i="17"/>
  <c r="L319" i="17"/>
  <c r="M318" i="17"/>
  <c r="L318" i="17"/>
  <c r="J318" i="17"/>
  <c r="I318" i="17"/>
  <c r="H318" i="17"/>
  <c r="G318" i="17"/>
  <c r="P317" i="17"/>
  <c r="N317" i="17"/>
  <c r="M317" i="17"/>
  <c r="I317" i="17"/>
  <c r="P316" i="17"/>
  <c r="N316" i="17"/>
  <c r="M316" i="17"/>
  <c r="K316" i="17"/>
  <c r="I316" i="17"/>
  <c r="O316" i="17" s="1"/>
  <c r="N315" i="17"/>
  <c r="N314" i="17" s="1"/>
  <c r="N313" i="17" s="1"/>
  <c r="L315" i="17"/>
  <c r="J315" i="17"/>
  <c r="H315" i="17"/>
  <c r="G315" i="17"/>
  <c r="G314" i="17" s="1"/>
  <c r="L314" i="17"/>
  <c r="L313" i="17" s="1"/>
  <c r="K314" i="17"/>
  <c r="J314" i="17"/>
  <c r="J313" i="17" s="1"/>
  <c r="K313" i="17"/>
  <c r="G313" i="17"/>
  <c r="N311" i="17"/>
  <c r="I311" i="17"/>
  <c r="O311" i="17" s="1"/>
  <c r="N310" i="17"/>
  <c r="I310" i="17"/>
  <c r="O310" i="17" s="1"/>
  <c r="P309" i="17"/>
  <c r="N309" i="17"/>
  <c r="M309" i="17"/>
  <c r="I309" i="17"/>
  <c r="Q309" i="17" s="1"/>
  <c r="H308" i="17"/>
  <c r="N308" i="17" s="1"/>
  <c r="G308" i="17"/>
  <c r="M308" i="17" s="1"/>
  <c r="G307" i="17"/>
  <c r="M307" i="17" s="1"/>
  <c r="M303" i="17" s="1"/>
  <c r="M302" i="17" s="1"/>
  <c r="N306" i="17"/>
  <c r="N305" i="17"/>
  <c r="N304" i="17"/>
  <c r="L302" i="17"/>
  <c r="K302" i="17"/>
  <c r="P301" i="17"/>
  <c r="N301" i="17"/>
  <c r="N300" i="17" s="1"/>
  <c r="M301" i="17"/>
  <c r="M300" i="17" s="1"/>
  <c r="L301" i="17"/>
  <c r="L300" i="17" s="1"/>
  <c r="I301" i="17"/>
  <c r="Q301" i="17" s="1"/>
  <c r="J300" i="17"/>
  <c r="G300" i="17"/>
  <c r="P300" i="17" s="1"/>
  <c r="P299" i="17"/>
  <c r="N299" i="17"/>
  <c r="N298" i="17" s="1"/>
  <c r="L299" i="17"/>
  <c r="J299" i="17"/>
  <c r="M299" i="17" s="1"/>
  <c r="M298" i="17" s="1"/>
  <c r="I299" i="17"/>
  <c r="Q299" i="17" s="1"/>
  <c r="L298" i="17"/>
  <c r="L292" i="17" s="1"/>
  <c r="L291" i="17" s="1"/>
  <c r="L290" i="17" s="1"/>
  <c r="J298" i="17"/>
  <c r="H298" i="17"/>
  <c r="G298" i="17"/>
  <c r="P297" i="17"/>
  <c r="Q297" i="17" s="1"/>
  <c r="O297" i="17"/>
  <c r="N297" i="17"/>
  <c r="N296" i="17" s="1"/>
  <c r="M297" i="17"/>
  <c r="O296" i="17"/>
  <c r="M296" i="17"/>
  <c r="L296" i="17"/>
  <c r="K296" i="17"/>
  <c r="J296" i="17"/>
  <c r="J292" i="17" s="1"/>
  <c r="J291" i="17" s="1"/>
  <c r="I296" i="17"/>
  <c r="H296" i="17"/>
  <c r="G296" i="17"/>
  <c r="P295" i="17"/>
  <c r="N295" i="17"/>
  <c r="M295" i="17"/>
  <c r="I295" i="17"/>
  <c r="P294" i="17"/>
  <c r="N294" i="17"/>
  <c r="N293" i="17" s="1"/>
  <c r="M294" i="17"/>
  <c r="M293" i="17" s="1"/>
  <c r="M292" i="17" s="1"/>
  <c r="M291" i="17" s="1"/>
  <c r="L294" i="17"/>
  <c r="L293" i="17" s="1"/>
  <c r="I294" i="17"/>
  <c r="Q294" i="17" s="1"/>
  <c r="K293" i="17"/>
  <c r="K292" i="17" s="1"/>
  <c r="K291" i="17" s="1"/>
  <c r="K290" i="17" s="1"/>
  <c r="J293" i="17"/>
  <c r="I293" i="17"/>
  <c r="H293" i="17"/>
  <c r="G293" i="17"/>
  <c r="H292" i="17"/>
  <c r="H291" i="17" s="1"/>
  <c r="P288" i="17"/>
  <c r="N288" i="17"/>
  <c r="M288" i="17"/>
  <c r="M287" i="17" s="1"/>
  <c r="I288" i="17"/>
  <c r="N287" i="17"/>
  <c r="L287" i="17"/>
  <c r="J287" i="17"/>
  <c r="H287" i="17"/>
  <c r="G287" i="17"/>
  <c r="P286" i="17"/>
  <c r="N286" i="17"/>
  <c r="N285" i="17" s="1"/>
  <c r="M286" i="17"/>
  <c r="I286" i="17"/>
  <c r="I285" i="17" s="1"/>
  <c r="M285" i="17"/>
  <c r="L285" i="17"/>
  <c r="J285" i="17"/>
  <c r="J284" i="17" s="1"/>
  <c r="J283" i="17" s="1"/>
  <c r="J278" i="17" s="1"/>
  <c r="J263" i="17" s="1"/>
  <c r="H285" i="17"/>
  <c r="G285" i="17"/>
  <c r="G284" i="17" s="1"/>
  <c r="L284" i="17"/>
  <c r="L283" i="17" s="1"/>
  <c r="L278" i="17" s="1"/>
  <c r="L263" i="17" s="1"/>
  <c r="K284" i="17"/>
  <c r="K283" i="17" s="1"/>
  <c r="K278" i="17" s="1"/>
  <c r="K263" i="17" s="1"/>
  <c r="H284" i="17"/>
  <c r="H283" i="17" s="1"/>
  <c r="P282" i="17"/>
  <c r="N282" i="17"/>
  <c r="I282" i="17"/>
  <c r="Q282" i="17" s="1"/>
  <c r="I281" i="17"/>
  <c r="O281" i="17" s="1"/>
  <c r="H281" i="17"/>
  <c r="N281" i="17" s="1"/>
  <c r="H280" i="17"/>
  <c r="P280" i="17" s="1"/>
  <c r="P277" i="17"/>
  <c r="N277" i="17"/>
  <c r="I277" i="17"/>
  <c r="O277" i="17" s="1"/>
  <c r="P276" i="17"/>
  <c r="N276" i="17"/>
  <c r="I276" i="17"/>
  <c r="O276" i="17" s="1"/>
  <c r="P275" i="17"/>
  <c r="I275" i="17"/>
  <c r="P274" i="17"/>
  <c r="I274" i="17"/>
  <c r="P273" i="17"/>
  <c r="Q273" i="17" s="1"/>
  <c r="P272" i="17"/>
  <c r="N272" i="17"/>
  <c r="M272" i="17"/>
  <c r="I272" i="17"/>
  <c r="P271" i="17"/>
  <c r="N271" i="17"/>
  <c r="M271" i="17"/>
  <c r="I271" i="17"/>
  <c r="N270" i="17"/>
  <c r="H270" i="17"/>
  <c r="G270" i="17"/>
  <c r="M270" i="17" s="1"/>
  <c r="H269" i="17"/>
  <c r="N269" i="17" s="1"/>
  <c r="P268" i="17"/>
  <c r="Q268" i="17" s="1"/>
  <c r="P267" i="17"/>
  <c r="N267" i="17"/>
  <c r="I267" i="17"/>
  <c r="P266" i="17"/>
  <c r="N266" i="17"/>
  <c r="N264" i="17" s="1"/>
  <c r="I266" i="17"/>
  <c r="O266" i="17" s="1"/>
  <c r="P265" i="17"/>
  <c r="N265" i="17"/>
  <c r="I265" i="17"/>
  <c r="O265" i="17" s="1"/>
  <c r="H264" i="17"/>
  <c r="H263" i="17" s="1"/>
  <c r="P260" i="17"/>
  <c r="O260" i="17"/>
  <c r="O259" i="17" s="1"/>
  <c r="O258" i="17" s="1"/>
  <c r="O257" i="17" s="1"/>
  <c r="N260" i="17"/>
  <c r="M260" i="17"/>
  <c r="M259" i="17" s="1"/>
  <c r="M258" i="17" s="1"/>
  <c r="M257" i="17" s="1"/>
  <c r="I260" i="17"/>
  <c r="N259" i="17"/>
  <c r="N258" i="17" s="1"/>
  <c r="N257" i="17" s="1"/>
  <c r="L259" i="17"/>
  <c r="L258" i="17" s="1"/>
  <c r="L257" i="17" s="1"/>
  <c r="J259" i="17"/>
  <c r="J258" i="17" s="1"/>
  <c r="J257" i="17" s="1"/>
  <c r="I259" i="17"/>
  <c r="H259" i="17"/>
  <c r="H258" i="17" s="1"/>
  <c r="G259" i="17"/>
  <c r="K258" i="17"/>
  <c r="K257" i="17" s="1"/>
  <c r="I258" i="17"/>
  <c r="I257" i="17" s="1"/>
  <c r="G258" i="17"/>
  <c r="H257" i="17"/>
  <c r="P256" i="17"/>
  <c r="O256" i="17"/>
  <c r="N256" i="17"/>
  <c r="I256" i="17"/>
  <c r="P255" i="17"/>
  <c r="O255" i="17"/>
  <c r="N255" i="17"/>
  <c r="I255" i="17"/>
  <c r="P254" i="17"/>
  <c r="Q254" i="17" s="1"/>
  <c r="P253" i="17"/>
  <c r="O253" i="17"/>
  <c r="N253" i="17"/>
  <c r="M253" i="17"/>
  <c r="I253" i="17"/>
  <c r="O252" i="17"/>
  <c r="O251" i="17" s="1"/>
  <c r="O250" i="17" s="1"/>
  <c r="N252" i="17"/>
  <c r="M252" i="17"/>
  <c r="M251" i="17" s="1"/>
  <c r="M250" i="17" s="1"/>
  <c r="L252" i="17"/>
  <c r="J252" i="17"/>
  <c r="J251" i="17" s="1"/>
  <c r="J250" i="17" s="1"/>
  <c r="I252" i="17"/>
  <c r="G252" i="17"/>
  <c r="L251" i="17"/>
  <c r="L250" i="17" s="1"/>
  <c r="K251" i="17"/>
  <c r="I251" i="17"/>
  <c r="I250" i="17" s="1"/>
  <c r="H251" i="17"/>
  <c r="H250" i="17" s="1"/>
  <c r="K250" i="17"/>
  <c r="P249" i="17"/>
  <c r="Q249" i="17" s="1"/>
  <c r="P248" i="17"/>
  <c r="Q248" i="17" s="1"/>
  <c r="P247" i="17"/>
  <c r="O247" i="17"/>
  <c r="N247" i="17"/>
  <c r="N246" i="17" s="1"/>
  <c r="N245" i="17" s="1"/>
  <c r="M247" i="17"/>
  <c r="L247" i="17"/>
  <c r="L246" i="17" s="1"/>
  <c r="L245" i="17" s="1"/>
  <c r="J247" i="17"/>
  <c r="I247" i="17"/>
  <c r="G247" i="17"/>
  <c r="O246" i="17"/>
  <c r="O245" i="17" s="1"/>
  <c r="M246" i="17"/>
  <c r="M245" i="17" s="1"/>
  <c r="K246" i="17"/>
  <c r="K245" i="17" s="1"/>
  <c r="K244" i="17" s="1"/>
  <c r="J246" i="17"/>
  <c r="J245" i="17" s="1"/>
  <c r="H246" i="17"/>
  <c r="H245" i="17" s="1"/>
  <c r="H244" i="17" s="1"/>
  <c r="G246" i="17"/>
  <c r="P243" i="17"/>
  <c r="N243" i="17"/>
  <c r="M243" i="17"/>
  <c r="I243" i="17"/>
  <c r="O243" i="17" s="1"/>
  <c r="M242" i="17"/>
  <c r="H242" i="17"/>
  <c r="N242" i="17" s="1"/>
  <c r="G242" i="17"/>
  <c r="P241" i="17"/>
  <c r="Q241" i="17" s="1"/>
  <c r="O241" i="17"/>
  <c r="N241" i="17"/>
  <c r="M241" i="17"/>
  <c r="I240" i="17"/>
  <c r="O240" i="17" s="1"/>
  <c r="H240" i="17"/>
  <c r="N240" i="17" s="1"/>
  <c r="G240" i="17"/>
  <c r="M240" i="17" s="1"/>
  <c r="L238" i="17"/>
  <c r="K238" i="17"/>
  <c r="J238" i="17"/>
  <c r="P237" i="17"/>
  <c r="N237" i="17"/>
  <c r="M237" i="17"/>
  <c r="O237" i="17" s="1"/>
  <c r="O236" i="17" s="1"/>
  <c r="O235" i="17" s="1"/>
  <c r="I237" i="17"/>
  <c r="N236" i="17"/>
  <c r="N235" i="17" s="1"/>
  <c r="L236" i="17"/>
  <c r="J236" i="17"/>
  <c r="J235" i="17" s="1"/>
  <c r="H236" i="17"/>
  <c r="G236" i="17"/>
  <c r="G235" i="17" s="1"/>
  <c r="L235" i="17"/>
  <c r="K235" i="17"/>
  <c r="H235" i="17"/>
  <c r="N234" i="17"/>
  <c r="O234" i="17"/>
  <c r="P233" i="17"/>
  <c r="N233" i="17"/>
  <c r="M233" i="17"/>
  <c r="I233" i="17"/>
  <c r="N232" i="17"/>
  <c r="M232" i="17"/>
  <c r="N231" i="17"/>
  <c r="H231" i="17"/>
  <c r="P230" i="17"/>
  <c r="N230" i="17"/>
  <c r="M230" i="17"/>
  <c r="M228" i="17" s="1"/>
  <c r="M227" i="17" s="1"/>
  <c r="I230" i="17"/>
  <c r="P229" i="17"/>
  <c r="N229" i="17"/>
  <c r="M229" i="17"/>
  <c r="O229" i="17" s="1"/>
  <c r="I229" i="17"/>
  <c r="L228" i="17"/>
  <c r="J228" i="17"/>
  <c r="H228" i="17"/>
  <c r="G228" i="17"/>
  <c r="G227" i="17" s="1"/>
  <c r="P227" i="17" s="1"/>
  <c r="L227" i="17"/>
  <c r="K227" i="17"/>
  <c r="J227" i="17"/>
  <c r="H227" i="17"/>
  <c r="K226" i="17"/>
  <c r="P225" i="17"/>
  <c r="N225" i="17"/>
  <c r="N224" i="17" s="1"/>
  <c r="M225" i="17"/>
  <c r="L225" i="17"/>
  <c r="L224" i="17" s="1"/>
  <c r="I225" i="17"/>
  <c r="M224" i="17"/>
  <c r="K224" i="17"/>
  <c r="K217" i="17" s="1"/>
  <c r="K216" i="17" s="1"/>
  <c r="K215" i="17" s="1"/>
  <c r="K214" i="17" s="1"/>
  <c r="J224" i="17"/>
  <c r="I224" i="17"/>
  <c r="H224" i="17"/>
  <c r="G224" i="17"/>
  <c r="P223" i="17"/>
  <c r="N223" i="17"/>
  <c r="M223" i="17"/>
  <c r="L223" i="17"/>
  <c r="I223" i="17"/>
  <c r="P222" i="17"/>
  <c r="N222" i="17"/>
  <c r="M222" i="17"/>
  <c r="L222" i="17"/>
  <c r="I222" i="17"/>
  <c r="P221" i="17"/>
  <c r="Q221" i="17" s="1"/>
  <c r="N221" i="17"/>
  <c r="M221" i="17"/>
  <c r="L221" i="17"/>
  <c r="O221" i="17" s="1"/>
  <c r="P220" i="17"/>
  <c r="N220" i="17"/>
  <c r="L220" i="17"/>
  <c r="L217" i="17" s="1"/>
  <c r="J220" i="17"/>
  <c r="M220" i="17" s="1"/>
  <c r="I220" i="17"/>
  <c r="P219" i="17"/>
  <c r="N219" i="17"/>
  <c r="M219" i="17"/>
  <c r="O219" i="17" s="1"/>
  <c r="I219" i="17"/>
  <c r="N218" i="17"/>
  <c r="M218" i="17"/>
  <c r="O218" i="17" s="1"/>
  <c r="I218" i="17"/>
  <c r="I217" i="17" s="1"/>
  <c r="I216" i="17" s="1"/>
  <c r="O217" i="17" s="1"/>
  <c r="O216" i="17" s="1"/>
  <c r="H218" i="17"/>
  <c r="P218" i="17" s="1"/>
  <c r="H217" i="17"/>
  <c r="H216" i="17" s="1"/>
  <c r="G217" i="17"/>
  <c r="L216" i="17"/>
  <c r="P213" i="17"/>
  <c r="N213" i="17"/>
  <c r="M213" i="17"/>
  <c r="I213" i="17"/>
  <c r="O213" i="17" s="1"/>
  <c r="O212" i="17" s="1"/>
  <c r="O211" i="17" s="1"/>
  <c r="O210" i="17" s="1"/>
  <c r="O209" i="17" s="1"/>
  <c r="O208" i="17" s="1"/>
  <c r="N212" i="17"/>
  <c r="N211" i="17" s="1"/>
  <c r="N210" i="17" s="1"/>
  <c r="N209" i="17" s="1"/>
  <c r="N208" i="17" s="1"/>
  <c r="M212" i="17"/>
  <c r="L212" i="17"/>
  <c r="L211" i="17" s="1"/>
  <c r="L210" i="17" s="1"/>
  <c r="L209" i="17" s="1"/>
  <c r="L208" i="17" s="1"/>
  <c r="J212" i="17"/>
  <c r="J211" i="17" s="1"/>
  <c r="J210" i="17" s="1"/>
  <c r="J209" i="17" s="1"/>
  <c r="J208" i="17" s="1"/>
  <c r="H212" i="17"/>
  <c r="H211" i="17" s="1"/>
  <c r="H210" i="17" s="1"/>
  <c r="H209" i="17" s="1"/>
  <c r="H208" i="17" s="1"/>
  <c r="G212" i="17"/>
  <c r="M211" i="17"/>
  <c r="M210" i="17" s="1"/>
  <c r="M209" i="17" s="1"/>
  <c r="M208" i="17" s="1"/>
  <c r="K211" i="17"/>
  <c r="K210" i="17" s="1"/>
  <c r="K209" i="17" s="1"/>
  <c r="K208" i="17" s="1"/>
  <c r="G211" i="17"/>
  <c r="P207" i="17"/>
  <c r="N207" i="17"/>
  <c r="M207" i="17"/>
  <c r="I207" i="17"/>
  <c r="I206" i="17" s="1"/>
  <c r="I205" i="17" s="1"/>
  <c r="O205" i="17" s="1"/>
  <c r="O204" i="17" s="1"/>
  <c r="H206" i="17"/>
  <c r="N206" i="17" s="1"/>
  <c r="G206" i="17"/>
  <c r="M206" i="17" s="1"/>
  <c r="P203" i="17"/>
  <c r="N203" i="17"/>
  <c r="N202" i="17" s="1"/>
  <c r="M203" i="17"/>
  <c r="M202" i="17" s="1"/>
  <c r="M201" i="17" s="1"/>
  <c r="M200" i="17" s="1"/>
  <c r="M199" i="17" s="1"/>
  <c r="I203" i="17"/>
  <c r="L202" i="17"/>
  <c r="L201" i="17" s="1"/>
  <c r="L200" i="17" s="1"/>
  <c r="L199" i="17" s="1"/>
  <c r="J202" i="17"/>
  <c r="J201" i="17" s="1"/>
  <c r="J200" i="17" s="1"/>
  <c r="J199" i="17" s="1"/>
  <c r="I202" i="17"/>
  <c r="H202" i="17"/>
  <c r="H201" i="17" s="1"/>
  <c r="N201" i="17" s="1"/>
  <c r="G202" i="17"/>
  <c r="P202" i="17" s="1"/>
  <c r="Q202" i="17" s="1"/>
  <c r="K201" i="17"/>
  <c r="K200" i="17" s="1"/>
  <c r="K199" i="17" s="1"/>
  <c r="I201" i="17"/>
  <c r="I200" i="17" s="1"/>
  <c r="I199" i="17" s="1"/>
  <c r="N200" i="17"/>
  <c r="N199" i="17" s="1"/>
  <c r="H200" i="17"/>
  <c r="H199" i="17" s="1"/>
  <c r="P198" i="17"/>
  <c r="N198" i="17"/>
  <c r="N197" i="17" s="1"/>
  <c r="N196" i="17" s="1"/>
  <c r="M198" i="17"/>
  <c r="I198" i="17"/>
  <c r="M197" i="17"/>
  <c r="M196" i="17" s="1"/>
  <c r="L197" i="17"/>
  <c r="L196" i="17" s="1"/>
  <c r="J197" i="17"/>
  <c r="J196" i="17" s="1"/>
  <c r="H197" i="17"/>
  <c r="H196" i="17" s="1"/>
  <c r="G197" i="17"/>
  <c r="G196" i="17" s="1"/>
  <c r="K196" i="17"/>
  <c r="K195" i="17" s="1"/>
  <c r="P195" i="17"/>
  <c r="Q195" i="17" s="1"/>
  <c r="N195" i="17"/>
  <c r="N194" i="17" s="1"/>
  <c r="O194" i="17"/>
  <c r="M194" i="17"/>
  <c r="L194" i="17"/>
  <c r="J194" i="17"/>
  <c r="I194" i="17"/>
  <c r="H194" i="17"/>
  <c r="G194" i="17"/>
  <c r="P193" i="17"/>
  <c r="N193" i="17"/>
  <c r="N192" i="17" s="1"/>
  <c r="M193" i="17"/>
  <c r="L193" i="17"/>
  <c r="L192" i="17" s="1"/>
  <c r="I193" i="17"/>
  <c r="M192" i="17"/>
  <c r="K192" i="17"/>
  <c r="J192" i="17"/>
  <c r="I192" i="17"/>
  <c r="H192" i="17"/>
  <c r="G192" i="17"/>
  <c r="P192" i="17" s="1"/>
  <c r="P191" i="17"/>
  <c r="N191" i="17"/>
  <c r="O191" i="17" s="1"/>
  <c r="M191" i="17"/>
  <c r="L191" i="17"/>
  <c r="I191" i="17"/>
  <c r="M190" i="17"/>
  <c r="M189" i="17" s="1"/>
  <c r="M188" i="17" s="1"/>
  <c r="H189" i="17"/>
  <c r="L189" i="17"/>
  <c r="K189" i="17"/>
  <c r="J189" i="17"/>
  <c r="J188" i="17" s="1"/>
  <c r="G189" i="17"/>
  <c r="K188" i="17"/>
  <c r="K187" i="17" s="1"/>
  <c r="P184" i="17"/>
  <c r="N184" i="17"/>
  <c r="M184" i="17"/>
  <c r="M183" i="17" s="1"/>
  <c r="I184" i="17"/>
  <c r="H183" i="17"/>
  <c r="G183" i="17"/>
  <c r="P183" i="17" s="1"/>
  <c r="P182" i="17"/>
  <c r="N182" i="17"/>
  <c r="M182" i="17"/>
  <c r="M181" i="17" s="1"/>
  <c r="L182" i="17"/>
  <c r="I182" i="17"/>
  <c r="I181" i="17" s="1"/>
  <c r="N181" i="17"/>
  <c r="L181" i="17"/>
  <c r="L180" i="17" s="1"/>
  <c r="L179" i="17" s="1"/>
  <c r="L178" i="17" s="1"/>
  <c r="L177" i="17" s="1"/>
  <c r="K181" i="17"/>
  <c r="J181" i="17"/>
  <c r="J180" i="17" s="1"/>
  <c r="J179" i="17" s="1"/>
  <c r="J178" i="17" s="1"/>
  <c r="J177" i="17" s="1"/>
  <c r="G181" i="17"/>
  <c r="G180" i="17" s="1"/>
  <c r="P180" i="17" s="1"/>
  <c r="K180" i="17"/>
  <c r="K179" i="17" s="1"/>
  <c r="K178" i="17" s="1"/>
  <c r="K177" i="17" s="1"/>
  <c r="H180" i="17"/>
  <c r="H179" i="17" s="1"/>
  <c r="H178" i="17" s="1"/>
  <c r="H177" i="17" s="1"/>
  <c r="P175" i="17"/>
  <c r="Q175" i="17" s="1"/>
  <c r="O174" i="17"/>
  <c r="O173" i="17" s="1"/>
  <c r="O172" i="17" s="1"/>
  <c r="N174" i="17"/>
  <c r="N173" i="17" s="1"/>
  <c r="N172" i="17" s="1"/>
  <c r="M174" i="17"/>
  <c r="M173" i="17" s="1"/>
  <c r="M172" i="17" s="1"/>
  <c r="L174" i="17"/>
  <c r="L173" i="17" s="1"/>
  <c r="L172" i="17" s="1"/>
  <c r="J174" i="17"/>
  <c r="J173" i="17" s="1"/>
  <c r="J172" i="17" s="1"/>
  <c r="I174" i="17"/>
  <c r="G174" i="17"/>
  <c r="K173" i="17"/>
  <c r="I173" i="17"/>
  <c r="I172" i="17" s="1"/>
  <c r="H173" i="17"/>
  <c r="H172" i="17" s="1"/>
  <c r="K172" i="17"/>
  <c r="P171" i="17"/>
  <c r="Q171" i="17" s="1"/>
  <c r="P170" i="17"/>
  <c r="O170" i="17"/>
  <c r="O169" i="17" s="1"/>
  <c r="O168" i="17" s="1"/>
  <c r="N170" i="17"/>
  <c r="N169" i="17" s="1"/>
  <c r="N168" i="17" s="1"/>
  <c r="M170" i="17"/>
  <c r="L170" i="17"/>
  <c r="L169" i="17" s="1"/>
  <c r="J170" i="17"/>
  <c r="J169" i="17" s="1"/>
  <c r="J168" i="17" s="1"/>
  <c r="I170" i="17"/>
  <c r="G170" i="17"/>
  <c r="M169" i="17"/>
  <c r="M168" i="17" s="1"/>
  <c r="K169" i="17"/>
  <c r="K168" i="17" s="1"/>
  <c r="H169" i="17"/>
  <c r="H168" i="17" s="1"/>
  <c r="G169" i="17"/>
  <c r="L168" i="17"/>
  <c r="P167" i="17"/>
  <c r="Q167" i="17" s="1"/>
  <c r="O167" i="17"/>
  <c r="N167" i="17"/>
  <c r="M167" i="17"/>
  <c r="I167" i="17"/>
  <c r="O166" i="17"/>
  <c r="N166" i="17"/>
  <c r="M166" i="17"/>
  <c r="L166" i="17"/>
  <c r="J166" i="17"/>
  <c r="I166" i="17"/>
  <c r="H166" i="17"/>
  <c r="G166" i="17"/>
  <c r="P165" i="17"/>
  <c r="N165" i="17"/>
  <c r="N164" i="17" s="1"/>
  <c r="N163" i="17" s="1"/>
  <c r="N162" i="17" s="1"/>
  <c r="M165" i="17"/>
  <c r="M164" i="17" s="1"/>
  <c r="I165" i="17"/>
  <c r="O165" i="17" s="1"/>
  <c r="O164" i="17" s="1"/>
  <c r="O163" i="17" s="1"/>
  <c r="O162" i="17" s="1"/>
  <c r="L164" i="17"/>
  <c r="J164" i="17"/>
  <c r="I164" i="17"/>
  <c r="H164" i="17"/>
  <c r="G164" i="17"/>
  <c r="P164" i="17" s="1"/>
  <c r="Q164" i="17" s="1"/>
  <c r="L163" i="17"/>
  <c r="L162" i="17" s="1"/>
  <c r="K163" i="17"/>
  <c r="I163" i="17"/>
  <c r="I162" i="17" s="1"/>
  <c r="K162" i="17"/>
  <c r="K161" i="17" s="1"/>
  <c r="K160" i="17" s="1"/>
  <c r="P159" i="17"/>
  <c r="Q159" i="17" s="1"/>
  <c r="N159" i="17"/>
  <c r="N158" i="17" s="1"/>
  <c r="N157" i="17" s="1"/>
  <c r="N156" i="17" s="1"/>
  <c r="O158" i="17"/>
  <c r="O157" i="17" s="1"/>
  <c r="O156" i="17" s="1"/>
  <c r="M158" i="17"/>
  <c r="M157" i="17" s="1"/>
  <c r="M156" i="17" s="1"/>
  <c r="L158" i="17"/>
  <c r="J158" i="17"/>
  <c r="J157" i="17" s="1"/>
  <c r="J156" i="17" s="1"/>
  <c r="I158" i="17"/>
  <c r="I157" i="17" s="1"/>
  <c r="I156" i="17" s="1"/>
  <c r="G158" i="17"/>
  <c r="P158" i="17" s="1"/>
  <c r="L157" i="17"/>
  <c r="L156" i="17" s="1"/>
  <c r="K157" i="17"/>
  <c r="H157" i="17"/>
  <c r="H156" i="17" s="1"/>
  <c r="K156" i="17"/>
  <c r="P155" i="17"/>
  <c r="N155" i="17"/>
  <c r="N154" i="17" s="1"/>
  <c r="N153" i="17" s="1"/>
  <c r="N152" i="17" s="1"/>
  <c r="M155" i="17"/>
  <c r="I155" i="17"/>
  <c r="O155" i="17" s="1"/>
  <c r="O154" i="17" s="1"/>
  <c r="O153" i="17" s="1"/>
  <c r="O152" i="17" s="1"/>
  <c r="M154" i="17"/>
  <c r="M153" i="17" s="1"/>
  <c r="M152" i="17" s="1"/>
  <c r="L154" i="17"/>
  <c r="L153" i="17" s="1"/>
  <c r="L152" i="17" s="1"/>
  <c r="J154" i="17"/>
  <c r="H154" i="17"/>
  <c r="H153" i="17" s="1"/>
  <c r="H152" i="17" s="1"/>
  <c r="G154" i="17"/>
  <c r="G153" i="17" s="1"/>
  <c r="K153" i="17"/>
  <c r="J153" i="17"/>
  <c r="J152" i="17" s="1"/>
  <c r="K152" i="17"/>
  <c r="P151" i="17"/>
  <c r="Q151" i="17" s="1"/>
  <c r="N151" i="17"/>
  <c r="M151" i="17"/>
  <c r="P150" i="17"/>
  <c r="N150" i="17"/>
  <c r="M150" i="17"/>
  <c r="I150" i="17"/>
  <c r="O150" i="17" s="1"/>
  <c r="P149" i="17"/>
  <c r="N149" i="17"/>
  <c r="M149" i="17"/>
  <c r="I149" i="17"/>
  <c r="P148" i="17"/>
  <c r="N148" i="17"/>
  <c r="M148" i="17"/>
  <c r="I148" i="17"/>
  <c r="O148" i="17" s="1"/>
  <c r="P147" i="17"/>
  <c r="Q147" i="17" s="1"/>
  <c r="N147" i="17"/>
  <c r="O146" i="17"/>
  <c r="O145" i="17" s="1"/>
  <c r="N146" i="17"/>
  <c r="M146" i="17"/>
  <c r="M145" i="17" s="1"/>
  <c r="L146" i="17"/>
  <c r="L145" i="17" s="1"/>
  <c r="J146" i="17"/>
  <c r="J145" i="17" s="1"/>
  <c r="I146" i="17"/>
  <c r="G146" i="17"/>
  <c r="P146" i="17" s="1"/>
  <c r="Q146" i="17" s="1"/>
  <c r="N145" i="17"/>
  <c r="K145" i="17"/>
  <c r="K144" i="17" s="1"/>
  <c r="I145" i="17"/>
  <c r="H145" i="17"/>
  <c r="P144" i="17"/>
  <c r="Q144" i="17" s="1"/>
  <c r="N144" i="17"/>
  <c r="N143" i="17" s="1"/>
  <c r="N142" i="17" s="1"/>
  <c r="O143" i="17"/>
  <c r="O142" i="17" s="1"/>
  <c r="M143" i="17"/>
  <c r="M142" i="17" s="1"/>
  <c r="L143" i="17"/>
  <c r="L142" i="17" s="1"/>
  <c r="J143" i="17"/>
  <c r="J142" i="17" s="1"/>
  <c r="I143" i="17"/>
  <c r="I142" i="17" s="1"/>
  <c r="H143" i="17"/>
  <c r="H142" i="17" s="1"/>
  <c r="G143" i="17"/>
  <c r="P143" i="17" s="1"/>
  <c r="Q143" i="17" s="1"/>
  <c r="K142" i="17"/>
  <c r="P141" i="17"/>
  <c r="Q141" i="17" s="1"/>
  <c r="P140" i="17"/>
  <c r="O140" i="17"/>
  <c r="N140" i="17"/>
  <c r="M140" i="17"/>
  <c r="L140" i="17"/>
  <c r="J140" i="17"/>
  <c r="I140" i="17"/>
  <c r="G140" i="17"/>
  <c r="P139" i="17"/>
  <c r="N139" i="17"/>
  <c r="N138" i="17" s="1"/>
  <c r="M139" i="17"/>
  <c r="I139" i="17"/>
  <c r="L138" i="17"/>
  <c r="J138" i="17"/>
  <c r="I138" i="17"/>
  <c r="I133" i="17" s="1"/>
  <c r="H138" i="17"/>
  <c r="G138" i="17"/>
  <c r="P138" i="17" s="1"/>
  <c r="Q138" i="17" s="1"/>
  <c r="P137" i="17"/>
  <c r="Q137" i="17" s="1"/>
  <c r="P136" i="17"/>
  <c r="O136" i="17"/>
  <c r="N136" i="17"/>
  <c r="M136" i="17"/>
  <c r="I136" i="17"/>
  <c r="P135" i="17"/>
  <c r="Q135" i="17" s="1"/>
  <c r="O135" i="17"/>
  <c r="N135" i="17"/>
  <c r="M135" i="17"/>
  <c r="I135" i="17"/>
  <c r="O134" i="17"/>
  <c r="N134" i="17"/>
  <c r="M134" i="17"/>
  <c r="L134" i="17"/>
  <c r="J134" i="17"/>
  <c r="J133" i="17" s="1"/>
  <c r="I134" i="17"/>
  <c r="H134" i="17"/>
  <c r="H133" i="17" s="1"/>
  <c r="G134" i="17"/>
  <c r="K133" i="17"/>
  <c r="K132" i="17" s="1"/>
  <c r="G133" i="17"/>
  <c r="P129" i="17"/>
  <c r="N129" i="17"/>
  <c r="M129" i="17"/>
  <c r="I129" i="17"/>
  <c r="Q129" i="17" s="1"/>
  <c r="M128" i="17"/>
  <c r="H128" i="17"/>
  <c r="N128" i="17" s="1"/>
  <c r="N127" i="17"/>
  <c r="M127" i="17"/>
  <c r="I127" i="17"/>
  <c r="H127" i="17"/>
  <c r="P127" i="17" s="1"/>
  <c r="M126" i="17"/>
  <c r="M125" i="17" s="1"/>
  <c r="H126" i="17"/>
  <c r="P126" i="17" s="1"/>
  <c r="L125" i="17"/>
  <c r="K125" i="17"/>
  <c r="J125" i="17"/>
  <c r="H125" i="17"/>
  <c r="G125" i="17"/>
  <c r="G124" i="17" s="1"/>
  <c r="H124" i="17"/>
  <c r="N124" i="17" s="1"/>
  <c r="P122" i="17"/>
  <c r="N122" i="17"/>
  <c r="N121" i="17" s="1"/>
  <c r="N120" i="17" s="1"/>
  <c r="N119" i="17" s="1"/>
  <c r="M122" i="17"/>
  <c r="I122" i="17"/>
  <c r="M121" i="17"/>
  <c r="M120" i="17" s="1"/>
  <c r="M119" i="17" s="1"/>
  <c r="L121" i="17"/>
  <c r="L120" i="17" s="1"/>
  <c r="L119" i="17" s="1"/>
  <c r="J121" i="17"/>
  <c r="J120" i="17" s="1"/>
  <c r="J119" i="17" s="1"/>
  <c r="I121" i="17"/>
  <c r="I120" i="17" s="1"/>
  <c r="I119" i="17" s="1"/>
  <c r="H121" i="17"/>
  <c r="H120" i="17" s="1"/>
  <c r="H119" i="17" s="1"/>
  <c r="G121" i="17"/>
  <c r="K120" i="17"/>
  <c r="K119" i="17" s="1"/>
  <c r="K114" i="17" s="1"/>
  <c r="P118" i="17"/>
  <c r="N118" i="17"/>
  <c r="N117" i="17" s="1"/>
  <c r="N116" i="17" s="1"/>
  <c r="N115" i="17" s="1"/>
  <c r="M118" i="17"/>
  <c r="I118" i="17"/>
  <c r="I117" i="17" s="1"/>
  <c r="I116" i="17" s="1"/>
  <c r="L117" i="17"/>
  <c r="L116" i="17" s="1"/>
  <c r="L115" i="17" s="1"/>
  <c r="K117" i="17"/>
  <c r="K116" i="17" s="1"/>
  <c r="K115" i="17" s="1"/>
  <c r="J117" i="17"/>
  <c r="J116" i="17" s="1"/>
  <c r="J115" i="17" s="1"/>
  <c r="H117" i="17"/>
  <c r="H116" i="17" s="1"/>
  <c r="H115" i="17" s="1"/>
  <c r="G117" i="17"/>
  <c r="P114" i="17"/>
  <c r="N114" i="17"/>
  <c r="O113" i="17" s="1"/>
  <c r="O112" i="17" s="1"/>
  <c r="O111" i="17" s="1"/>
  <c r="I113" i="17"/>
  <c r="M113" i="17"/>
  <c r="M112" i="17" s="1"/>
  <c r="M111" i="17" s="1"/>
  <c r="L113" i="17"/>
  <c r="L112" i="17" s="1"/>
  <c r="L111" i="17" s="1"/>
  <c r="J113" i="17"/>
  <c r="J112" i="17" s="1"/>
  <c r="J111" i="17" s="1"/>
  <c r="H112" i="17"/>
  <c r="H111" i="17" s="1"/>
  <c r="G113" i="17"/>
  <c r="P113" i="17" s="1"/>
  <c r="K112" i="17"/>
  <c r="K111" i="17" s="1"/>
  <c r="P110" i="17"/>
  <c r="N110" i="17"/>
  <c r="M110" i="17"/>
  <c r="I110" i="17"/>
  <c r="M109" i="17"/>
  <c r="L108" i="17"/>
  <c r="J108" i="17"/>
  <c r="G108" i="17"/>
  <c r="P107" i="17"/>
  <c r="N107" i="17"/>
  <c r="I107" i="17"/>
  <c r="P106" i="17"/>
  <c r="O106" i="17"/>
  <c r="N106" i="17"/>
  <c r="M106" i="17"/>
  <c r="M105" i="17" s="1"/>
  <c r="I106" i="17"/>
  <c r="L105" i="17"/>
  <c r="J105" i="17"/>
  <c r="H105" i="17"/>
  <c r="G105" i="17"/>
  <c r="K104" i="17"/>
  <c r="P103" i="17"/>
  <c r="Q103" i="17" s="1"/>
  <c r="P102" i="17"/>
  <c r="N102" i="17"/>
  <c r="M102" i="17"/>
  <c r="I102" i="17"/>
  <c r="P101" i="17"/>
  <c r="N101" i="17"/>
  <c r="N100" i="17" s="1"/>
  <c r="N99" i="17" s="1"/>
  <c r="M101" i="17"/>
  <c r="M100" i="17" s="1"/>
  <c r="M99" i="17" s="1"/>
  <c r="I101" i="17"/>
  <c r="I100" i="17" s="1"/>
  <c r="L100" i="17"/>
  <c r="L99" i="17" s="1"/>
  <c r="J100" i="17"/>
  <c r="H100" i="17"/>
  <c r="H99" i="17" s="1"/>
  <c r="P99" i="17" s="1"/>
  <c r="G100" i="17"/>
  <c r="G99" i="17" s="1"/>
  <c r="K99" i="17"/>
  <c r="K98" i="17" s="1"/>
  <c r="K97" i="17" s="1"/>
  <c r="J99" i="17"/>
  <c r="P96" i="17"/>
  <c r="Q96" i="17" s="1"/>
  <c r="N96" i="17"/>
  <c r="M96" i="17"/>
  <c r="L96" i="17"/>
  <c r="L95" i="17" s="1"/>
  <c r="L94" i="17" s="1"/>
  <c r="O94" i="17" s="1"/>
  <c r="P95" i="17"/>
  <c r="Q95" i="17" s="1"/>
  <c r="K95" i="17"/>
  <c r="N95" i="17" s="1"/>
  <c r="J95" i="17"/>
  <c r="J94" i="17" s="1"/>
  <c r="M94" i="17" s="1"/>
  <c r="P94" i="17"/>
  <c r="Q94" i="17" s="1"/>
  <c r="P93" i="17"/>
  <c r="Q93" i="17" s="1"/>
  <c r="P92" i="17"/>
  <c r="N92" i="17"/>
  <c r="N91" i="17" s="1"/>
  <c r="N90" i="17" s="1"/>
  <c r="M92" i="17"/>
  <c r="M91" i="17" s="1"/>
  <c r="M90" i="17" s="1"/>
  <c r="I92" i="17"/>
  <c r="L91" i="17"/>
  <c r="L90" i="17" s="1"/>
  <c r="J91" i="17"/>
  <c r="J90" i="17" s="1"/>
  <c r="J89" i="17" s="1"/>
  <c r="I91" i="17"/>
  <c r="H91" i="17"/>
  <c r="H90" i="17" s="1"/>
  <c r="H89" i="17" s="1"/>
  <c r="G91" i="17"/>
  <c r="P91" i="17" s="1"/>
  <c r="Q91" i="17" s="1"/>
  <c r="K90" i="17"/>
  <c r="I90" i="17"/>
  <c r="I89" i="17" s="1"/>
  <c r="P88" i="17"/>
  <c r="Q88" i="17" s="1"/>
  <c r="O87" i="17"/>
  <c r="O86" i="17" s="1"/>
  <c r="O85" i="17" s="1"/>
  <c r="N87" i="17"/>
  <c r="N86" i="17" s="1"/>
  <c r="N85" i="17" s="1"/>
  <c r="M87" i="17"/>
  <c r="M86" i="17" s="1"/>
  <c r="M85" i="17" s="1"/>
  <c r="L87" i="17"/>
  <c r="L86" i="17" s="1"/>
  <c r="L85" i="17" s="1"/>
  <c r="J87" i="17"/>
  <c r="J86" i="17" s="1"/>
  <c r="J85" i="17" s="1"/>
  <c r="I87" i="17"/>
  <c r="I86" i="17" s="1"/>
  <c r="I85" i="17" s="1"/>
  <c r="G87" i="17"/>
  <c r="K86" i="17"/>
  <c r="H86" i="17"/>
  <c r="H85" i="17" s="1"/>
  <c r="K85" i="17"/>
  <c r="P84" i="17"/>
  <c r="Q84" i="17" s="1"/>
  <c r="O83" i="17"/>
  <c r="N83" i="17"/>
  <c r="M83" i="17"/>
  <c r="L83" i="17"/>
  <c r="J83" i="17"/>
  <c r="J79" i="17" s="1"/>
  <c r="J78" i="17" s="1"/>
  <c r="I83" i="17"/>
  <c r="G83" i="17"/>
  <c r="P83" i="17" s="1"/>
  <c r="P82" i="17"/>
  <c r="N82" i="17"/>
  <c r="M82" i="17"/>
  <c r="I82" i="17"/>
  <c r="P81" i="17"/>
  <c r="M81" i="17"/>
  <c r="L80" i="17"/>
  <c r="L79" i="17" s="1"/>
  <c r="L78" i="17" s="1"/>
  <c r="J80" i="17"/>
  <c r="H79" i="17"/>
  <c r="H78" i="17" s="1"/>
  <c r="G80" i="17"/>
  <c r="K79" i="17"/>
  <c r="K78" i="17" s="1"/>
  <c r="P76" i="17"/>
  <c r="Q76" i="17" s="1"/>
  <c r="O75" i="17"/>
  <c r="O74" i="17" s="1"/>
  <c r="O73" i="17" s="1"/>
  <c r="O72" i="17" s="1"/>
  <c r="N75" i="17"/>
  <c r="N74" i="17" s="1"/>
  <c r="N73" i="17" s="1"/>
  <c r="N72" i="17" s="1"/>
  <c r="M75" i="17"/>
  <c r="M74" i="17" s="1"/>
  <c r="M73" i="17" s="1"/>
  <c r="M72" i="17" s="1"/>
  <c r="L75" i="17"/>
  <c r="L74" i="17" s="1"/>
  <c r="L73" i="17" s="1"/>
  <c r="L72" i="17" s="1"/>
  <c r="J75" i="17"/>
  <c r="J74" i="17" s="1"/>
  <c r="J73" i="17" s="1"/>
  <c r="J72" i="17" s="1"/>
  <c r="I75" i="17"/>
  <c r="G75" i="17"/>
  <c r="K74" i="17"/>
  <c r="I74" i="17"/>
  <c r="I73" i="17" s="1"/>
  <c r="I72" i="17" s="1"/>
  <c r="H74" i="17"/>
  <c r="H73" i="17" s="1"/>
  <c r="H72" i="17" s="1"/>
  <c r="K73" i="17"/>
  <c r="K72" i="17" s="1"/>
  <c r="P71" i="17"/>
  <c r="N71" i="17"/>
  <c r="N70" i="17" s="1"/>
  <c r="N69" i="17" s="1"/>
  <c r="N68" i="17" s="1"/>
  <c r="N67" i="17" s="1"/>
  <c r="M71" i="17"/>
  <c r="M70" i="17" s="1"/>
  <c r="M69" i="17" s="1"/>
  <c r="M68" i="17" s="1"/>
  <c r="M67" i="17" s="1"/>
  <c r="I71" i="17"/>
  <c r="L70" i="17"/>
  <c r="L69" i="17" s="1"/>
  <c r="L68" i="17" s="1"/>
  <c r="L67" i="17" s="1"/>
  <c r="J70" i="17"/>
  <c r="J69" i="17" s="1"/>
  <c r="J68" i="17" s="1"/>
  <c r="J67" i="17" s="1"/>
  <c r="H70" i="17"/>
  <c r="H69" i="17" s="1"/>
  <c r="H68" i="17" s="1"/>
  <c r="H67" i="17" s="1"/>
  <c r="G70" i="17"/>
  <c r="P70" i="17" s="1"/>
  <c r="K69" i="17"/>
  <c r="K68" i="17" s="1"/>
  <c r="K67" i="17" s="1"/>
  <c r="M65" i="17"/>
  <c r="M64" i="17" s="1"/>
  <c r="M63" i="17" s="1"/>
  <c r="M62" i="17" s="1"/>
  <c r="M61" i="17" s="1"/>
  <c r="L64" i="17"/>
  <c r="L63" i="17" s="1"/>
  <c r="L62" i="17" s="1"/>
  <c r="L61" i="17" s="1"/>
  <c r="J64" i="17"/>
  <c r="J63" i="17" s="1"/>
  <c r="J62" i="17" s="1"/>
  <c r="J61" i="17" s="1"/>
  <c r="G64" i="17"/>
  <c r="G63" i="17" s="1"/>
  <c r="G62" i="17" s="1"/>
  <c r="K63" i="17"/>
  <c r="K62" i="17" s="1"/>
  <c r="K61" i="17" s="1"/>
  <c r="P60" i="17"/>
  <c r="Q60" i="17" s="1"/>
  <c r="O59" i="17"/>
  <c r="N59" i="17"/>
  <c r="M59" i="17"/>
  <c r="M54" i="17" s="1"/>
  <c r="L59" i="17"/>
  <c r="J59" i="17"/>
  <c r="J54" i="17" s="1"/>
  <c r="I59" i="17"/>
  <c r="G59" i="17"/>
  <c r="P59" i="17" s="1"/>
  <c r="K58" i="17"/>
  <c r="H58" i="17"/>
  <c r="P58" i="17" s="1"/>
  <c r="Q58" i="17" s="1"/>
  <c r="P57" i="17"/>
  <c r="Q57" i="17" s="1"/>
  <c r="N57" i="17"/>
  <c r="M57" i="17"/>
  <c r="L57" i="17"/>
  <c r="P56" i="17"/>
  <c r="Q56" i="17" s="1"/>
  <c r="N56" i="17"/>
  <c r="M56" i="17"/>
  <c r="M55" i="17" s="1"/>
  <c r="L56" i="17"/>
  <c r="L55" i="17"/>
  <c r="L54" i="17" s="1"/>
  <c r="J55" i="17"/>
  <c r="I55" i="17"/>
  <c r="G55" i="17"/>
  <c r="P55" i="17" s="1"/>
  <c r="N54" i="17"/>
  <c r="K54" i="17"/>
  <c r="H54" i="17"/>
  <c r="N53" i="17"/>
  <c r="O53" i="17"/>
  <c r="H52" i="17"/>
  <c r="N52" i="17" s="1"/>
  <c r="P51" i="17"/>
  <c r="N51" i="17"/>
  <c r="M51" i="17"/>
  <c r="K51" i="17"/>
  <c r="I51" i="17"/>
  <c r="O51" i="17" s="1"/>
  <c r="P50" i="17"/>
  <c r="Q50" i="17" s="1"/>
  <c r="O50" i="17"/>
  <c r="N50" i="17"/>
  <c r="M50" i="17"/>
  <c r="N49" i="17"/>
  <c r="I49" i="17"/>
  <c r="O49" i="17" s="1"/>
  <c r="H48" i="17"/>
  <c r="I48" i="17" s="1"/>
  <c r="O48" i="17" s="1"/>
  <c r="P47" i="17"/>
  <c r="N47" i="17"/>
  <c r="M47" i="17"/>
  <c r="I47" i="17"/>
  <c r="L46" i="17"/>
  <c r="L45" i="17" s="1"/>
  <c r="J46" i="17"/>
  <c r="J45" i="17" s="1"/>
  <c r="J44" i="17" s="1"/>
  <c r="J43" i="17" s="1"/>
  <c r="H46" i="17"/>
  <c r="G46" i="17"/>
  <c r="G45" i="17" s="1"/>
  <c r="K45" i="17"/>
  <c r="K44" i="17" s="1"/>
  <c r="O42" i="17"/>
  <c r="N42" i="17"/>
  <c r="H41" i="17"/>
  <c r="P40" i="17"/>
  <c r="N40" i="17"/>
  <c r="N39" i="17" s="1"/>
  <c r="M40" i="17"/>
  <c r="M39" i="17" s="1"/>
  <c r="M38" i="17" s="1"/>
  <c r="M37" i="17" s="1"/>
  <c r="M36" i="17" s="1"/>
  <c r="I40" i="17"/>
  <c r="L39" i="17"/>
  <c r="L38" i="17" s="1"/>
  <c r="L37" i="17" s="1"/>
  <c r="L36" i="17" s="1"/>
  <c r="J39" i="17"/>
  <c r="J38" i="17" s="1"/>
  <c r="J37" i="17" s="1"/>
  <c r="J36" i="17" s="1"/>
  <c r="G39" i="17"/>
  <c r="G38" i="17" s="1"/>
  <c r="K38" i="17"/>
  <c r="K37" i="17" s="1"/>
  <c r="K36" i="17"/>
  <c r="P33" i="17"/>
  <c r="N33" i="17"/>
  <c r="N32" i="17" s="1"/>
  <c r="N31" i="17" s="1"/>
  <c r="N30" i="17" s="1"/>
  <c r="N29" i="17" s="1"/>
  <c r="M33" i="17"/>
  <c r="I33" i="17"/>
  <c r="I32" i="17" s="1"/>
  <c r="M32" i="17"/>
  <c r="M31" i="17" s="1"/>
  <c r="M30" i="17" s="1"/>
  <c r="M29" i="17" s="1"/>
  <c r="L32" i="17"/>
  <c r="L31" i="17" s="1"/>
  <c r="L30" i="17" s="1"/>
  <c r="L29" i="17" s="1"/>
  <c r="J32" i="17"/>
  <c r="J31" i="17" s="1"/>
  <c r="J30" i="17" s="1"/>
  <c r="J29" i="17" s="1"/>
  <c r="H32" i="17"/>
  <c r="G32" i="17"/>
  <c r="G31" i="17" s="1"/>
  <c r="K31" i="17"/>
  <c r="H31" i="17"/>
  <c r="H30" i="17" s="1"/>
  <c r="H29" i="17" s="1"/>
  <c r="K30" i="17"/>
  <c r="K29" i="17" s="1"/>
  <c r="O28" i="17"/>
  <c r="O27" i="17" s="1"/>
  <c r="O26" i="17" s="1"/>
  <c r="O25" i="17" s="1"/>
  <c r="O24" i="17" s="1"/>
  <c r="M28" i="17"/>
  <c r="I28" i="17"/>
  <c r="I27" i="17" s="1"/>
  <c r="I26" i="17" s="1"/>
  <c r="I25" i="17" s="1"/>
  <c r="G28" i="17"/>
  <c r="P28" i="17" s="1"/>
  <c r="N27" i="17"/>
  <c r="N26" i="17" s="1"/>
  <c r="N25" i="17" s="1"/>
  <c r="N24" i="17" s="1"/>
  <c r="M27" i="17"/>
  <c r="M26" i="17" s="1"/>
  <c r="M25" i="17" s="1"/>
  <c r="M24" i="17" s="1"/>
  <c r="L27" i="17"/>
  <c r="L26" i="17" s="1"/>
  <c r="L25" i="17" s="1"/>
  <c r="L24" i="17" s="1"/>
  <c r="J27" i="17"/>
  <c r="J26" i="17" s="1"/>
  <c r="J25" i="17" s="1"/>
  <c r="J24" i="17" s="1"/>
  <c r="G27" i="17"/>
  <c r="K26" i="17"/>
  <c r="K25" i="17" s="1"/>
  <c r="K24" i="17" s="1"/>
  <c r="K23" i="17" s="1"/>
  <c r="K22" i="17" s="1"/>
  <c r="H26" i="17"/>
  <c r="H25" i="17" s="1"/>
  <c r="H24" i="17" s="1"/>
  <c r="H23" i="17" s="1"/>
  <c r="P38" i="18" l="1"/>
  <c r="P25" i="18" s="1"/>
  <c r="Q265" i="18"/>
  <c r="Q50" i="18"/>
  <c r="Q39" i="18"/>
  <c r="Q479" i="18"/>
  <c r="Q480" i="18"/>
  <c r="O38" i="18"/>
  <c r="Q38" i="18" s="1"/>
  <c r="O546" i="18"/>
  <c r="Q490" i="18"/>
  <c r="I25" i="18"/>
  <c r="O317" i="17"/>
  <c r="O315" i="17" s="1"/>
  <c r="O314" i="17" s="1"/>
  <c r="O313" i="17" s="1"/>
  <c r="H314" i="17"/>
  <c r="O411" i="17"/>
  <c r="O410" i="17" s="1"/>
  <c r="P416" i="17"/>
  <c r="H408" i="17"/>
  <c r="H407" i="17" s="1"/>
  <c r="H406" i="17" s="1"/>
  <c r="I547" i="17"/>
  <c r="J312" i="17"/>
  <c r="Q344" i="17"/>
  <c r="P399" i="17"/>
  <c r="Q401" i="17"/>
  <c r="P457" i="17"/>
  <c r="N369" i="17"/>
  <c r="N368" i="17" s="1"/>
  <c r="N367" i="17" s="1"/>
  <c r="N545" i="17"/>
  <c r="Q420" i="17"/>
  <c r="Q421" i="17"/>
  <c r="Q223" i="17"/>
  <c r="M23" i="17"/>
  <c r="M22" i="17" s="1"/>
  <c r="Q184" i="17"/>
  <c r="Q480" i="17"/>
  <c r="Q554" i="17"/>
  <c r="Q339" i="17"/>
  <c r="Q92" i="17"/>
  <c r="Q170" i="17"/>
  <c r="Q416" i="17"/>
  <c r="Q499" i="17"/>
  <c r="Q535" i="17"/>
  <c r="M545" i="17"/>
  <c r="O376" i="17"/>
  <c r="Q398" i="17"/>
  <c r="Q403" i="17"/>
  <c r="N407" i="17"/>
  <c r="N406" i="17" s="1"/>
  <c r="Q417" i="17"/>
  <c r="Q59" i="17"/>
  <c r="H77" i="17"/>
  <c r="Q192" i="17"/>
  <c r="I54" i="17"/>
  <c r="Q71" i="17"/>
  <c r="H132" i="17"/>
  <c r="H131" i="17" s="1"/>
  <c r="H130" i="17" s="1"/>
  <c r="N130" i="17" s="1"/>
  <c r="Q139" i="17"/>
  <c r="Q219" i="17"/>
  <c r="Q229" i="17"/>
  <c r="P124" i="17"/>
  <c r="M124" i="17"/>
  <c r="O82" i="17"/>
  <c r="N80" i="17"/>
  <c r="N79" i="17" s="1"/>
  <c r="N78" i="17" s="1"/>
  <c r="P100" i="17"/>
  <c r="Q100" i="17" s="1"/>
  <c r="P39" i="17"/>
  <c r="P46" i="17"/>
  <c r="N48" i="17"/>
  <c r="G54" i="17"/>
  <c r="P54" i="17" s="1"/>
  <c r="O71" i="17"/>
  <c r="O70" i="17" s="1"/>
  <c r="O69" i="17" s="1"/>
  <c r="O68" i="17" s="1"/>
  <c r="O67" i="17" s="1"/>
  <c r="O92" i="17"/>
  <c r="O91" i="17" s="1"/>
  <c r="O90" i="17" s="1"/>
  <c r="M95" i="17"/>
  <c r="J104" i="17"/>
  <c r="N105" i="17"/>
  <c r="L104" i="17"/>
  <c r="L98" i="17" s="1"/>
  <c r="L97" i="17" s="1"/>
  <c r="P125" i="17"/>
  <c r="O129" i="17"/>
  <c r="Q136" i="17"/>
  <c r="G163" i="17"/>
  <c r="G162" i="17" s="1"/>
  <c r="M163" i="17"/>
  <c r="M162" i="17" s="1"/>
  <c r="P181" i="17"/>
  <c r="Q181" i="17" s="1"/>
  <c r="O184" i="17"/>
  <c r="G201" i="17"/>
  <c r="Q203" i="17"/>
  <c r="O222" i="17"/>
  <c r="O225" i="17"/>
  <c r="O224" i="17" s="1"/>
  <c r="Q225" i="17"/>
  <c r="P228" i="17"/>
  <c r="P235" i="17"/>
  <c r="H239" i="17"/>
  <c r="J244" i="17"/>
  <c r="Q253" i="17"/>
  <c r="Q260" i="17"/>
  <c r="P296" i="17"/>
  <c r="Q296" i="17" s="1"/>
  <c r="P298" i="17"/>
  <c r="I300" i="17"/>
  <c r="I70" i="17"/>
  <c r="I69" i="17" s="1"/>
  <c r="I68" i="17" s="1"/>
  <c r="I67" i="17" s="1"/>
  <c r="M108" i="17"/>
  <c r="L133" i="17"/>
  <c r="G179" i="17"/>
  <c r="P179" i="17" s="1"/>
  <c r="O182" i="17"/>
  <c r="O181" i="17" s="1"/>
  <c r="J187" i="17"/>
  <c r="J186" i="17" s="1"/>
  <c r="I212" i="17"/>
  <c r="I211" i="17" s="1"/>
  <c r="I210" i="17" s="1"/>
  <c r="I209" i="17" s="1"/>
  <c r="I208" i="17" s="1"/>
  <c r="Q247" i="17"/>
  <c r="N284" i="17"/>
  <c r="N283" i="17" s="1"/>
  <c r="N292" i="17"/>
  <c r="N291" i="17" s="1"/>
  <c r="P323" i="17"/>
  <c r="I323" i="17"/>
  <c r="J335" i="17"/>
  <c r="J334" i="17" s="1"/>
  <c r="J333" i="17" s="1"/>
  <c r="J332" i="17" s="1"/>
  <c r="Q341" i="17"/>
  <c r="O341" i="17"/>
  <c r="O340" i="17" s="1"/>
  <c r="I340" i="17"/>
  <c r="G69" i="17"/>
  <c r="G68" i="17" s="1"/>
  <c r="G79" i="17"/>
  <c r="G78" i="17" s="1"/>
  <c r="M80" i="17"/>
  <c r="M79" i="17" s="1"/>
  <c r="M78" i="17" s="1"/>
  <c r="Q83" i="17"/>
  <c r="G90" i="17"/>
  <c r="P90" i="17" s="1"/>
  <c r="Q90" i="17" s="1"/>
  <c r="O96" i="17"/>
  <c r="P105" i="17"/>
  <c r="Q106" i="17"/>
  <c r="G112" i="17"/>
  <c r="P112" i="17" s="1"/>
  <c r="P121" i="17"/>
  <c r="P134" i="17"/>
  <c r="Q134" i="17" s="1"/>
  <c r="O139" i="17"/>
  <c r="O138" i="17" s="1"/>
  <c r="O133" i="17" s="1"/>
  <c r="I154" i="17"/>
  <c r="Q158" i="17"/>
  <c r="L161" i="17"/>
  <c r="L160" i="17" s="1"/>
  <c r="Q191" i="17"/>
  <c r="K186" i="17"/>
  <c r="K185" i="17" s="1"/>
  <c r="O207" i="17"/>
  <c r="O223" i="17"/>
  <c r="P224" i="17"/>
  <c r="Q224" i="17" s="1"/>
  <c r="G239" i="17"/>
  <c r="P246" i="17"/>
  <c r="P259" i="17"/>
  <c r="Q259" i="17" s="1"/>
  <c r="H279" i="17"/>
  <c r="I280" i="17"/>
  <c r="O280" i="17" s="1"/>
  <c r="O295" i="17"/>
  <c r="O372" i="17"/>
  <c r="I369" i="17"/>
  <c r="I368" i="17" s="1"/>
  <c r="I367" i="17" s="1"/>
  <c r="L89" i="17"/>
  <c r="L77" i="17" s="1"/>
  <c r="Q127" i="17"/>
  <c r="P133" i="17"/>
  <c r="N133" i="17"/>
  <c r="Q165" i="17"/>
  <c r="Q207" i="17"/>
  <c r="Q213" i="17"/>
  <c r="H278" i="17"/>
  <c r="M284" i="17"/>
  <c r="M283" i="17" s="1"/>
  <c r="M278" i="17" s="1"/>
  <c r="Q300" i="17"/>
  <c r="J303" i="17"/>
  <c r="J302" i="17" s="1"/>
  <c r="J290" i="17" s="1"/>
  <c r="J289" i="17" s="1"/>
  <c r="Q317" i="17"/>
  <c r="P338" i="17"/>
  <c r="O347" i="17"/>
  <c r="O346" i="17" s="1"/>
  <c r="O359" i="17"/>
  <c r="K335" i="17"/>
  <c r="K334" i="17" s="1"/>
  <c r="K333" i="17" s="1"/>
  <c r="M365" i="17"/>
  <c r="O371" i="17"/>
  <c r="O370" i="17" s="1"/>
  <c r="Q373" i="17"/>
  <c r="Q384" i="17"/>
  <c r="Q387" i="17"/>
  <c r="N390" i="17"/>
  <c r="P402" i="17"/>
  <c r="O403" i="17"/>
  <c r="Q411" i="17"/>
  <c r="P413" i="17"/>
  <c r="O417" i="17"/>
  <c r="M420" i="17"/>
  <c r="M415" i="17" s="1"/>
  <c r="M408" i="17" s="1"/>
  <c r="M407" i="17" s="1"/>
  <c r="M406" i="17" s="1"/>
  <c r="P493" i="17"/>
  <c r="L493" i="17"/>
  <c r="O513" i="17"/>
  <c r="O512" i="17" s="1"/>
  <c r="I514" i="17"/>
  <c r="O514" i="17" s="1"/>
  <c r="I533" i="17"/>
  <c r="O533" i="17" s="1"/>
  <c r="O535" i="17"/>
  <c r="M531" i="17"/>
  <c r="M530" i="17" s="1"/>
  <c r="M529" i="17" s="1"/>
  <c r="O549" i="17"/>
  <c r="O545" i="17" s="1"/>
  <c r="N553" i="17"/>
  <c r="Q565" i="17"/>
  <c r="G304" i="17"/>
  <c r="I304" i="17" s="1"/>
  <c r="O304" i="17" s="1"/>
  <c r="M547" i="17"/>
  <c r="P365" i="17"/>
  <c r="Q365" i="17" s="1"/>
  <c r="M383" i="17"/>
  <c r="M382" i="17" s="1"/>
  <c r="M381" i="17" s="1"/>
  <c r="L410" i="17"/>
  <c r="L409" i="17" s="1"/>
  <c r="Q458" i="17"/>
  <c r="M477" i="17"/>
  <c r="M476" i="17" s="1"/>
  <c r="H530" i="17"/>
  <c r="N530" i="17" s="1"/>
  <c r="N529" i="17" s="1"/>
  <c r="I41" i="17"/>
  <c r="M305" i="17"/>
  <c r="P322" i="17"/>
  <c r="G335" i="17"/>
  <c r="G334" i="17" s="1"/>
  <c r="P340" i="17"/>
  <c r="Q340" i="17" s="1"/>
  <c r="O356" i="17"/>
  <c r="G362" i="17"/>
  <c r="P370" i="17"/>
  <c r="P372" i="17"/>
  <c r="Q372" i="17" s="1"/>
  <c r="L375" i="17"/>
  <c r="L374" i="17" s="1"/>
  <c r="M376" i="17"/>
  <c r="M375" i="17" s="1"/>
  <c r="M374" i="17" s="1"/>
  <c r="P381" i="17"/>
  <c r="P383" i="17"/>
  <c r="Q383" i="17" s="1"/>
  <c r="Q391" i="17"/>
  <c r="H395" i="17"/>
  <c r="H394" i="17" s="1"/>
  <c r="H393" i="17" s="1"/>
  <c r="I397" i="17"/>
  <c r="I396" i="17" s="1"/>
  <c r="P397" i="17"/>
  <c r="O398" i="17"/>
  <c r="O397" i="17" s="1"/>
  <c r="O396" i="17" s="1"/>
  <c r="I400" i="17"/>
  <c r="N400" i="17"/>
  <c r="P410" i="17"/>
  <c r="Q412" i="17"/>
  <c r="Q414" i="17"/>
  <c r="Q418" i="17"/>
  <c r="P446" i="17"/>
  <c r="P451" i="17"/>
  <c r="I457" i="17"/>
  <c r="I456" i="17" s="1"/>
  <c r="J455" i="17"/>
  <c r="J454" i="17" s="1"/>
  <c r="O455" i="17"/>
  <c r="O454" i="17" s="1"/>
  <c r="P470" i="17"/>
  <c r="Q470" i="17" s="1"/>
  <c r="I493" i="17"/>
  <c r="K485" i="17"/>
  <c r="K484" i="17" s="1"/>
  <c r="K475" i="17" s="1"/>
  <c r="K474" i="17" s="1"/>
  <c r="K473" i="17" s="1"/>
  <c r="K472" i="17" s="1"/>
  <c r="J518" i="17"/>
  <c r="J517" i="17" s="1"/>
  <c r="J516" i="17" s="1"/>
  <c r="Q527" i="17"/>
  <c r="O547" i="17"/>
  <c r="M552" i="17"/>
  <c r="O554" i="17"/>
  <c r="O553" i="17" s="1"/>
  <c r="Q358" i="17"/>
  <c r="L429" i="17"/>
  <c r="J429" i="17"/>
  <c r="P456" i="17"/>
  <c r="Q456" i="17" s="1"/>
  <c r="L518" i="17"/>
  <c r="L517" i="17" s="1"/>
  <c r="L516" i="17" s="1"/>
  <c r="M525" i="17"/>
  <c r="M524" i="17" s="1"/>
  <c r="M518" i="17" s="1"/>
  <c r="P525" i="17"/>
  <c r="J539" i="17"/>
  <c r="O161" i="17"/>
  <c r="O160" i="17" s="1"/>
  <c r="H22" i="17"/>
  <c r="P31" i="17"/>
  <c r="L44" i="17"/>
  <c r="L43" i="17" s="1"/>
  <c r="M46" i="17"/>
  <c r="O89" i="17"/>
  <c r="Q122" i="17"/>
  <c r="Q140" i="17"/>
  <c r="N132" i="17"/>
  <c r="G142" i="17"/>
  <c r="Q218" i="17"/>
  <c r="G44" i="17"/>
  <c r="M44" i="17" s="1"/>
  <c r="Q55" i="17"/>
  <c r="Q82" i="17"/>
  <c r="O95" i="17"/>
  <c r="M104" i="17"/>
  <c r="M98" i="17" s="1"/>
  <c r="M97" i="17" s="1"/>
  <c r="Q110" i="17"/>
  <c r="K131" i="17"/>
  <c r="K130" i="17" s="1"/>
  <c r="K123" i="17" s="1"/>
  <c r="K122" i="17" s="1"/>
  <c r="J132" i="17"/>
  <c r="J131" i="17" s="1"/>
  <c r="J130" i="17" s="1"/>
  <c r="M161" i="17"/>
  <c r="M160" i="17" s="1"/>
  <c r="G205" i="17"/>
  <c r="M205" i="17" s="1"/>
  <c r="M204" i="17" s="1"/>
  <c r="J226" i="17"/>
  <c r="J77" i="17"/>
  <c r="K43" i="17"/>
  <c r="M89" i="17"/>
  <c r="L132" i="17"/>
  <c r="N161" i="17"/>
  <c r="N160" i="17" s="1"/>
  <c r="J185" i="17"/>
  <c r="O206" i="17"/>
  <c r="O230" i="17"/>
  <c r="O228" i="17" s="1"/>
  <c r="O227" i="17" s="1"/>
  <c r="N251" i="17"/>
  <c r="N250" i="17" s="1"/>
  <c r="N244" i="17" s="1"/>
  <c r="Q255" i="17"/>
  <c r="Q256" i="17"/>
  <c r="O132" i="17"/>
  <c r="O131" i="17" s="1"/>
  <c r="O130" i="17" s="1"/>
  <c r="L226" i="17"/>
  <c r="L215" i="17" s="1"/>
  <c r="H226" i="17"/>
  <c r="N226" i="17" s="1"/>
  <c r="Q230" i="17"/>
  <c r="Q237" i="17"/>
  <c r="L244" i="17"/>
  <c r="O110" i="17"/>
  <c r="O309" i="17"/>
  <c r="I308" i="17"/>
  <c r="H45" i="17"/>
  <c r="H44" i="17" s="1"/>
  <c r="H43" i="17" s="1"/>
  <c r="N46" i="17"/>
  <c r="O47" i="17"/>
  <c r="O46" i="17" s="1"/>
  <c r="P117" i="17"/>
  <c r="Q117" i="17" s="1"/>
  <c r="Q435" i="17"/>
  <c r="I80" i="17"/>
  <c r="I79" i="17" s="1"/>
  <c r="P80" i="17"/>
  <c r="P79" i="17"/>
  <c r="Q81" i="17"/>
  <c r="I46" i="17"/>
  <c r="P45" i="17"/>
  <c r="Q51" i="17"/>
  <c r="P544" i="17"/>
  <c r="N547" i="17"/>
  <c r="I537" i="17"/>
  <c r="M520" i="17"/>
  <c r="M519" i="17" s="1"/>
  <c r="H485" i="17"/>
  <c r="H484" i="17" s="1"/>
  <c r="H475" i="17" s="1"/>
  <c r="N491" i="17"/>
  <c r="N485" i="17" s="1"/>
  <c r="N484" i="17" s="1"/>
  <c r="N475" i="17" s="1"/>
  <c r="P491" i="17"/>
  <c r="Q491" i="17" s="1"/>
  <c r="P478" i="17"/>
  <c r="O350" i="17"/>
  <c r="P348" i="17"/>
  <c r="Q348" i="17" s="1"/>
  <c r="I348" i="17"/>
  <c r="P342" i="17"/>
  <c r="P287" i="17"/>
  <c r="P284" i="17"/>
  <c r="O288" i="17"/>
  <c r="O287" i="17" s="1"/>
  <c r="Q288" i="17"/>
  <c r="P197" i="17"/>
  <c r="P196" i="17"/>
  <c r="G188" i="17"/>
  <c r="G187" i="17" s="1"/>
  <c r="Q149" i="17"/>
  <c r="G120" i="17"/>
  <c r="G119" i="17" s="1"/>
  <c r="P119" i="17" s="1"/>
  <c r="Q119" i="17" s="1"/>
  <c r="Q121" i="17"/>
  <c r="O118" i="17"/>
  <c r="O117" i="17" s="1"/>
  <c r="O116" i="17" s="1"/>
  <c r="O115" i="17" s="1"/>
  <c r="Q118" i="17"/>
  <c r="M117" i="17"/>
  <c r="M116" i="17" s="1"/>
  <c r="M115" i="17" s="1"/>
  <c r="I52" i="17"/>
  <c r="O52" i="17" s="1"/>
  <c r="I99" i="17"/>
  <c r="I31" i="17"/>
  <c r="I24" i="17"/>
  <c r="P27" i="17"/>
  <c r="Q27" i="17" s="1"/>
  <c r="G26" i="17"/>
  <c r="G37" i="17"/>
  <c r="P69" i="17"/>
  <c r="Q69" i="17" s="1"/>
  <c r="P78" i="17"/>
  <c r="K94" i="17"/>
  <c r="N94" i="17" s="1"/>
  <c r="N89" i="17" s="1"/>
  <c r="N77" i="17" s="1"/>
  <c r="G104" i="17"/>
  <c r="P109" i="17"/>
  <c r="I109" i="17"/>
  <c r="N109" i="17"/>
  <c r="N108" i="17" s="1"/>
  <c r="N104" i="17" s="1"/>
  <c r="N98" i="17" s="1"/>
  <c r="H108" i="17"/>
  <c r="P108" i="17" s="1"/>
  <c r="I115" i="17"/>
  <c r="L23" i="17"/>
  <c r="L22" i="17" s="1"/>
  <c r="G30" i="17"/>
  <c r="P32" i="17"/>
  <c r="Q32" i="17" s="1"/>
  <c r="O56" i="17"/>
  <c r="O55" i="17" s="1"/>
  <c r="O54" i="17" s="1"/>
  <c r="P75" i="17"/>
  <c r="Q75" i="17" s="1"/>
  <c r="G74" i="17"/>
  <c r="O81" i="17"/>
  <c r="O80" i="17" s="1"/>
  <c r="O79" i="17" s="1"/>
  <c r="O78" i="17" s="1"/>
  <c r="J98" i="17"/>
  <c r="J97" i="17" s="1"/>
  <c r="L131" i="17"/>
  <c r="L130" i="17" s="1"/>
  <c r="L123" i="17" s="1"/>
  <c r="O41" i="17"/>
  <c r="H38" i="17"/>
  <c r="H37" i="17" s="1"/>
  <c r="H36" i="17" s="1"/>
  <c r="Q46" i="17"/>
  <c r="Q80" i="17"/>
  <c r="H188" i="17"/>
  <c r="H187" i="17" s="1"/>
  <c r="H186" i="17" s="1"/>
  <c r="H185" i="17" s="1"/>
  <c r="P189" i="17"/>
  <c r="Q33" i="17"/>
  <c r="O33" i="17"/>
  <c r="O32" i="17" s="1"/>
  <c r="O31" i="17" s="1"/>
  <c r="O30" i="17" s="1"/>
  <c r="O29" i="17" s="1"/>
  <c r="O23" i="17" s="1"/>
  <c r="O22" i="17" s="1"/>
  <c r="O40" i="17"/>
  <c r="O39" i="17" s="1"/>
  <c r="O38" i="17" s="1"/>
  <c r="Q40" i="17"/>
  <c r="G61" i="17"/>
  <c r="G89" i="17"/>
  <c r="P89" i="17" s="1"/>
  <c r="Q28" i="17"/>
  <c r="N41" i="17"/>
  <c r="Q47" i="17"/>
  <c r="M77" i="17"/>
  <c r="G86" i="17"/>
  <c r="P87" i="17"/>
  <c r="Q87" i="17" s="1"/>
  <c r="Q89" i="17"/>
  <c r="Q101" i="17"/>
  <c r="O101" i="17"/>
  <c r="O102" i="17"/>
  <c r="Q102" i="17"/>
  <c r="I105" i="17"/>
  <c r="H104" i="17"/>
  <c r="H98" i="17" s="1"/>
  <c r="H97" i="17" s="1"/>
  <c r="Q107" i="17"/>
  <c r="Q113" i="17"/>
  <c r="I112" i="17"/>
  <c r="Q133" i="17"/>
  <c r="N131" i="17"/>
  <c r="P142" i="17"/>
  <c r="Q142" i="17" s="1"/>
  <c r="P153" i="17"/>
  <c r="G152" i="17"/>
  <c r="P152" i="17" s="1"/>
  <c r="N23" i="17"/>
  <c r="N22" i="17" s="1"/>
  <c r="J23" i="17"/>
  <c r="J22" i="17" s="1"/>
  <c r="I39" i="17"/>
  <c r="N65" i="17"/>
  <c r="N64" i="17" s="1"/>
  <c r="N63" i="17" s="1"/>
  <c r="N62" i="17" s="1"/>
  <c r="N61" i="17" s="1"/>
  <c r="H64" i="17"/>
  <c r="H63" i="17" s="1"/>
  <c r="H62" i="17" s="1"/>
  <c r="H61" i="17" s="1"/>
  <c r="P65" i="17"/>
  <c r="I65" i="17"/>
  <c r="O107" i="17"/>
  <c r="O105" i="17" s="1"/>
  <c r="Q114" i="17"/>
  <c r="G116" i="17"/>
  <c r="O122" i="17"/>
  <c r="O121" i="17" s="1"/>
  <c r="O120" i="17" s="1"/>
  <c r="O119" i="17" s="1"/>
  <c r="N126" i="17"/>
  <c r="N125" i="17" s="1"/>
  <c r="O127" i="17"/>
  <c r="I128" i="17"/>
  <c r="P128" i="17"/>
  <c r="I132" i="17"/>
  <c r="G145" i="17"/>
  <c r="P145" i="17" s="1"/>
  <c r="Q145" i="17" s="1"/>
  <c r="Q148" i="17"/>
  <c r="O149" i="17"/>
  <c r="Q150" i="17"/>
  <c r="O151" i="17"/>
  <c r="I153" i="17"/>
  <c r="Q155" i="17"/>
  <c r="G157" i="17"/>
  <c r="H163" i="17"/>
  <c r="H162" i="17" s="1"/>
  <c r="H161" i="17" s="1"/>
  <c r="H160" i="17" s="1"/>
  <c r="I169" i="17"/>
  <c r="G173" i="17"/>
  <c r="P174" i="17"/>
  <c r="Q174" i="17" s="1"/>
  <c r="I183" i="17"/>
  <c r="I180" i="17" s="1"/>
  <c r="N183" i="17"/>
  <c r="N180" i="17" s="1"/>
  <c r="N179" i="17" s="1"/>
  <c r="N178" i="17" s="1"/>
  <c r="N177" i="17" s="1"/>
  <c r="L188" i="17"/>
  <c r="L187" i="17" s="1"/>
  <c r="L186" i="17" s="1"/>
  <c r="L185" i="17" s="1"/>
  <c r="O193" i="17"/>
  <c r="O192" i="17" s="1"/>
  <c r="I204" i="17"/>
  <c r="H205" i="17"/>
  <c r="N205" i="17" s="1"/>
  <c r="P206" i="17"/>
  <c r="Q206" i="17" s="1"/>
  <c r="I232" i="17"/>
  <c r="M244" i="17"/>
  <c r="H313" i="17"/>
  <c r="H312" i="17" s="1"/>
  <c r="P314" i="17"/>
  <c r="M138" i="17"/>
  <c r="M133" i="17" s="1"/>
  <c r="M132" i="17" s="1"/>
  <c r="M131" i="17" s="1"/>
  <c r="M130" i="17" s="1"/>
  <c r="P154" i="17"/>
  <c r="Q154" i="17" s="1"/>
  <c r="K176" i="17"/>
  <c r="M187" i="17"/>
  <c r="M186" i="17" s="1"/>
  <c r="P194" i="17"/>
  <c r="O203" i="17"/>
  <c r="O202" i="17" s="1"/>
  <c r="O201" i="17" s="1"/>
  <c r="O200" i="17" s="1"/>
  <c r="O199" i="17" s="1"/>
  <c r="P217" i="17"/>
  <c r="Q217" i="17" s="1"/>
  <c r="G216" i="17"/>
  <c r="Q222" i="17"/>
  <c r="G111" i="17"/>
  <c r="P111" i="17" s="1"/>
  <c r="N113" i="17"/>
  <c r="N112" i="17" s="1"/>
  <c r="N111" i="17" s="1"/>
  <c r="J163" i="17"/>
  <c r="J162" i="17" s="1"/>
  <c r="J161" i="17" s="1"/>
  <c r="J160" i="17" s="1"/>
  <c r="P166" i="17"/>
  <c r="Q166" i="17" s="1"/>
  <c r="P169" i="17"/>
  <c r="G168" i="17"/>
  <c r="P168" i="17" s="1"/>
  <c r="M180" i="17"/>
  <c r="M179" i="17" s="1"/>
  <c r="M178" i="17" s="1"/>
  <c r="M177" i="17" s="1"/>
  <c r="Q182" i="17"/>
  <c r="P201" i="17"/>
  <c r="Q201" i="17" s="1"/>
  <c r="G200" i="17"/>
  <c r="P212" i="17"/>
  <c r="Q212" i="17" s="1"/>
  <c r="N217" i="17"/>
  <c r="N216" i="17" s="1"/>
  <c r="N215" i="17" s="1"/>
  <c r="O220" i="17"/>
  <c r="Q220" i="17"/>
  <c r="I228" i="17"/>
  <c r="N228" i="17"/>
  <c r="N227" i="17" s="1"/>
  <c r="P232" i="17"/>
  <c r="I236" i="17"/>
  <c r="P236" i="17"/>
  <c r="P240" i="17"/>
  <c r="Q240" i="17" s="1"/>
  <c r="O244" i="17"/>
  <c r="P163" i="17"/>
  <c r="Q163" i="17" s="1"/>
  <c r="P190" i="17"/>
  <c r="I190" i="17"/>
  <c r="N190" i="17"/>
  <c r="N189" i="17" s="1"/>
  <c r="N188" i="17" s="1"/>
  <c r="N187" i="17" s="1"/>
  <c r="N186" i="17" s="1"/>
  <c r="N185" i="17" s="1"/>
  <c r="Q194" i="17"/>
  <c r="Q198" i="17"/>
  <c r="O198" i="17"/>
  <c r="O197" i="17" s="1"/>
  <c r="O196" i="17" s="1"/>
  <c r="I197" i="17"/>
  <c r="P211" i="17"/>
  <c r="Q211" i="17" s="1"/>
  <c r="G210" i="17"/>
  <c r="O233" i="17"/>
  <c r="Q233" i="17"/>
  <c r="N239" i="17"/>
  <c r="N238" i="17" s="1"/>
  <c r="I239" i="17"/>
  <c r="H238" i="17"/>
  <c r="P239" i="17"/>
  <c r="Q193" i="17"/>
  <c r="J217" i="17"/>
  <c r="J216" i="17" s="1"/>
  <c r="M236" i="17"/>
  <c r="M235" i="17" s="1"/>
  <c r="Q243" i="17"/>
  <c r="G245" i="17"/>
  <c r="I246" i="17"/>
  <c r="Q271" i="17"/>
  <c r="O271" i="17"/>
  <c r="O272" i="17"/>
  <c r="Q272" i="17"/>
  <c r="P318" i="17"/>
  <c r="Q318" i="17" s="1"/>
  <c r="N322" i="17"/>
  <c r="N321" i="17" s="1"/>
  <c r="N320" i="17" s="1"/>
  <c r="H321" i="17"/>
  <c r="H320" i="17" s="1"/>
  <c r="L326" i="17"/>
  <c r="L325" i="17" s="1"/>
  <c r="L312" i="17" s="1"/>
  <c r="O328" i="17"/>
  <c r="Q329" i="17"/>
  <c r="O329" i="17"/>
  <c r="G333" i="17"/>
  <c r="I242" i="17"/>
  <c r="P242" i="17"/>
  <c r="G251" i="17"/>
  <c r="P252" i="17"/>
  <c r="Q252" i="17" s="1"/>
  <c r="Q266" i="17"/>
  <c r="I270" i="17"/>
  <c r="Q274" i="17"/>
  <c r="O274" i="17"/>
  <c r="Q276" i="17"/>
  <c r="I287" i="17"/>
  <c r="P293" i="17"/>
  <c r="Q293" i="17" s="1"/>
  <c r="G292" i="17"/>
  <c r="I298" i="17"/>
  <c r="Q298" i="17" s="1"/>
  <c r="H307" i="17"/>
  <c r="M315" i="17"/>
  <c r="M314" i="17" s="1"/>
  <c r="M313" i="17" s="1"/>
  <c r="Q316" i="17"/>
  <c r="Q267" i="17"/>
  <c r="G269" i="17"/>
  <c r="G283" i="17"/>
  <c r="P285" i="17"/>
  <c r="Q285" i="17" s="1"/>
  <c r="Q295" i="17"/>
  <c r="P308" i="17"/>
  <c r="Q308" i="17" s="1"/>
  <c r="I315" i="17"/>
  <c r="P315" i="17"/>
  <c r="K325" i="17"/>
  <c r="N325" i="17" s="1"/>
  <c r="N326" i="17"/>
  <c r="I327" i="17"/>
  <c r="P327" i="17"/>
  <c r="N328" i="17"/>
  <c r="N327" i="17" s="1"/>
  <c r="I374" i="17"/>
  <c r="P258" i="17"/>
  <c r="Q258" i="17" s="1"/>
  <c r="G257" i="17"/>
  <c r="P257" i="17" s="1"/>
  <c r="Q257" i="17" s="1"/>
  <c r="P270" i="17"/>
  <c r="Q275" i="17"/>
  <c r="O275" i="17"/>
  <c r="O286" i="17"/>
  <c r="O285" i="17" s="1"/>
  <c r="O284" i="17" s="1"/>
  <c r="O283" i="17" s="1"/>
  <c r="Q286" i="17"/>
  <c r="I292" i="17"/>
  <c r="O299" i="17"/>
  <c r="O298" i="17" s="1"/>
  <c r="G320" i="17"/>
  <c r="P326" i="17"/>
  <c r="G325" i="17"/>
  <c r="P325" i="17" s="1"/>
  <c r="P328" i="17"/>
  <c r="Q328" i="17" s="1"/>
  <c r="Q265" i="17"/>
  <c r="O267" i="17"/>
  <c r="Q277" i="17"/>
  <c r="P279" i="17"/>
  <c r="N280" i="17"/>
  <c r="P281" i="17"/>
  <c r="Q281" i="17" s="1"/>
  <c r="O282" i="17"/>
  <c r="O294" i="17"/>
  <c r="O293" i="17" s="1"/>
  <c r="O301" i="17"/>
  <c r="O300" i="17" s="1"/>
  <c r="I322" i="17"/>
  <c r="N323" i="17"/>
  <c r="M327" i="17"/>
  <c r="M326" i="17" s="1"/>
  <c r="M325" i="17" s="1"/>
  <c r="I337" i="17"/>
  <c r="P337" i="17"/>
  <c r="I338" i="17"/>
  <c r="Q338" i="17" s="1"/>
  <c r="Q343" i="17"/>
  <c r="O344" i="17"/>
  <c r="Q345" i="17"/>
  <c r="Q347" i="17"/>
  <c r="Q349" i="17"/>
  <c r="O361" i="17"/>
  <c r="Q370" i="17"/>
  <c r="M372" i="17"/>
  <c r="M369" i="17" s="1"/>
  <c r="M368" i="17" s="1"/>
  <c r="M367" i="17" s="1"/>
  <c r="P377" i="17"/>
  <c r="Q377" i="17" s="1"/>
  <c r="P382" i="17"/>
  <c r="O384" i="17"/>
  <c r="O383" i="17" s="1"/>
  <c r="O382" i="17" s="1"/>
  <c r="O381" i="17" s="1"/>
  <c r="Q389" i="17"/>
  <c r="P400" i="17"/>
  <c r="Q400" i="17" s="1"/>
  <c r="M404" i="17"/>
  <c r="M399" i="17" s="1"/>
  <c r="M395" i="17" s="1"/>
  <c r="M394" i="17" s="1"/>
  <c r="M393" i="17" s="1"/>
  <c r="P404" i="17"/>
  <c r="I404" i="17"/>
  <c r="I399" i="17" s="1"/>
  <c r="Q405" i="17"/>
  <c r="I432" i="17"/>
  <c r="O339" i="17"/>
  <c r="O338" i="17" s="1"/>
  <c r="P351" i="17"/>
  <c r="H350" i="17"/>
  <c r="P350" i="17" s="1"/>
  <c r="I351" i="17"/>
  <c r="M360" i="17"/>
  <c r="M335" i="17" s="1"/>
  <c r="M334" i="17" s="1"/>
  <c r="I360" i="17"/>
  <c r="M362" i="17"/>
  <c r="P362" i="17"/>
  <c r="M363" i="17"/>
  <c r="P363" i="17"/>
  <c r="O365" i="17"/>
  <c r="I363" i="17"/>
  <c r="I362" i="17"/>
  <c r="P376" i="17"/>
  <c r="Q376" i="17" s="1"/>
  <c r="G375" i="17"/>
  <c r="I410" i="17"/>
  <c r="I413" i="17"/>
  <c r="Q413" i="17" s="1"/>
  <c r="O416" i="17"/>
  <c r="I504" i="17"/>
  <c r="P505" i="17"/>
  <c r="N505" i="17"/>
  <c r="H504" i="17"/>
  <c r="H336" i="17"/>
  <c r="I342" i="17"/>
  <c r="Q342" i="17" s="1"/>
  <c r="I346" i="17"/>
  <c r="Q346" i="17" s="1"/>
  <c r="N356" i="17"/>
  <c r="P369" i="17"/>
  <c r="G368" i="17"/>
  <c r="L370" i="17"/>
  <c r="L369" i="17" s="1"/>
  <c r="L368" i="17" s="1"/>
  <c r="L367" i="17" s="1"/>
  <c r="P388" i="17"/>
  <c r="Q388" i="17" s="1"/>
  <c r="O391" i="17"/>
  <c r="P396" i="17"/>
  <c r="Q396" i="17" s="1"/>
  <c r="G395" i="17"/>
  <c r="N399" i="17"/>
  <c r="N395" i="17" s="1"/>
  <c r="N394" i="17" s="1"/>
  <c r="N393" i="17" s="1"/>
  <c r="Q402" i="17"/>
  <c r="O414" i="17"/>
  <c r="O413" i="17" s="1"/>
  <c r="K429" i="17"/>
  <c r="P433" i="17"/>
  <c r="Q433" i="17" s="1"/>
  <c r="G432" i="17"/>
  <c r="P361" i="17"/>
  <c r="Q361" i="17" s="1"/>
  <c r="H360" i="17"/>
  <c r="N360" i="17" s="1"/>
  <c r="N361" i="17"/>
  <c r="N379" i="17"/>
  <c r="K376" i="17"/>
  <c r="I381" i="17"/>
  <c r="Q381" i="17" s="1"/>
  <c r="Q382" i="17"/>
  <c r="O409" i="17"/>
  <c r="G438" i="17"/>
  <c r="G425" i="17"/>
  <c r="P434" i="17"/>
  <c r="Q434" i="17" s="1"/>
  <c r="G445" i="17"/>
  <c r="I446" i="17"/>
  <c r="Q447" i="17"/>
  <c r="O447" i="17"/>
  <c r="O446" i="17" s="1"/>
  <c r="O445" i="17" s="1"/>
  <c r="O444" i="17" s="1"/>
  <c r="O443" i="17" s="1"/>
  <c r="O442" i="17" s="1"/>
  <c r="L455" i="17"/>
  <c r="L454" i="17" s="1"/>
  <c r="Q457" i="17"/>
  <c r="P462" i="17"/>
  <c r="Q462" i="17" s="1"/>
  <c r="G461" i="17"/>
  <c r="O477" i="17"/>
  <c r="O476" i="17" s="1"/>
  <c r="J477" i="17"/>
  <c r="J476" i="17" s="1"/>
  <c r="P482" i="17"/>
  <c r="Q482" i="17" s="1"/>
  <c r="G477" i="17"/>
  <c r="L486" i="17"/>
  <c r="L485" i="17" s="1"/>
  <c r="L484" i="17" s="1"/>
  <c r="L475" i="17" s="1"/>
  <c r="L474" i="17" s="1"/>
  <c r="O498" i="17"/>
  <c r="O497" i="17" s="1"/>
  <c r="M497" i="17"/>
  <c r="G409" i="17"/>
  <c r="G415" i="17"/>
  <c r="P415" i="17" s="1"/>
  <c r="Q415" i="17" s="1"/>
  <c r="L422" i="17"/>
  <c r="L408" i="17" s="1"/>
  <c r="L407" i="17" s="1"/>
  <c r="L406" i="17" s="1"/>
  <c r="I426" i="17"/>
  <c r="M434" i="17"/>
  <c r="M433" i="17" s="1"/>
  <c r="M432" i="17" s="1"/>
  <c r="M431" i="17" s="1"/>
  <c r="M430" i="17" s="1"/>
  <c r="M429" i="17" s="1"/>
  <c r="N441" i="17"/>
  <c r="G450" i="17"/>
  <c r="M455" i="17"/>
  <c r="M454" i="17" s="1"/>
  <c r="G469" i="17"/>
  <c r="P495" i="17"/>
  <c r="I495" i="17"/>
  <c r="P513" i="17"/>
  <c r="Q513" i="17" s="1"/>
  <c r="G512" i="17"/>
  <c r="M513" i="17"/>
  <c r="M512" i="17" s="1"/>
  <c r="M511" i="17" s="1"/>
  <c r="M510" i="17" s="1"/>
  <c r="M509" i="17" s="1"/>
  <c r="M508" i="17" s="1"/>
  <c r="I455" i="17"/>
  <c r="Q488" i="17"/>
  <c r="I486" i="17"/>
  <c r="O488" i="17"/>
  <c r="M489" i="17"/>
  <c r="M486" i="17" s="1"/>
  <c r="M485" i="17" s="1"/>
  <c r="M484" i="17" s="1"/>
  <c r="M475" i="17" s="1"/>
  <c r="M474" i="17" s="1"/>
  <c r="G486" i="17"/>
  <c r="P489" i="17"/>
  <c r="N511" i="17"/>
  <c r="N510" i="17" s="1"/>
  <c r="N509" i="17" s="1"/>
  <c r="N508" i="17" s="1"/>
  <c r="K510" i="17"/>
  <c r="K509" i="17" s="1"/>
  <c r="K508" i="17" s="1"/>
  <c r="G519" i="17"/>
  <c r="I441" i="17"/>
  <c r="Q452" i="17"/>
  <c r="I451" i="17"/>
  <c r="I465" i="17"/>
  <c r="Q489" i="17"/>
  <c r="O493" i="17"/>
  <c r="O496" i="17"/>
  <c r="O495" i="17" s="1"/>
  <c r="I505" i="17"/>
  <c r="P506" i="17"/>
  <c r="N506" i="17"/>
  <c r="I478" i="17"/>
  <c r="Q479" i="17"/>
  <c r="Q515" i="17"/>
  <c r="I524" i="17"/>
  <c r="Q524" i="17" s="1"/>
  <c r="Q525" i="17"/>
  <c r="Q526" i="17"/>
  <c r="O526" i="17"/>
  <c r="O525" i="17" s="1"/>
  <c r="O524" i="17" s="1"/>
  <c r="O479" i="17"/>
  <c r="O478" i="17" s="1"/>
  <c r="J485" i="17"/>
  <c r="J484" i="17" s="1"/>
  <c r="O491" i="17"/>
  <c r="O492" i="17"/>
  <c r="Q492" i="17"/>
  <c r="I511" i="17"/>
  <c r="N522" i="17"/>
  <c r="O522" i="17" s="1"/>
  <c r="O520" i="17" s="1"/>
  <c r="O519" i="17" s="1"/>
  <c r="O518" i="17" s="1"/>
  <c r="I522" i="17"/>
  <c r="Q522" i="17" s="1"/>
  <c r="P528" i="17"/>
  <c r="Q528" i="17" s="1"/>
  <c r="Q532" i="17"/>
  <c r="I531" i="17"/>
  <c r="O532" i="17"/>
  <c r="O531" i="17" s="1"/>
  <c r="O489" i="17"/>
  <c r="P496" i="17"/>
  <c r="Q496" i="17" s="1"/>
  <c r="Q506" i="17"/>
  <c r="Q536" i="17"/>
  <c r="N544" i="17"/>
  <c r="Q546" i="17"/>
  <c r="P553" i="17"/>
  <c r="G563" i="17"/>
  <c r="P564" i="17"/>
  <c r="P557" i="17"/>
  <c r="I557" i="17"/>
  <c r="Q558" i="17"/>
  <c r="P514" i="17"/>
  <c r="Q514" i="17" s="1"/>
  <c r="P521" i="17"/>
  <c r="Q521" i="17" s="1"/>
  <c r="H520" i="17"/>
  <c r="H519" i="17" s="1"/>
  <c r="H518" i="17" s="1"/>
  <c r="N521" i="17"/>
  <c r="P531" i="17"/>
  <c r="G543" i="17"/>
  <c r="H552" i="17"/>
  <c r="P552" i="17" s="1"/>
  <c r="I553" i="17"/>
  <c r="Q564" i="17"/>
  <c r="Q545" i="17"/>
  <c r="N557" i="17"/>
  <c r="N552" i="17" s="1"/>
  <c r="I560" i="17"/>
  <c r="O529" i="16"/>
  <c r="O536" i="16"/>
  <c r="N536" i="16"/>
  <c r="O537" i="16"/>
  <c r="N537" i="16"/>
  <c r="I529" i="16"/>
  <c r="H529" i="16"/>
  <c r="I536" i="16"/>
  <c r="H536" i="16"/>
  <c r="I537" i="16"/>
  <c r="O52" i="16"/>
  <c r="O53" i="16"/>
  <c r="N52" i="16"/>
  <c r="N53" i="16"/>
  <c r="I52" i="16"/>
  <c r="H52" i="16"/>
  <c r="I53" i="16"/>
  <c r="H521" i="16"/>
  <c r="H520" i="16"/>
  <c r="I328" i="16"/>
  <c r="H327" i="16"/>
  <c r="Q546" i="18" l="1"/>
  <c r="O25" i="18"/>
  <c r="Q25" i="18" s="1"/>
  <c r="P313" i="17"/>
  <c r="O530" i="17"/>
  <c r="O529" i="17" s="1"/>
  <c r="O517" i="17" s="1"/>
  <c r="O516" i="17" s="1"/>
  <c r="H529" i="17"/>
  <c r="H517" i="17" s="1"/>
  <c r="H516" i="17" s="1"/>
  <c r="H473" i="17" s="1"/>
  <c r="H472" i="17" s="1"/>
  <c r="L214" i="17"/>
  <c r="Q287" i="17"/>
  <c r="G178" i="17"/>
  <c r="G177" i="17" s="1"/>
  <c r="M123" i="17"/>
  <c r="Q369" i="17"/>
  <c r="Q54" i="17"/>
  <c r="N214" i="17"/>
  <c r="K89" i="17"/>
  <c r="K77" i="17" s="1"/>
  <c r="K66" i="17" s="1"/>
  <c r="H66" i="17"/>
  <c r="H35" i="17" s="1"/>
  <c r="O511" i="17"/>
  <c r="O510" i="17" s="1"/>
  <c r="O509" i="17" s="1"/>
  <c r="O508" i="17" s="1"/>
  <c r="J261" i="17"/>
  <c r="G43" i="17"/>
  <c r="M43" i="17" s="1"/>
  <c r="M543" i="17"/>
  <c r="M542" i="17" s="1"/>
  <c r="M541" i="17" s="1"/>
  <c r="M540" i="17" s="1"/>
  <c r="M539" i="17" s="1"/>
  <c r="L473" i="17"/>
  <c r="L472" i="17" s="1"/>
  <c r="J215" i="17"/>
  <c r="J214" i="17" s="1"/>
  <c r="J176" i="17" s="1"/>
  <c r="H123" i="17"/>
  <c r="N123" i="17" s="1"/>
  <c r="J66" i="17"/>
  <c r="J35" i="17" s="1"/>
  <c r="M517" i="17"/>
  <c r="M516" i="17" s="1"/>
  <c r="Q493" i="17"/>
  <c r="O369" i="17"/>
  <c r="O368" i="17" s="1"/>
  <c r="O367" i="17" s="1"/>
  <c r="N520" i="17"/>
  <c r="N519" i="17" s="1"/>
  <c r="N518" i="17" s="1"/>
  <c r="N517" i="17" s="1"/>
  <c r="N516" i="17" s="1"/>
  <c r="K312" i="17"/>
  <c r="K289" i="17" s="1"/>
  <c r="Q279" i="17"/>
  <c r="G303" i="17"/>
  <c r="G302" i="17" s="1"/>
  <c r="P321" i="17"/>
  <c r="O278" i="17"/>
  <c r="H474" i="17"/>
  <c r="Q397" i="17"/>
  <c r="M239" i="17"/>
  <c r="M238" i="17" s="1"/>
  <c r="G238" i="17"/>
  <c r="P238" i="17" s="1"/>
  <c r="Q70" i="17"/>
  <c r="N335" i="17"/>
  <c r="N334" i="17" s="1"/>
  <c r="N333" i="17" s="1"/>
  <c r="O45" i="17"/>
  <c r="O44" i="17" s="1"/>
  <c r="O43" i="17" s="1"/>
  <c r="L66" i="17"/>
  <c r="L35" i="17" s="1"/>
  <c r="M304" i="17"/>
  <c r="M290" i="17" s="1"/>
  <c r="N279" i="17"/>
  <c r="N278" i="17" s="1"/>
  <c r="I279" i="17"/>
  <c r="O279" i="17" s="1"/>
  <c r="O323" i="17"/>
  <c r="Q323" i="17"/>
  <c r="Q280" i="17"/>
  <c r="P120" i="17"/>
  <c r="Q120" i="17" s="1"/>
  <c r="O77" i="17"/>
  <c r="G204" i="17"/>
  <c r="P204" i="17" s="1"/>
  <c r="L176" i="17"/>
  <c r="K35" i="17"/>
  <c r="O100" i="17"/>
  <c r="O99" i="17" s="1"/>
  <c r="H215" i="17"/>
  <c r="H214" i="17" s="1"/>
  <c r="H176" i="17" s="1"/>
  <c r="M45" i="17"/>
  <c r="M185" i="17"/>
  <c r="M66" i="17"/>
  <c r="M35" i="17" s="1"/>
  <c r="I307" i="17"/>
  <c r="O308" i="17"/>
  <c r="O486" i="17"/>
  <c r="O485" i="17" s="1"/>
  <c r="O484" i="17" s="1"/>
  <c r="O475" i="17" s="1"/>
  <c r="N45" i="17"/>
  <c r="N44" i="17" s="1"/>
  <c r="N43" i="17" s="1"/>
  <c r="P44" i="17"/>
  <c r="P43" i="17"/>
  <c r="P520" i="17"/>
  <c r="I520" i="17"/>
  <c r="Q495" i="17"/>
  <c r="Q478" i="17"/>
  <c r="N97" i="17"/>
  <c r="N66" i="17" s="1"/>
  <c r="P61" i="17"/>
  <c r="P64" i="17"/>
  <c r="P63" i="17"/>
  <c r="I45" i="17"/>
  <c r="Q45" i="17" s="1"/>
  <c r="P38" i="17"/>
  <c r="N38" i="17"/>
  <c r="N37" i="17" s="1"/>
  <c r="N36" i="17" s="1"/>
  <c r="O37" i="17"/>
  <c r="O36" i="17" s="1"/>
  <c r="Q180" i="17"/>
  <c r="O180" i="17"/>
  <c r="O179" i="17" s="1"/>
  <c r="O178" i="17" s="1"/>
  <c r="O177" i="17" s="1"/>
  <c r="I179" i="17"/>
  <c r="P530" i="17"/>
  <c r="G529" i="17"/>
  <c r="Q531" i="17"/>
  <c r="I530" i="17"/>
  <c r="I510" i="17"/>
  <c r="P486" i="17"/>
  <c r="G485" i="17"/>
  <c r="O441" i="17"/>
  <c r="O440" i="17" s="1"/>
  <c r="O439" i="17" s="1"/>
  <c r="O438" i="17" s="1"/>
  <c r="O437" i="17" s="1"/>
  <c r="O436" i="17" s="1"/>
  <c r="O429" i="17" s="1"/>
  <c r="N440" i="17"/>
  <c r="N439" i="17" s="1"/>
  <c r="N438" i="17" s="1"/>
  <c r="N437" i="17" s="1"/>
  <c r="N436" i="17" s="1"/>
  <c r="N429" i="17" s="1"/>
  <c r="G437" i="17"/>
  <c r="N504" i="17"/>
  <c r="N474" i="17" s="1"/>
  <c r="P504" i="17"/>
  <c r="Q504" i="17" s="1"/>
  <c r="Q362" i="17"/>
  <c r="O362" i="17"/>
  <c r="O360" i="17"/>
  <c r="N307" i="17"/>
  <c r="H303" i="17"/>
  <c r="P307" i="17"/>
  <c r="Q307" i="17" s="1"/>
  <c r="I245" i="17"/>
  <c r="Q246" i="17"/>
  <c r="L289" i="17"/>
  <c r="I189" i="17"/>
  <c r="Q190" i="17"/>
  <c r="O190" i="17"/>
  <c r="O189" i="17" s="1"/>
  <c r="O188" i="17" s="1"/>
  <c r="O187" i="17" s="1"/>
  <c r="O186" i="17" s="1"/>
  <c r="O185" i="17" s="1"/>
  <c r="I552" i="17"/>
  <c r="Q552" i="17" s="1"/>
  <c r="Q553" i="17"/>
  <c r="Q505" i="17"/>
  <c r="O505" i="17"/>
  <c r="I454" i="17"/>
  <c r="P469" i="17"/>
  <c r="Q469" i="17" s="1"/>
  <c r="G468" i="17"/>
  <c r="J475" i="17"/>
  <c r="J474" i="17" s="1"/>
  <c r="J473" i="17" s="1"/>
  <c r="J472" i="17" s="1"/>
  <c r="Q446" i="17"/>
  <c r="I445" i="17"/>
  <c r="P425" i="17"/>
  <c r="G424" i="17"/>
  <c r="P424" i="17" s="1"/>
  <c r="G367" i="17"/>
  <c r="P367" i="17" s="1"/>
  <c r="Q367" i="17" s="1"/>
  <c r="P368" i="17"/>
  <c r="Q368" i="17" s="1"/>
  <c r="P375" i="17"/>
  <c r="Q375" i="17" s="1"/>
  <c r="G374" i="17"/>
  <c r="P374" i="17" s="1"/>
  <c r="Q374" i="17" s="1"/>
  <c r="Q363" i="17"/>
  <c r="O363" i="17"/>
  <c r="I431" i="17"/>
  <c r="Q404" i="17"/>
  <c r="O404" i="17"/>
  <c r="O399" i="17" s="1"/>
  <c r="O395" i="17" s="1"/>
  <c r="O394" i="17" s="1"/>
  <c r="O393" i="17" s="1"/>
  <c r="O292" i="17"/>
  <c r="O291" i="17" s="1"/>
  <c r="Q327" i="17"/>
  <c r="I326" i="17"/>
  <c r="Q315" i="17"/>
  <c r="I314" i="17"/>
  <c r="O270" i="17"/>
  <c r="Q270" i="17"/>
  <c r="P251" i="17"/>
  <c r="Q251" i="17" s="1"/>
  <c r="G250" i="17"/>
  <c r="P250" i="17" s="1"/>
  <c r="Q250" i="17" s="1"/>
  <c r="O327" i="17"/>
  <c r="O326" i="17" s="1"/>
  <c r="O325" i="17" s="1"/>
  <c r="G312" i="17"/>
  <c r="P312" i="17" s="1"/>
  <c r="P245" i="17"/>
  <c r="G244" i="17"/>
  <c r="P244" i="17" s="1"/>
  <c r="P205" i="17"/>
  <c r="Q205" i="17" s="1"/>
  <c r="G199" i="17"/>
  <c r="P199" i="17" s="1"/>
  <c r="Q199" i="17" s="1"/>
  <c r="P200" i="17"/>
  <c r="Q200" i="17" s="1"/>
  <c r="P178" i="17"/>
  <c r="G132" i="17"/>
  <c r="M217" i="17"/>
  <c r="M216" i="17" s="1"/>
  <c r="P216" i="17"/>
  <c r="Q216" i="17" s="1"/>
  <c r="I284" i="17"/>
  <c r="Q232" i="17"/>
  <c r="O232" i="17"/>
  <c r="I168" i="17"/>
  <c r="Q169" i="17"/>
  <c r="I152" i="17"/>
  <c r="Q152" i="17" s="1"/>
  <c r="Q153" i="17"/>
  <c r="O128" i="17"/>
  <c r="I126" i="17"/>
  <c r="Q128" i="17"/>
  <c r="I124" i="17"/>
  <c r="P162" i="17"/>
  <c r="Q162" i="17" s="1"/>
  <c r="Q65" i="17"/>
  <c r="I64" i="17"/>
  <c r="O65" i="17"/>
  <c r="O64" i="17" s="1"/>
  <c r="O63" i="17" s="1"/>
  <c r="O62" i="17" s="1"/>
  <c r="O61" i="17" s="1"/>
  <c r="Q112" i="17"/>
  <c r="I111" i="17"/>
  <c r="Q111" i="17" s="1"/>
  <c r="Q105" i="17"/>
  <c r="P62" i="17"/>
  <c r="H543" i="17"/>
  <c r="H542" i="17" s="1"/>
  <c r="H541" i="17" s="1"/>
  <c r="H540" i="17" s="1"/>
  <c r="H539" i="17" s="1"/>
  <c r="I440" i="17"/>
  <c r="Q441" i="17"/>
  <c r="P445" i="17"/>
  <c r="G444" i="17"/>
  <c r="O351" i="17"/>
  <c r="I350" i="17"/>
  <c r="Q350" i="17" s="1"/>
  <c r="Q351" i="17"/>
  <c r="G291" i="17"/>
  <c r="G290" i="17" s="1"/>
  <c r="P292" i="17"/>
  <c r="Q292" i="17" s="1"/>
  <c r="N263" i="17"/>
  <c r="P116" i="17"/>
  <c r="Q116" i="17" s="1"/>
  <c r="G115" i="17"/>
  <c r="P115" i="17" s="1"/>
  <c r="Q115" i="17" s="1"/>
  <c r="Q39" i="17"/>
  <c r="I38" i="17"/>
  <c r="Q79" i="17"/>
  <c r="I78" i="17"/>
  <c r="G186" i="17"/>
  <c r="P187" i="17"/>
  <c r="P30" i="17"/>
  <c r="G29" i="17"/>
  <c r="P29" i="17" s="1"/>
  <c r="P104" i="17"/>
  <c r="G98" i="17"/>
  <c r="P68" i="17"/>
  <c r="Q68" i="17" s="1"/>
  <c r="G67" i="17"/>
  <c r="P26" i="17"/>
  <c r="Q26" i="17" s="1"/>
  <c r="G25" i="17"/>
  <c r="Q544" i="17"/>
  <c r="P563" i="17"/>
  <c r="Q563" i="17" s="1"/>
  <c r="G562" i="17"/>
  <c r="G408" i="17"/>
  <c r="P409" i="17"/>
  <c r="K375" i="17"/>
  <c r="K374" i="17" s="1"/>
  <c r="N376" i="17"/>
  <c r="N375" i="17" s="1"/>
  <c r="O375" i="17" s="1"/>
  <c r="O374" i="17" s="1"/>
  <c r="Q399" i="17"/>
  <c r="I395" i="17"/>
  <c r="I291" i="17"/>
  <c r="P283" i="17"/>
  <c r="G278" i="17"/>
  <c r="Q239" i="17"/>
  <c r="O239" i="17"/>
  <c r="O238" i="17" s="1"/>
  <c r="I238" i="17"/>
  <c r="G542" i="17"/>
  <c r="Q557" i="17"/>
  <c r="O557" i="17"/>
  <c r="O552" i="17" s="1"/>
  <c r="O543" i="17" s="1"/>
  <c r="O542" i="17" s="1"/>
  <c r="O541" i="17" s="1"/>
  <c r="O540" i="17" s="1"/>
  <c r="O539" i="17" s="1"/>
  <c r="N543" i="17"/>
  <c r="N542" i="17" s="1"/>
  <c r="N541" i="17" s="1"/>
  <c r="N540" i="17" s="1"/>
  <c r="N539" i="17" s="1"/>
  <c r="G518" i="17"/>
  <c r="P519" i="17"/>
  <c r="Q486" i="17"/>
  <c r="I485" i="17"/>
  <c r="P450" i="17"/>
  <c r="G449" i="17"/>
  <c r="I425" i="17"/>
  <c r="Q426" i="17"/>
  <c r="P477" i="17"/>
  <c r="G476" i="17"/>
  <c r="I477" i="17"/>
  <c r="P461" i="17"/>
  <c r="Q461" i="17" s="1"/>
  <c r="G455" i="17"/>
  <c r="G394" i="17"/>
  <c r="P395" i="17"/>
  <c r="H335" i="17"/>
  <c r="O504" i="17"/>
  <c r="Q410" i="17"/>
  <c r="I409" i="17"/>
  <c r="P360" i="17"/>
  <c r="Q360" i="17" s="1"/>
  <c r="P336" i="17"/>
  <c r="Q322" i="17"/>
  <c r="O322" i="17"/>
  <c r="O321" i="17" s="1"/>
  <c r="O320" i="17" s="1"/>
  <c r="I321" i="17"/>
  <c r="P320" i="17"/>
  <c r="M269" i="17"/>
  <c r="M263" i="17" s="1"/>
  <c r="G264" i="17"/>
  <c r="P269" i="17"/>
  <c r="I269" i="17"/>
  <c r="M312" i="17"/>
  <c r="M289" i="17" s="1"/>
  <c r="Q242" i="17"/>
  <c r="O242" i="17"/>
  <c r="M333" i="17"/>
  <c r="M332" i="17" s="1"/>
  <c r="L332" i="17"/>
  <c r="P210" i="17"/>
  <c r="Q210" i="17" s="1"/>
  <c r="G209" i="17"/>
  <c r="I196" i="17"/>
  <c r="Q196" i="17" s="1"/>
  <c r="Q197" i="17"/>
  <c r="Q228" i="17"/>
  <c r="I227" i="17"/>
  <c r="N312" i="17"/>
  <c r="Q204" i="17"/>
  <c r="N176" i="17"/>
  <c r="P157" i="17"/>
  <c r="Q157" i="17" s="1"/>
  <c r="G156" i="17"/>
  <c r="P156" i="17" s="1"/>
  <c r="Q156" i="17" s="1"/>
  <c r="J123" i="17"/>
  <c r="P188" i="17"/>
  <c r="G73" i="17"/>
  <c r="P74" i="17"/>
  <c r="Q74" i="17" s="1"/>
  <c r="P37" i="17"/>
  <c r="G36" i="17"/>
  <c r="I559" i="17"/>
  <c r="I450" i="17"/>
  <c r="Q451" i="17"/>
  <c r="P512" i="17"/>
  <c r="Q512" i="17" s="1"/>
  <c r="G511" i="17"/>
  <c r="O422" i="17"/>
  <c r="O415" i="17" s="1"/>
  <c r="O408" i="17" s="1"/>
  <c r="O407" i="17" s="1"/>
  <c r="O406" i="17" s="1"/>
  <c r="L415" i="17"/>
  <c r="P432" i="17"/>
  <c r="Q432" i="17" s="1"/>
  <c r="G431" i="17"/>
  <c r="O337" i="17"/>
  <c r="O336" i="17" s="1"/>
  <c r="I336" i="17"/>
  <c r="Q337" i="17"/>
  <c r="I235" i="17"/>
  <c r="Q235" i="17" s="1"/>
  <c r="Q236" i="17"/>
  <c r="Q183" i="17"/>
  <c r="O183" i="17"/>
  <c r="P173" i="17"/>
  <c r="Q173" i="17" s="1"/>
  <c r="G172" i="17"/>
  <c r="P172" i="17" s="1"/>
  <c r="Q172" i="17" s="1"/>
  <c r="G85" i="17"/>
  <c r="P86" i="17"/>
  <c r="Q86" i="17" s="1"/>
  <c r="Q109" i="17"/>
  <c r="I108" i="17"/>
  <c r="Q108" i="17" s="1"/>
  <c r="O109" i="17"/>
  <c r="O108" i="17" s="1"/>
  <c r="O104" i="17" s="1"/>
  <c r="Q31" i="17"/>
  <c r="I30" i="17"/>
  <c r="Q99" i="17"/>
  <c r="H495" i="16"/>
  <c r="N473" i="17" l="1"/>
  <c r="N472" i="17" s="1"/>
  <c r="I131" i="17"/>
  <c r="Q238" i="17"/>
  <c r="J34" i="17"/>
  <c r="J21" i="17" s="1"/>
  <c r="O335" i="17"/>
  <c r="O334" i="17" s="1"/>
  <c r="O333" i="17" s="1"/>
  <c r="O332" i="17" s="1"/>
  <c r="M261" i="17"/>
  <c r="O312" i="17"/>
  <c r="I543" i="17"/>
  <c r="I542" i="17" s="1"/>
  <c r="Q520" i="17"/>
  <c r="O98" i="17"/>
  <c r="O97" i="17" s="1"/>
  <c r="O66" i="17" s="1"/>
  <c r="O35" i="17" s="1"/>
  <c r="I290" i="17"/>
  <c r="I303" i="17"/>
  <c r="O307" i="17"/>
  <c r="O290" i="17" s="1"/>
  <c r="I44" i="17"/>
  <c r="Q44" i="17" s="1"/>
  <c r="N35" i="17"/>
  <c r="P529" i="17"/>
  <c r="G517" i="17"/>
  <c r="I519" i="17"/>
  <c r="Q519" i="17" s="1"/>
  <c r="I104" i="17"/>
  <c r="Q336" i="17"/>
  <c r="I335" i="17"/>
  <c r="P36" i="17"/>
  <c r="P73" i="17"/>
  <c r="Q73" i="17" s="1"/>
  <c r="G72" i="17"/>
  <c r="P72" i="17" s="1"/>
  <c r="Q72" i="17" s="1"/>
  <c r="Q227" i="17"/>
  <c r="P209" i="17"/>
  <c r="Q209" i="17" s="1"/>
  <c r="G208" i="17"/>
  <c r="P208" i="17" s="1"/>
  <c r="Q208" i="17" s="1"/>
  <c r="I484" i="17"/>
  <c r="Q450" i="17"/>
  <c r="I449" i="17"/>
  <c r="O269" i="17"/>
  <c r="O263" i="17" s="1"/>
  <c r="Q269" i="17"/>
  <c r="G393" i="17"/>
  <c r="P393" i="17" s="1"/>
  <c r="P394" i="17"/>
  <c r="I476" i="17"/>
  <c r="Q477" i="17"/>
  <c r="I424" i="17"/>
  <c r="Q424" i="17" s="1"/>
  <c r="Q425" i="17"/>
  <c r="P543" i="17"/>
  <c r="P278" i="17"/>
  <c r="I394" i="17"/>
  <c r="Q395" i="17"/>
  <c r="O474" i="17"/>
  <c r="I518" i="17"/>
  <c r="P186" i="17"/>
  <c r="G185" i="17"/>
  <c r="P185" i="17" s="1"/>
  <c r="O124" i="17"/>
  <c r="O123" i="17" s="1"/>
  <c r="Q124" i="17"/>
  <c r="P177" i="17"/>
  <c r="Q314" i="17"/>
  <c r="I313" i="17"/>
  <c r="I430" i="17"/>
  <c r="Q245" i="17"/>
  <c r="I244" i="17"/>
  <c r="Q244" i="17" s="1"/>
  <c r="G510" i="17"/>
  <c r="P511" i="17"/>
  <c r="Q511" i="17" s="1"/>
  <c r="I320" i="17"/>
  <c r="Q320" i="17" s="1"/>
  <c r="Q321" i="17"/>
  <c r="P476" i="17"/>
  <c r="P449" i="17"/>
  <c r="G448" i="17"/>
  <c r="P448" i="17" s="1"/>
  <c r="I77" i="17"/>
  <c r="Q78" i="17"/>
  <c r="P468" i="17"/>
  <c r="Q468" i="17" s="1"/>
  <c r="G467" i="17"/>
  <c r="Q189" i="17"/>
  <c r="I188" i="17"/>
  <c r="I29" i="17"/>
  <c r="Q30" i="17"/>
  <c r="P431" i="17"/>
  <c r="Q431" i="17" s="1"/>
  <c r="G430" i="17"/>
  <c r="I130" i="17"/>
  <c r="P562" i="17"/>
  <c r="Q562" i="17" s="1"/>
  <c r="G561" i="17"/>
  <c r="P67" i="17"/>
  <c r="Q67" i="17" s="1"/>
  <c r="Q64" i="17"/>
  <c r="I63" i="17"/>
  <c r="G161" i="17"/>
  <c r="G332" i="17"/>
  <c r="P264" i="17"/>
  <c r="I264" i="17"/>
  <c r="I408" i="17"/>
  <c r="Q409" i="17"/>
  <c r="H334" i="17"/>
  <c r="P335" i="17"/>
  <c r="P455" i="17"/>
  <c r="Q455" i="17" s="1"/>
  <c r="G454" i="17"/>
  <c r="P454" i="17" s="1"/>
  <c r="Q454" i="17" s="1"/>
  <c r="P518" i="17"/>
  <c r="G407" i="17"/>
  <c r="P408" i="17"/>
  <c r="P25" i="17"/>
  <c r="Q25" i="17" s="1"/>
  <c r="G24" i="17"/>
  <c r="P291" i="17"/>
  <c r="Q291" i="17" s="1"/>
  <c r="I439" i="17"/>
  <c r="Q126" i="17"/>
  <c r="O126" i="17"/>
  <c r="O125" i="17" s="1"/>
  <c r="I125" i="17"/>
  <c r="Q125" i="17" s="1"/>
  <c r="Q284" i="17"/>
  <c r="I283" i="17"/>
  <c r="P132" i="17"/>
  <c r="Q132" i="17" s="1"/>
  <c r="G131" i="17"/>
  <c r="I325" i="17"/>
  <c r="Q325" i="17" s="1"/>
  <c r="Q326" i="17"/>
  <c r="Q445" i="17"/>
  <c r="I444" i="17"/>
  <c r="L261" i="17"/>
  <c r="L34" i="17" s="1"/>
  <c r="L21" i="17" s="1"/>
  <c r="H302" i="17"/>
  <c r="H290" i="17" s="1"/>
  <c r="P303" i="17"/>
  <c r="N303" i="17"/>
  <c r="I509" i="17"/>
  <c r="P85" i="17"/>
  <c r="Q85" i="17" s="1"/>
  <c r="G77" i="17"/>
  <c r="P77" i="17" s="1"/>
  <c r="M264" i="17"/>
  <c r="P542" i="17"/>
  <c r="G541" i="17"/>
  <c r="N374" i="17"/>
  <c r="N332" i="17" s="1"/>
  <c r="K332" i="17"/>
  <c r="K261" i="17" s="1"/>
  <c r="K34" i="17" s="1"/>
  <c r="K21" i="17" s="1"/>
  <c r="P98" i="17"/>
  <c r="G97" i="17"/>
  <c r="P97" i="17" s="1"/>
  <c r="I37" i="17"/>
  <c r="Q38" i="17"/>
  <c r="P444" i="17"/>
  <c r="G443" i="17"/>
  <c r="Q168" i="17"/>
  <c r="I161" i="17"/>
  <c r="G436" i="17"/>
  <c r="P485" i="17"/>
  <c r="Q485" i="17" s="1"/>
  <c r="G484" i="17"/>
  <c r="P484" i="17" s="1"/>
  <c r="Q530" i="17"/>
  <c r="I529" i="17"/>
  <c r="Q529" i="17" s="1"/>
  <c r="I178" i="17"/>
  <c r="Q179" i="17"/>
  <c r="H478" i="16"/>
  <c r="Q543" i="17" l="1"/>
  <c r="I43" i="17"/>
  <c r="Q43" i="17" s="1"/>
  <c r="Q104" i="17"/>
  <c r="I98" i="17"/>
  <c r="I97" i="17" s="1"/>
  <c r="Q97" i="17" s="1"/>
  <c r="P407" i="17"/>
  <c r="G406" i="17"/>
  <c r="P406" i="17" s="1"/>
  <c r="G516" i="17"/>
  <c r="P517" i="17"/>
  <c r="H333" i="17"/>
  <c r="P334" i="17"/>
  <c r="P430" i="17"/>
  <c r="Q430" i="17" s="1"/>
  <c r="I187" i="17"/>
  <c r="Q188" i="17"/>
  <c r="I312" i="17"/>
  <c r="Q312" i="17" s="1"/>
  <c r="Q313" i="17"/>
  <c r="Q476" i="17"/>
  <c r="I475" i="17"/>
  <c r="O264" i="17"/>
  <c r="Q178" i="17"/>
  <c r="I177" i="17"/>
  <c r="I160" i="17"/>
  <c r="I123" i="17" s="1"/>
  <c r="N302" i="17"/>
  <c r="N290" i="17" s="1"/>
  <c r="O303" i="17"/>
  <c r="O302" i="17" s="1"/>
  <c r="P24" i="17"/>
  <c r="Q24" i="17" s="1"/>
  <c r="G23" i="17"/>
  <c r="G66" i="17"/>
  <c r="G35" i="17" s="1"/>
  <c r="G509" i="17"/>
  <c r="P510" i="17"/>
  <c r="Q510" i="17" s="1"/>
  <c r="I393" i="17"/>
  <c r="Q393" i="17" s="1"/>
  <c r="Q394" i="17"/>
  <c r="I448" i="17"/>
  <c r="Q448" i="17" s="1"/>
  <c r="Q449" i="17"/>
  <c r="Q335" i="17"/>
  <c r="I334" i="17"/>
  <c r="Q283" i="17"/>
  <c r="I278" i="17"/>
  <c r="Q37" i="17"/>
  <c r="I36" i="17"/>
  <c r="P263" i="17"/>
  <c r="Q303" i="17"/>
  <c r="I302" i="17"/>
  <c r="Q444" i="17"/>
  <c r="I443" i="17"/>
  <c r="P131" i="17"/>
  <c r="Q131" i="17" s="1"/>
  <c r="G130" i="17"/>
  <c r="I438" i="17"/>
  <c r="I407" i="17"/>
  <c r="Q408" i="17"/>
  <c r="P161" i="17"/>
  <c r="Q161" i="17" s="1"/>
  <c r="G160" i="17"/>
  <c r="P160" i="17" s="1"/>
  <c r="P467" i="17"/>
  <c r="Q467" i="17" s="1"/>
  <c r="G466" i="17"/>
  <c r="G475" i="17"/>
  <c r="I517" i="17"/>
  <c r="Q518" i="17"/>
  <c r="P443" i="17"/>
  <c r="G442" i="17"/>
  <c r="P442" i="17" s="1"/>
  <c r="P541" i="17"/>
  <c r="G540" i="17"/>
  <c r="I508" i="17"/>
  <c r="P302" i="17"/>
  <c r="G289" i="17"/>
  <c r="G261" i="17" s="1"/>
  <c r="P290" i="17"/>
  <c r="Q264" i="17"/>
  <c r="Q63" i="17"/>
  <c r="I62" i="17"/>
  <c r="G560" i="17"/>
  <c r="P561" i="17"/>
  <c r="Q561" i="17" s="1"/>
  <c r="Q29" i="17"/>
  <c r="I23" i="17"/>
  <c r="Q77" i="17"/>
  <c r="I66" i="17"/>
  <c r="Q542" i="17"/>
  <c r="I541" i="17"/>
  <c r="Q484" i="17"/>
  <c r="H519" i="16"/>
  <c r="P516" i="17" l="1"/>
  <c r="Q98" i="17"/>
  <c r="Q407" i="17"/>
  <c r="I406" i="17"/>
  <c r="Q406" i="17" s="1"/>
  <c r="Q278" i="17"/>
  <c r="P23" i="17"/>
  <c r="Q23" i="17" s="1"/>
  <c r="G22" i="17"/>
  <c r="G429" i="17"/>
  <c r="I540" i="17"/>
  <c r="Q541" i="17"/>
  <c r="I22" i="17"/>
  <c r="I61" i="17"/>
  <c r="Q61" i="17" s="1"/>
  <c r="Q62" i="17"/>
  <c r="I437" i="17"/>
  <c r="I442" i="17"/>
  <c r="Q442" i="17" s="1"/>
  <c r="Q443" i="17"/>
  <c r="P509" i="17"/>
  <c r="Q509" i="17" s="1"/>
  <c r="G508" i="17"/>
  <c r="P508" i="17" s="1"/>
  <c r="Q508" i="17" s="1"/>
  <c r="Q160" i="17"/>
  <c r="P560" i="17"/>
  <c r="Q560" i="17" s="1"/>
  <c r="G559" i="17"/>
  <c r="P559" i="17" s="1"/>
  <c r="Q559" i="17" s="1"/>
  <c r="H289" i="17"/>
  <c r="P540" i="17"/>
  <c r="G539" i="17"/>
  <c r="P539" i="17" s="1"/>
  <c r="P475" i="17"/>
  <c r="Q475" i="17" s="1"/>
  <c r="G474" i="17"/>
  <c r="G473" i="17" s="1"/>
  <c r="Q36" i="17"/>
  <c r="I333" i="17"/>
  <c r="Q334" i="17"/>
  <c r="P66" i="17"/>
  <c r="Q66" i="17" s="1"/>
  <c r="Q177" i="17"/>
  <c r="I474" i="17"/>
  <c r="Q517" i="17"/>
  <c r="I516" i="17"/>
  <c r="G465" i="17"/>
  <c r="P465" i="17" s="1"/>
  <c r="Q465" i="17" s="1"/>
  <c r="P466" i="17"/>
  <c r="Q466" i="17" s="1"/>
  <c r="G123" i="17"/>
  <c r="P123" i="17" s="1"/>
  <c r="Q123" i="17" s="1"/>
  <c r="P130" i="17"/>
  <c r="Q130" i="17" s="1"/>
  <c r="Q302" i="17"/>
  <c r="Q187" i="17"/>
  <c r="I186" i="17"/>
  <c r="H332" i="17"/>
  <c r="P332" i="17" s="1"/>
  <c r="P333" i="17"/>
  <c r="H113" i="16"/>
  <c r="H114" i="16"/>
  <c r="H440" i="16"/>
  <c r="H109" i="16"/>
  <c r="H439" i="16"/>
  <c r="Q516" i="17" l="1"/>
  <c r="I35" i="17"/>
  <c r="P289" i="17"/>
  <c r="H261" i="17"/>
  <c r="I185" i="17"/>
  <c r="Q186" i="17"/>
  <c r="P474" i="17"/>
  <c r="Q474" i="17" s="1"/>
  <c r="Q290" i="17"/>
  <c r="I289" i="17"/>
  <c r="Q333" i="17"/>
  <c r="I332" i="17"/>
  <c r="Q332" i="17" s="1"/>
  <c r="N289" i="17"/>
  <c r="O289" i="17"/>
  <c r="O261" i="17" s="1"/>
  <c r="P22" i="17"/>
  <c r="Q22" i="17" s="1"/>
  <c r="P35" i="17"/>
  <c r="Q35" i="17" s="1"/>
  <c r="I436" i="17"/>
  <c r="I539" i="17"/>
  <c r="Q539" i="17" s="1"/>
  <c r="Q540" i="17"/>
  <c r="I473" i="17"/>
  <c r="Q263" i="17"/>
  <c r="N114" i="16"/>
  <c r="O114" i="16" s="1"/>
  <c r="I114" i="16"/>
  <c r="Q289" i="17" l="1"/>
  <c r="I261" i="17"/>
  <c r="N261" i="17"/>
  <c r="N34" i="17" s="1"/>
  <c r="N21" i="17" s="1"/>
  <c r="P261" i="17"/>
  <c r="P473" i="17"/>
  <c r="Q473" i="17" s="1"/>
  <c r="G472" i="17"/>
  <c r="P472" i="17" s="1"/>
  <c r="M473" i="17"/>
  <c r="M472" i="17" s="1"/>
  <c r="O473" i="17"/>
  <c r="O472" i="17" s="1"/>
  <c r="I472" i="17"/>
  <c r="I429" i="17"/>
  <c r="Q185" i="17"/>
  <c r="N533" i="16"/>
  <c r="H532" i="16"/>
  <c r="I532" i="16" s="1"/>
  <c r="I533" i="16"/>
  <c r="O533" i="16" s="1"/>
  <c r="O543" i="16"/>
  <c r="N543" i="16"/>
  <c r="O546" i="16"/>
  <c r="N546" i="16"/>
  <c r="O547" i="16"/>
  <c r="N547" i="16"/>
  <c r="I543" i="16"/>
  <c r="H543" i="16"/>
  <c r="I546" i="16"/>
  <c r="H546" i="16"/>
  <c r="I547" i="16"/>
  <c r="N49" i="16"/>
  <c r="H48" i="16"/>
  <c r="I49" i="16"/>
  <c r="O49" i="16" s="1"/>
  <c r="N42" i="16"/>
  <c r="H41" i="16"/>
  <c r="H38" i="16" s="1"/>
  <c r="I42" i="16"/>
  <c r="O42" i="16" s="1"/>
  <c r="Q472" i="17" l="1"/>
  <c r="Q261" i="17"/>
  <c r="N48" i="16"/>
  <c r="H45" i="16"/>
  <c r="N45" i="16" s="1"/>
  <c r="I48" i="16"/>
  <c r="I45" i="16" s="1"/>
  <c r="N41" i="16"/>
  <c r="I41" i="16"/>
  <c r="O532" i="16"/>
  <c r="N532" i="16"/>
  <c r="O48" i="16" l="1"/>
  <c r="O41" i="16"/>
  <c r="I38" i="16"/>
  <c r="O234" i="16" l="1"/>
  <c r="N234" i="16"/>
  <c r="H262" i="16"/>
  <c r="I263" i="16"/>
  <c r="H231" i="16"/>
  <c r="H190" i="16"/>
  <c r="H232" i="16"/>
  <c r="I234" i="16"/>
  <c r="H198" i="16"/>
  <c r="H336" i="16" l="1"/>
  <c r="H350" i="16"/>
  <c r="H65" i="16" l="1"/>
  <c r="K289" i="16" l="1"/>
  <c r="I148" i="16"/>
  <c r="I149" i="16"/>
  <c r="I150" i="16"/>
  <c r="I151" i="16"/>
  <c r="O303" i="16"/>
  <c r="O304" i="16"/>
  <c r="N303" i="16"/>
  <c r="N304" i="16"/>
  <c r="O305" i="16"/>
  <c r="N305" i="16"/>
  <c r="I303" i="16"/>
  <c r="I304" i="16"/>
  <c r="I305" i="16"/>
  <c r="N309" i="16"/>
  <c r="O310" i="16"/>
  <c r="N310" i="16"/>
  <c r="I309" i="16"/>
  <c r="O309" i="16" s="1"/>
  <c r="I310" i="16"/>
  <c r="H342" i="16"/>
  <c r="M190" i="16" l="1"/>
  <c r="M296" i="16"/>
  <c r="M295" i="16" s="1"/>
  <c r="M291" i="16" s="1"/>
  <c r="M293" i="16"/>
  <c r="M285" i="16"/>
  <c r="M71" i="16"/>
  <c r="G124" i="16"/>
  <c r="Q566" i="16"/>
  <c r="P566" i="16"/>
  <c r="P565" i="16"/>
  <c r="Q565" i="16" s="1"/>
  <c r="Q564" i="16"/>
  <c r="P564" i="16"/>
  <c r="P563" i="16"/>
  <c r="Q563" i="16" s="1"/>
  <c r="Q562" i="16"/>
  <c r="P562" i="16"/>
  <c r="N562" i="16"/>
  <c r="N561" i="16" s="1"/>
  <c r="M562" i="16"/>
  <c r="M561" i="16" s="1"/>
  <c r="M560" i="16" s="1"/>
  <c r="I562" i="16"/>
  <c r="O562" i="16" s="1"/>
  <c r="O561" i="16" s="1"/>
  <c r="O560" i="16" s="1"/>
  <c r="O559" i="16" s="1"/>
  <c r="O558" i="16" s="1"/>
  <c r="L561" i="16"/>
  <c r="L560" i="16" s="1"/>
  <c r="L559" i="16" s="1"/>
  <c r="J561" i="16"/>
  <c r="I561" i="16"/>
  <c r="H561" i="16"/>
  <c r="G561" i="16"/>
  <c r="N560" i="16"/>
  <c r="N559" i="16" s="1"/>
  <c r="N558" i="16" s="1"/>
  <c r="N557" i="16" s="1"/>
  <c r="K560" i="16"/>
  <c r="J560" i="16"/>
  <c r="J559" i="16" s="1"/>
  <c r="J558" i="16" s="1"/>
  <c r="J557" i="16" s="1"/>
  <c r="I560" i="16"/>
  <c r="H560" i="16"/>
  <c r="M559" i="16"/>
  <c r="M558" i="16" s="1"/>
  <c r="M557" i="16" s="1"/>
  <c r="M556" i="16" s="1"/>
  <c r="K559" i="16"/>
  <c r="I559" i="16"/>
  <c r="I558" i="16" s="1"/>
  <c r="H559" i="16"/>
  <c r="L558" i="16"/>
  <c r="L557" i="16" s="1"/>
  <c r="L556" i="16" s="1"/>
  <c r="K558" i="16"/>
  <c r="H558" i="16"/>
  <c r="H557" i="16" s="1"/>
  <c r="H556" i="16" s="1"/>
  <c r="O557" i="16"/>
  <c r="O556" i="16" s="1"/>
  <c r="K557" i="16"/>
  <c r="K556" i="16" s="1"/>
  <c r="K552" i="16" s="1"/>
  <c r="N556" i="16"/>
  <c r="J556" i="16"/>
  <c r="Q555" i="16"/>
  <c r="P555" i="16"/>
  <c r="N555" i="16"/>
  <c r="M555" i="16"/>
  <c r="I555" i="16"/>
  <c r="O555" i="16" s="1"/>
  <c r="M554" i="16"/>
  <c r="H554" i="16"/>
  <c r="Q553" i="16"/>
  <c r="P553" i="16"/>
  <c r="P552" i="16"/>
  <c r="Q552" i="16" s="1"/>
  <c r="N552" i="16"/>
  <c r="P551" i="16"/>
  <c r="N551" i="16"/>
  <c r="M551" i="16"/>
  <c r="I551" i="16"/>
  <c r="I550" i="16" s="1"/>
  <c r="N550" i="16"/>
  <c r="M550" i="16"/>
  <c r="M549" i="16" s="1"/>
  <c r="L550" i="16"/>
  <c r="J550" i="16"/>
  <c r="H550" i="16"/>
  <c r="G550" i="16"/>
  <c r="P550" i="16" s="1"/>
  <c r="L549" i="16"/>
  <c r="K549" i="16"/>
  <c r="K548" i="16" s="1"/>
  <c r="J549" i="16"/>
  <c r="H549" i="16"/>
  <c r="G549" i="16"/>
  <c r="P548" i="16"/>
  <c r="O548" i="16"/>
  <c r="N548" i="16"/>
  <c r="M548" i="16"/>
  <c r="I548" i="16"/>
  <c r="P545" i="16"/>
  <c r="N545" i="16"/>
  <c r="N544" i="16" s="1"/>
  <c r="M545" i="16"/>
  <c r="M544" i="16" s="1"/>
  <c r="M543" i="16" s="1"/>
  <c r="M542" i="16" s="1"/>
  <c r="M541" i="16" s="1"/>
  <c r="M540" i="16" s="1"/>
  <c r="M539" i="16" s="1"/>
  <c r="I545" i="16"/>
  <c r="O545" i="16" s="1"/>
  <c r="L544" i="16"/>
  <c r="L543" i="16" s="1"/>
  <c r="J544" i="16"/>
  <c r="J543" i="16" s="1"/>
  <c r="J542" i="16" s="1"/>
  <c r="J541" i="16" s="1"/>
  <c r="J540" i="16" s="1"/>
  <c r="J539" i="16" s="1"/>
  <c r="J538" i="16" s="1"/>
  <c r="H544" i="16"/>
  <c r="G544" i="16"/>
  <c r="G543" i="16" s="1"/>
  <c r="L542" i="16"/>
  <c r="L541" i="16" s="1"/>
  <c r="L540" i="16" s="1"/>
  <c r="L539" i="16" s="1"/>
  <c r="L538" i="16" s="1"/>
  <c r="K542" i="16"/>
  <c r="K541" i="16"/>
  <c r="K540" i="16" s="1"/>
  <c r="K539" i="16" s="1"/>
  <c r="K538" i="16" s="1"/>
  <c r="P535" i="16"/>
  <c r="Q535" i="16" s="1"/>
  <c r="O535" i="16"/>
  <c r="N535" i="16"/>
  <c r="M535" i="16"/>
  <c r="I535" i="16"/>
  <c r="P534" i="16"/>
  <c r="N534" i="16"/>
  <c r="M534" i="16"/>
  <c r="I534" i="16"/>
  <c r="P531" i="16"/>
  <c r="Q531" i="16" s="1"/>
  <c r="O531" i="16"/>
  <c r="N531" i="16"/>
  <c r="M531" i="16"/>
  <c r="I531" i="16"/>
  <c r="P530" i="16"/>
  <c r="L530" i="16"/>
  <c r="J530" i="16"/>
  <c r="J529" i="16" s="1"/>
  <c r="J528" i="16" s="1"/>
  <c r="G530" i="16"/>
  <c r="L529" i="16"/>
  <c r="L528" i="16" s="1"/>
  <c r="K529" i="16"/>
  <c r="N529" i="16"/>
  <c r="N528" i="16" s="1"/>
  <c r="G529" i="16"/>
  <c r="G528" i="16" s="1"/>
  <c r="K528" i="16"/>
  <c r="H528" i="16"/>
  <c r="O527" i="16"/>
  <c r="M527" i="16"/>
  <c r="I527" i="16"/>
  <c r="G527" i="16"/>
  <c r="P527" i="16" s="1"/>
  <c r="P526" i="16"/>
  <c r="N526" i="16"/>
  <c r="M526" i="16"/>
  <c r="I526" i="16"/>
  <c r="P525" i="16"/>
  <c r="Q525" i="16" s="1"/>
  <c r="O525" i="16"/>
  <c r="N525" i="16"/>
  <c r="M525" i="16"/>
  <c r="I525" i="16"/>
  <c r="L524" i="16"/>
  <c r="L523" i="16" s="1"/>
  <c r="J524" i="16"/>
  <c r="H524" i="16"/>
  <c r="H523" i="16" s="1"/>
  <c r="G524" i="16"/>
  <c r="K523" i="16"/>
  <c r="J523" i="16"/>
  <c r="P522" i="16"/>
  <c r="Q522" i="16" s="1"/>
  <c r="O522" i="16"/>
  <c r="N522" i="16"/>
  <c r="M522" i="16"/>
  <c r="P521" i="16"/>
  <c r="N521" i="16"/>
  <c r="O521" i="16" s="1"/>
  <c r="M521" i="16"/>
  <c r="I521" i="16"/>
  <c r="P520" i="16"/>
  <c r="N520" i="16"/>
  <c r="M520" i="16"/>
  <c r="M519" i="16" s="1"/>
  <c r="M518" i="16" s="1"/>
  <c r="L520" i="16"/>
  <c r="I520" i="16"/>
  <c r="L519" i="16"/>
  <c r="L518" i="16" s="1"/>
  <c r="L517" i="16" s="1"/>
  <c r="K519" i="16"/>
  <c r="J519" i="16"/>
  <c r="H518" i="16"/>
  <c r="G519" i="16"/>
  <c r="G518" i="16" s="1"/>
  <c r="K518" i="16"/>
  <c r="K517" i="16" s="1"/>
  <c r="K516" i="16" s="1"/>
  <c r="K515" i="16" s="1"/>
  <c r="J518" i="16"/>
  <c r="J517" i="16" s="1"/>
  <c r="P514" i="16"/>
  <c r="O514" i="16"/>
  <c r="N514" i="16"/>
  <c r="M514" i="16"/>
  <c r="I514" i="16"/>
  <c r="Q514" i="16" s="1"/>
  <c r="P513" i="16"/>
  <c r="N513" i="16"/>
  <c r="M513" i="16"/>
  <c r="I513" i="16"/>
  <c r="O513" i="16" s="1"/>
  <c r="G513" i="16"/>
  <c r="P512" i="16"/>
  <c r="L512" i="16"/>
  <c r="O512" i="16" s="1"/>
  <c r="O511" i="16" s="1"/>
  <c r="I512" i="16"/>
  <c r="G512" i="16"/>
  <c r="M512" i="16" s="1"/>
  <c r="M511" i="16" s="1"/>
  <c r="J511" i="16"/>
  <c r="J510" i="16" s="1"/>
  <c r="J509" i="16" s="1"/>
  <c r="J508" i="16" s="1"/>
  <c r="J507" i="16" s="1"/>
  <c r="I511" i="16"/>
  <c r="G511" i="16"/>
  <c r="P511" i="16" s="1"/>
  <c r="Q511" i="16" s="1"/>
  <c r="H510" i="16"/>
  <c r="G510" i="16"/>
  <c r="H509" i="16"/>
  <c r="H508" i="16" s="1"/>
  <c r="H507" i="16" s="1"/>
  <c r="P506" i="16"/>
  <c r="N506" i="16"/>
  <c r="I506" i="16"/>
  <c r="O506" i="16" s="1"/>
  <c r="I505" i="16"/>
  <c r="O505" i="16" s="1"/>
  <c r="H505" i="16"/>
  <c r="I504" i="16" s="1"/>
  <c r="P502" i="16"/>
  <c r="Q502" i="16" s="1"/>
  <c r="O502" i="16"/>
  <c r="M502" i="16"/>
  <c r="P501" i="16"/>
  <c r="Q501" i="16" s="1"/>
  <c r="O501" i="16"/>
  <c r="M501" i="16"/>
  <c r="P500" i="16"/>
  <c r="Q500" i="16" s="1"/>
  <c r="O500" i="16"/>
  <c r="M500" i="16"/>
  <c r="P499" i="16"/>
  <c r="Q499" i="16" s="1"/>
  <c r="O499" i="16"/>
  <c r="N499" i="16"/>
  <c r="N498" i="16" s="1"/>
  <c r="M499" i="16"/>
  <c r="O498" i="16"/>
  <c r="M498" i="16"/>
  <c r="L498" i="16"/>
  <c r="J498" i="16"/>
  <c r="I498" i="16"/>
  <c r="H498" i="16"/>
  <c r="G498" i="16"/>
  <c r="P498" i="16" s="1"/>
  <c r="P497" i="16"/>
  <c r="Q497" i="16" s="1"/>
  <c r="N497" i="16"/>
  <c r="N496" i="16" s="1"/>
  <c r="M497" i="16"/>
  <c r="O497" i="16" s="1"/>
  <c r="O496" i="16" s="1"/>
  <c r="L497" i="16"/>
  <c r="P496" i="16"/>
  <c r="Q496" i="16" s="1"/>
  <c r="L496" i="16"/>
  <c r="K496" i="16"/>
  <c r="J496" i="16"/>
  <c r="P495" i="16"/>
  <c r="M495" i="16"/>
  <c r="L495" i="16"/>
  <c r="I495" i="16"/>
  <c r="N495" i="16"/>
  <c r="M494" i="16"/>
  <c r="L494" i="16"/>
  <c r="K494" i="16"/>
  <c r="J494" i="16"/>
  <c r="H494" i="16"/>
  <c r="G494" i="16"/>
  <c r="P493" i="16"/>
  <c r="N493" i="16"/>
  <c r="M493" i="16"/>
  <c r="L493" i="16"/>
  <c r="I493" i="16"/>
  <c r="N492" i="16"/>
  <c r="K492" i="16"/>
  <c r="J492" i="16"/>
  <c r="L492" i="16" s="1"/>
  <c r="H492" i="16"/>
  <c r="G492" i="16"/>
  <c r="P492" i="16" s="1"/>
  <c r="P491" i="16"/>
  <c r="N491" i="16"/>
  <c r="M491" i="16"/>
  <c r="I491" i="16"/>
  <c r="O491" i="16" s="1"/>
  <c r="N490" i="16"/>
  <c r="M490" i="16"/>
  <c r="H490" i="16"/>
  <c r="H484" i="16" s="1"/>
  <c r="H483" i="16" s="1"/>
  <c r="P489" i="16"/>
  <c r="Q489" i="16" s="1"/>
  <c r="O489" i="16"/>
  <c r="N489" i="16"/>
  <c r="M489" i="16"/>
  <c r="N488" i="16"/>
  <c r="N485" i="16" s="1"/>
  <c r="L488" i="16"/>
  <c r="I488" i="16"/>
  <c r="G488" i="16"/>
  <c r="M488" i="16" s="1"/>
  <c r="P487" i="16"/>
  <c r="O487" i="16"/>
  <c r="N487" i="16"/>
  <c r="M487" i="16"/>
  <c r="I487" i="16"/>
  <c r="Q487" i="16" s="1"/>
  <c r="P486" i="16"/>
  <c r="Q486" i="16" s="1"/>
  <c r="N486" i="16"/>
  <c r="M486" i="16"/>
  <c r="M485" i="16" s="1"/>
  <c r="L486" i="16"/>
  <c r="O486" i="16" s="1"/>
  <c r="K485" i="16"/>
  <c r="K484" i="16" s="1"/>
  <c r="K483" i="16" s="1"/>
  <c r="J485" i="16"/>
  <c r="J484" i="16" s="1"/>
  <c r="J483" i="16" s="1"/>
  <c r="J474" i="16" s="1"/>
  <c r="J473" i="16" s="1"/>
  <c r="H485" i="16"/>
  <c r="G485" i="16"/>
  <c r="P485" i="16" s="1"/>
  <c r="P482" i="16"/>
  <c r="Q482" i="16" s="1"/>
  <c r="O481" i="16"/>
  <c r="N481" i="16"/>
  <c r="M481" i="16"/>
  <c r="L481" i="16"/>
  <c r="J481" i="16"/>
  <c r="I481" i="16"/>
  <c r="G481" i="16"/>
  <c r="P481" i="16" s="1"/>
  <c r="Q481" i="16" s="1"/>
  <c r="P480" i="16"/>
  <c r="Q480" i="16" s="1"/>
  <c r="O480" i="16"/>
  <c r="N480" i="16"/>
  <c r="N479" i="16" s="1"/>
  <c r="M480" i="16"/>
  <c r="P479" i="16"/>
  <c r="O479" i="16"/>
  <c r="M479" i="16"/>
  <c r="L479" i="16"/>
  <c r="J479" i="16"/>
  <c r="I479" i="16"/>
  <c r="G479" i="16"/>
  <c r="P478" i="16"/>
  <c r="N478" i="16"/>
  <c r="M478" i="16"/>
  <c r="I478" i="16"/>
  <c r="N477" i="16"/>
  <c r="L477" i="16"/>
  <c r="J477" i="16"/>
  <c r="J476" i="16" s="1"/>
  <c r="J475" i="16" s="1"/>
  <c r="I477" i="16"/>
  <c r="H477" i="16"/>
  <c r="G477" i="16"/>
  <c r="L476" i="16"/>
  <c r="L475" i="16" s="1"/>
  <c r="K476" i="16"/>
  <c r="H476" i="16"/>
  <c r="H475" i="16" s="1"/>
  <c r="K475" i="16"/>
  <c r="K474" i="16"/>
  <c r="K473" i="16" s="1"/>
  <c r="P470" i="16"/>
  <c r="Q470" i="16" s="1"/>
  <c r="O470" i="16"/>
  <c r="O469" i="16" s="1"/>
  <c r="O468" i="16" s="1"/>
  <c r="O467" i="16" s="1"/>
  <c r="O466" i="16" s="1"/>
  <c r="O465" i="16" s="1"/>
  <c r="O464" i="16" s="1"/>
  <c r="N470" i="16"/>
  <c r="N469" i="16" s="1"/>
  <c r="M470" i="16"/>
  <c r="M469" i="16" s="1"/>
  <c r="M468" i="16" s="1"/>
  <c r="M467" i="16" s="1"/>
  <c r="M466" i="16" s="1"/>
  <c r="M465" i="16" s="1"/>
  <c r="M464" i="16" s="1"/>
  <c r="L469" i="16"/>
  <c r="L468" i="16" s="1"/>
  <c r="L467" i="16" s="1"/>
  <c r="L466" i="16" s="1"/>
  <c r="L465" i="16" s="1"/>
  <c r="L464" i="16" s="1"/>
  <c r="J469" i="16"/>
  <c r="J468" i="16" s="1"/>
  <c r="J467" i="16" s="1"/>
  <c r="J466" i="16" s="1"/>
  <c r="J465" i="16" s="1"/>
  <c r="J464" i="16" s="1"/>
  <c r="I469" i="16"/>
  <c r="I468" i="16" s="1"/>
  <c r="I467" i="16" s="1"/>
  <c r="H469" i="16"/>
  <c r="H468" i="16" s="1"/>
  <c r="H467" i="16" s="1"/>
  <c r="H466" i="16" s="1"/>
  <c r="H465" i="16" s="1"/>
  <c r="H464" i="16" s="1"/>
  <c r="G469" i="16"/>
  <c r="N468" i="16"/>
  <c r="N467" i="16" s="1"/>
  <c r="N466" i="16" s="1"/>
  <c r="N465" i="16" s="1"/>
  <c r="N464" i="16" s="1"/>
  <c r="K468" i="16"/>
  <c r="K467" i="16" s="1"/>
  <c r="K466" i="16" s="1"/>
  <c r="K465" i="16" s="1"/>
  <c r="K464" i="16" s="1"/>
  <c r="K463" i="16" s="1"/>
  <c r="P463" i="16"/>
  <c r="Q463" i="16" s="1"/>
  <c r="O462" i="16"/>
  <c r="O461" i="16" s="1"/>
  <c r="O460" i="16" s="1"/>
  <c r="N462" i="16"/>
  <c r="N461" i="16" s="1"/>
  <c r="N460" i="16" s="1"/>
  <c r="M462" i="16"/>
  <c r="M461" i="16" s="1"/>
  <c r="M460" i="16" s="1"/>
  <c r="L462" i="16"/>
  <c r="L461" i="16" s="1"/>
  <c r="L460" i="16" s="1"/>
  <c r="J462" i="16"/>
  <c r="J461" i="16" s="1"/>
  <c r="J460" i="16" s="1"/>
  <c r="I462" i="16"/>
  <c r="G462" i="16"/>
  <c r="P462" i="16" s="1"/>
  <c r="K461" i="16"/>
  <c r="H461" i="16"/>
  <c r="G461" i="16"/>
  <c r="G460" i="16" s="1"/>
  <c r="K460" i="16"/>
  <c r="P459" i="16"/>
  <c r="Q459" i="16" s="1"/>
  <c r="P458" i="16"/>
  <c r="Q458" i="16" s="1"/>
  <c r="O457" i="16"/>
  <c r="N457" i="16"/>
  <c r="N456" i="16" s="1"/>
  <c r="N455" i="16" s="1"/>
  <c r="M457" i="16"/>
  <c r="M456" i="16" s="1"/>
  <c r="M455" i="16" s="1"/>
  <c r="L457" i="16"/>
  <c r="J457" i="16"/>
  <c r="I457" i="16"/>
  <c r="G457" i="16"/>
  <c r="P457" i="16" s="1"/>
  <c r="O456" i="16"/>
  <c r="O455" i="16" s="1"/>
  <c r="O454" i="16" s="1"/>
  <c r="O453" i="16" s="1"/>
  <c r="L456" i="16"/>
  <c r="L455" i="16" s="1"/>
  <c r="K456" i="16"/>
  <c r="K455" i="16" s="1"/>
  <c r="K454" i="16" s="1"/>
  <c r="K453" i="16" s="1"/>
  <c r="J456" i="16"/>
  <c r="H456" i="16"/>
  <c r="G456" i="16"/>
  <c r="P456" i="16" s="1"/>
  <c r="J455" i="16"/>
  <c r="H455" i="16"/>
  <c r="H454" i="16" s="1"/>
  <c r="H453" i="16" s="1"/>
  <c r="P452" i="16"/>
  <c r="Q452" i="16" s="1"/>
  <c r="O451" i="16"/>
  <c r="O450" i="16" s="1"/>
  <c r="O449" i="16" s="1"/>
  <c r="O448" i="16" s="1"/>
  <c r="O447" i="16" s="1"/>
  <c r="N451" i="16"/>
  <c r="N450" i="16" s="1"/>
  <c r="N449" i="16" s="1"/>
  <c r="N448" i="16" s="1"/>
  <c r="N447" i="16" s="1"/>
  <c r="M451" i="16"/>
  <c r="M450" i="16" s="1"/>
  <c r="M449" i="16" s="1"/>
  <c r="M448" i="16" s="1"/>
  <c r="M447" i="16" s="1"/>
  <c r="L451" i="16"/>
  <c r="L450" i="16" s="1"/>
  <c r="L449" i="16" s="1"/>
  <c r="L448" i="16" s="1"/>
  <c r="L447" i="16" s="1"/>
  <c r="J451" i="16"/>
  <c r="I451" i="16"/>
  <c r="G451" i="16"/>
  <c r="P451" i="16" s="1"/>
  <c r="Q451" i="16" s="1"/>
  <c r="K450" i="16"/>
  <c r="J450" i="16"/>
  <c r="J449" i="16" s="1"/>
  <c r="J448" i="16" s="1"/>
  <c r="J447" i="16" s="1"/>
  <c r="I450" i="16"/>
  <c r="I449" i="16" s="1"/>
  <c r="H450" i="16"/>
  <c r="H449" i="16" s="1"/>
  <c r="H448" i="16" s="1"/>
  <c r="H447" i="16" s="1"/>
  <c r="K449" i="16"/>
  <c r="K448" i="16"/>
  <c r="K447" i="16"/>
  <c r="P446" i="16"/>
  <c r="N446" i="16"/>
  <c r="N445" i="16" s="1"/>
  <c r="N444" i="16" s="1"/>
  <c r="N443" i="16" s="1"/>
  <c r="N442" i="16" s="1"/>
  <c r="N441" i="16" s="1"/>
  <c r="M446" i="16"/>
  <c r="M445" i="16" s="1"/>
  <c r="M444" i="16" s="1"/>
  <c r="M443" i="16" s="1"/>
  <c r="M442" i="16" s="1"/>
  <c r="M441" i="16" s="1"/>
  <c r="L446" i="16"/>
  <c r="I446" i="16"/>
  <c r="O446" i="16" s="1"/>
  <c r="O445" i="16" s="1"/>
  <c r="O444" i="16" s="1"/>
  <c r="O443" i="16" s="1"/>
  <c r="O442" i="16" s="1"/>
  <c r="O441" i="16" s="1"/>
  <c r="L445" i="16"/>
  <c r="L444" i="16" s="1"/>
  <c r="L443" i="16" s="1"/>
  <c r="L442" i="16" s="1"/>
  <c r="L441" i="16" s="1"/>
  <c r="K445" i="16"/>
  <c r="J445" i="16"/>
  <c r="J444" i="16" s="1"/>
  <c r="J443" i="16" s="1"/>
  <c r="J442" i="16" s="1"/>
  <c r="J441" i="16" s="1"/>
  <c r="H445" i="16"/>
  <c r="G445" i="16"/>
  <c r="G444" i="16" s="1"/>
  <c r="G443" i="16" s="1"/>
  <c r="K444" i="16"/>
  <c r="H444" i="16"/>
  <c r="K443" i="16"/>
  <c r="K442" i="16" s="1"/>
  <c r="K441" i="16" s="1"/>
  <c r="K428" i="16" s="1"/>
  <c r="P440" i="16"/>
  <c r="N440" i="16"/>
  <c r="O440" i="16" s="1"/>
  <c r="O439" i="16" s="1"/>
  <c r="O438" i="16" s="1"/>
  <c r="O437" i="16" s="1"/>
  <c r="O436" i="16" s="1"/>
  <c r="O435" i="16" s="1"/>
  <c r="M440" i="16"/>
  <c r="I440" i="16"/>
  <c r="M439" i="16"/>
  <c r="M438" i="16" s="1"/>
  <c r="M437" i="16" s="1"/>
  <c r="M436" i="16" s="1"/>
  <c r="M435" i="16" s="1"/>
  <c r="L439" i="16"/>
  <c r="L438" i="16" s="1"/>
  <c r="L437" i="16" s="1"/>
  <c r="L436" i="16" s="1"/>
  <c r="L435" i="16" s="1"/>
  <c r="J439" i="16"/>
  <c r="J438" i="16" s="1"/>
  <c r="J437" i="16" s="1"/>
  <c r="J436" i="16" s="1"/>
  <c r="J435" i="16" s="1"/>
  <c r="G439" i="16"/>
  <c r="P439" i="16" s="1"/>
  <c r="K438" i="16"/>
  <c r="K437" i="16" s="1"/>
  <c r="K436" i="16" s="1"/>
  <c r="K435" i="16" s="1"/>
  <c r="H438" i="16"/>
  <c r="H437" i="16" s="1"/>
  <c r="H436" i="16" s="1"/>
  <c r="H435" i="16" s="1"/>
  <c r="G438" i="16"/>
  <c r="P434" i="16"/>
  <c r="N434" i="16"/>
  <c r="N433" i="16" s="1"/>
  <c r="M434" i="16"/>
  <c r="M433" i="16" s="1"/>
  <c r="M432" i="16" s="1"/>
  <c r="M431" i="16" s="1"/>
  <c r="M430" i="16" s="1"/>
  <c r="M429" i="16" s="1"/>
  <c r="I434" i="16"/>
  <c r="L433" i="16"/>
  <c r="L432" i="16" s="1"/>
  <c r="L431" i="16" s="1"/>
  <c r="L430" i="16" s="1"/>
  <c r="L429" i="16" s="1"/>
  <c r="J433" i="16"/>
  <c r="J432" i="16" s="1"/>
  <c r="J431" i="16" s="1"/>
  <c r="J430" i="16" s="1"/>
  <c r="J429" i="16" s="1"/>
  <c r="I433" i="16"/>
  <c r="I432" i="16" s="1"/>
  <c r="I431" i="16" s="1"/>
  <c r="I430" i="16" s="1"/>
  <c r="H433" i="16"/>
  <c r="H432" i="16" s="1"/>
  <c r="H431" i="16" s="1"/>
  <c r="H430" i="16" s="1"/>
  <c r="H429" i="16" s="1"/>
  <c r="G433" i="16"/>
  <c r="P433" i="16" s="1"/>
  <c r="N432" i="16"/>
  <c r="N431" i="16" s="1"/>
  <c r="N430" i="16" s="1"/>
  <c r="N429" i="16" s="1"/>
  <c r="K432" i="16"/>
  <c r="K431" i="16" s="1"/>
  <c r="K430" i="16" s="1"/>
  <c r="G432" i="16"/>
  <c r="K429" i="16"/>
  <c r="P427" i="16"/>
  <c r="Q427" i="16" s="1"/>
  <c r="O426" i="16"/>
  <c r="O425" i="16" s="1"/>
  <c r="O424" i="16" s="1"/>
  <c r="O423" i="16" s="1"/>
  <c r="N426" i="16"/>
  <c r="N425" i="16" s="1"/>
  <c r="N424" i="16" s="1"/>
  <c r="N423" i="16" s="1"/>
  <c r="M426" i="16"/>
  <c r="M425" i="16" s="1"/>
  <c r="M424" i="16" s="1"/>
  <c r="M423" i="16" s="1"/>
  <c r="L426" i="16"/>
  <c r="L425" i="16" s="1"/>
  <c r="L424" i="16" s="1"/>
  <c r="L423" i="16" s="1"/>
  <c r="J426" i="16"/>
  <c r="J425" i="16" s="1"/>
  <c r="J424" i="16" s="1"/>
  <c r="J423" i="16" s="1"/>
  <c r="I426" i="16"/>
  <c r="G426" i="16"/>
  <c r="G425" i="16" s="1"/>
  <c r="K425" i="16"/>
  <c r="K424" i="16" s="1"/>
  <c r="K423" i="16" s="1"/>
  <c r="I425" i="16"/>
  <c r="I424" i="16" s="1"/>
  <c r="I423" i="16" s="1"/>
  <c r="H425" i="16"/>
  <c r="H424" i="16" s="1"/>
  <c r="H423" i="16" s="1"/>
  <c r="P422" i="16"/>
  <c r="Q422" i="16" s="1"/>
  <c r="O422" i="16"/>
  <c r="N422" i="16"/>
  <c r="M422" i="16"/>
  <c r="L422" i="16"/>
  <c r="P421" i="16"/>
  <c r="Q421" i="16" s="1"/>
  <c r="N421" i="16"/>
  <c r="M421" i="16"/>
  <c r="L421" i="16"/>
  <c r="O421" i="16" s="1"/>
  <c r="P420" i="16"/>
  <c r="O420" i="16"/>
  <c r="O419" i="16" s="1"/>
  <c r="N420" i="16"/>
  <c r="N419" i="16" s="1"/>
  <c r="M420" i="16"/>
  <c r="I420" i="16"/>
  <c r="M419" i="16"/>
  <c r="L419" i="16"/>
  <c r="J419" i="16"/>
  <c r="I419" i="16"/>
  <c r="G419" i="16"/>
  <c r="P419" i="16" s="1"/>
  <c r="Q419" i="16" s="1"/>
  <c r="P418" i="16"/>
  <c r="Q418" i="16" s="1"/>
  <c r="P417" i="16"/>
  <c r="N417" i="16"/>
  <c r="M417" i="16"/>
  <c r="L417" i="16"/>
  <c r="L415" i="16" s="1"/>
  <c r="L414" i="16" s="1"/>
  <c r="I417" i="16"/>
  <c r="Q417" i="16" s="1"/>
  <c r="P416" i="16"/>
  <c r="O416" i="16"/>
  <c r="N416" i="16"/>
  <c r="M416" i="16"/>
  <c r="I416" i="16"/>
  <c r="Q416" i="16" s="1"/>
  <c r="M415" i="16"/>
  <c r="K415" i="16"/>
  <c r="J415" i="16"/>
  <c r="J414" i="16" s="1"/>
  <c r="H415" i="16"/>
  <c r="P415" i="16" s="1"/>
  <c r="G415" i="16"/>
  <c r="K414" i="16"/>
  <c r="H414" i="16"/>
  <c r="G414" i="16"/>
  <c r="M413" i="16"/>
  <c r="M412" i="16" s="1"/>
  <c r="P413" i="16"/>
  <c r="L412" i="16"/>
  <c r="J412" i="16"/>
  <c r="G412" i="16"/>
  <c r="P411" i="16"/>
  <c r="O411" i="16"/>
  <c r="N411" i="16"/>
  <c r="M411" i="16"/>
  <c r="L411" i="16"/>
  <c r="I411" i="16"/>
  <c r="P410" i="16"/>
  <c r="O410" i="16"/>
  <c r="O409" i="16" s="1"/>
  <c r="N410" i="16"/>
  <c r="M410" i="16"/>
  <c r="L410" i="16"/>
  <c r="L409" i="16" s="1"/>
  <c r="L408" i="16" s="1"/>
  <c r="L407" i="16" s="1"/>
  <c r="I410" i="16"/>
  <c r="M409" i="16"/>
  <c r="K409" i="16"/>
  <c r="K408" i="16" s="1"/>
  <c r="K407" i="16" s="1"/>
  <c r="K406" i="16" s="1"/>
  <c r="K405" i="16" s="1"/>
  <c r="J409" i="16"/>
  <c r="J408" i="16" s="1"/>
  <c r="J407" i="16" s="1"/>
  <c r="H409" i="16"/>
  <c r="N409" i="16" s="1"/>
  <c r="G409" i="16"/>
  <c r="P409" i="16" s="1"/>
  <c r="P404" i="16"/>
  <c r="Q404" i="16" s="1"/>
  <c r="N404" i="16"/>
  <c r="M404" i="16"/>
  <c r="I404" i="16"/>
  <c r="O404" i="16" s="1"/>
  <c r="H403" i="16"/>
  <c r="N403" i="16" s="1"/>
  <c r="G403" i="16"/>
  <c r="M403" i="16" s="1"/>
  <c r="P402" i="16"/>
  <c r="O402" i="16"/>
  <c r="N402" i="16"/>
  <c r="M402" i="16"/>
  <c r="I402" i="16"/>
  <c r="Q402" i="16" s="1"/>
  <c r="P401" i="16"/>
  <c r="Q401" i="16" s="1"/>
  <c r="N401" i="16"/>
  <c r="M401" i="16"/>
  <c r="I401" i="16"/>
  <c r="O401" i="16" s="1"/>
  <c r="G401" i="16"/>
  <c r="P400" i="16"/>
  <c r="O400" i="16"/>
  <c r="O399" i="16" s="1"/>
  <c r="N400" i="16"/>
  <c r="M400" i="16"/>
  <c r="I400" i="16"/>
  <c r="Q400" i="16" s="1"/>
  <c r="N399" i="16"/>
  <c r="M399" i="16"/>
  <c r="L399" i="16"/>
  <c r="L398" i="16" s="1"/>
  <c r="J399" i="16"/>
  <c r="J398" i="16" s="1"/>
  <c r="I399" i="16"/>
  <c r="H399" i="16"/>
  <c r="H398" i="16" s="1"/>
  <c r="G399" i="16"/>
  <c r="G398" i="16" s="1"/>
  <c r="K398" i="16"/>
  <c r="P397" i="16"/>
  <c r="O397" i="16"/>
  <c r="O396" i="16" s="1"/>
  <c r="O395" i="16" s="1"/>
  <c r="N397" i="16"/>
  <c r="N396" i="16" s="1"/>
  <c r="N395" i="16" s="1"/>
  <c r="M397" i="16"/>
  <c r="I397" i="16"/>
  <c r="M396" i="16"/>
  <c r="M395" i="16" s="1"/>
  <c r="L396" i="16"/>
  <c r="L395" i="16" s="1"/>
  <c r="J396" i="16"/>
  <c r="I396" i="16"/>
  <c r="G396" i="16"/>
  <c r="G395" i="16" s="1"/>
  <c r="K395" i="16"/>
  <c r="K394" i="16" s="1"/>
  <c r="K393" i="16" s="1"/>
  <c r="K392" i="16" s="1"/>
  <c r="J395" i="16"/>
  <c r="I395" i="16"/>
  <c r="H395" i="16"/>
  <c r="P391" i="16"/>
  <c r="Q391" i="16" s="1"/>
  <c r="P390" i="16"/>
  <c r="N390" i="16"/>
  <c r="M390" i="16"/>
  <c r="I390" i="16"/>
  <c r="N389" i="16"/>
  <c r="M389" i="16"/>
  <c r="I389" i="16"/>
  <c r="O389" i="16" s="1"/>
  <c r="H389" i="16"/>
  <c r="P389" i="16" s="1"/>
  <c r="P388" i="16"/>
  <c r="N388" i="16"/>
  <c r="M388" i="16"/>
  <c r="I388" i="16"/>
  <c r="O388" i="16" s="1"/>
  <c r="H388" i="16"/>
  <c r="I387" i="16"/>
  <c r="O387" i="16" s="1"/>
  <c r="H387" i="16"/>
  <c r="N387" i="16" s="1"/>
  <c r="P386" i="16"/>
  <c r="Q386" i="16" s="1"/>
  <c r="O386" i="16"/>
  <c r="N386" i="16"/>
  <c r="M386" i="16"/>
  <c r="I386" i="16"/>
  <c r="P385" i="16"/>
  <c r="N385" i="16"/>
  <c r="M385" i="16"/>
  <c r="I385" i="16"/>
  <c r="P384" i="16"/>
  <c r="Q384" i="16" s="1"/>
  <c r="O384" i="16"/>
  <c r="N384" i="16"/>
  <c r="M384" i="16"/>
  <c r="I384" i="16"/>
  <c r="P383" i="16"/>
  <c r="N383" i="16"/>
  <c r="N382" i="16" s="1"/>
  <c r="M383" i="16"/>
  <c r="M382" i="16" s="1"/>
  <c r="M381" i="16" s="1"/>
  <c r="M380" i="16" s="1"/>
  <c r="I383" i="16"/>
  <c r="I382" i="16" s="1"/>
  <c r="L382" i="16"/>
  <c r="J382" i="16"/>
  <c r="J381" i="16" s="1"/>
  <c r="J380" i="16" s="1"/>
  <c r="H382" i="16"/>
  <c r="G382" i="16"/>
  <c r="P382" i="16" s="1"/>
  <c r="L381" i="16"/>
  <c r="L380" i="16" s="1"/>
  <c r="K381" i="16"/>
  <c r="H381" i="16"/>
  <c r="H380" i="16" s="1"/>
  <c r="G381" i="16"/>
  <c r="K380" i="16"/>
  <c r="G380" i="16"/>
  <c r="P380" i="16" s="1"/>
  <c r="P379" i="16"/>
  <c r="Q379" i="16" s="1"/>
  <c r="O379" i="16"/>
  <c r="N379" i="16"/>
  <c r="M379" i="16"/>
  <c r="L379" i="16"/>
  <c r="P378" i="16"/>
  <c r="Q378" i="16" s="1"/>
  <c r="O378" i="16"/>
  <c r="M378" i="16"/>
  <c r="L378" i="16"/>
  <c r="K378" i="16"/>
  <c r="P377" i="16"/>
  <c r="Q377" i="16" s="1"/>
  <c r="P376" i="16"/>
  <c r="Q376" i="16" s="1"/>
  <c r="O376" i="16"/>
  <c r="N376" i="16"/>
  <c r="M376" i="16"/>
  <c r="L376" i="16"/>
  <c r="L375" i="16" s="1"/>
  <c r="O375" i="16" s="1"/>
  <c r="J376" i="16"/>
  <c r="I376" i="16"/>
  <c r="G376" i="16"/>
  <c r="G375" i="16" s="1"/>
  <c r="J375" i="16"/>
  <c r="J374" i="16" s="1"/>
  <c r="J373" i="16" s="1"/>
  <c r="I375" i="16"/>
  <c r="I374" i="16" s="1"/>
  <c r="I373" i="16" s="1"/>
  <c r="H375" i="16"/>
  <c r="H374" i="16" s="1"/>
  <c r="P372" i="16"/>
  <c r="Q372" i="16" s="1"/>
  <c r="N372" i="16"/>
  <c r="M372" i="16"/>
  <c r="I372" i="16"/>
  <c r="O372" i="16" s="1"/>
  <c r="P371" i="16"/>
  <c r="O371" i="16"/>
  <c r="J371" i="16"/>
  <c r="I371" i="16"/>
  <c r="H371" i="16"/>
  <c r="N371" i="16" s="1"/>
  <c r="G371" i="16"/>
  <c r="P370" i="16"/>
  <c r="Q370" i="16" s="1"/>
  <c r="N370" i="16"/>
  <c r="M370" i="16"/>
  <c r="M369" i="16" s="1"/>
  <c r="L370" i="16"/>
  <c r="O370" i="16" s="1"/>
  <c r="O369" i="16" s="1"/>
  <c r="O368" i="16" s="1"/>
  <c r="O367" i="16" s="1"/>
  <c r="O366" i="16" s="1"/>
  <c r="I370" i="16"/>
  <c r="N369" i="16"/>
  <c r="J369" i="16"/>
  <c r="J368" i="16" s="1"/>
  <c r="J367" i="16" s="1"/>
  <c r="J366" i="16" s="1"/>
  <c r="I369" i="16"/>
  <c r="I368" i="16" s="1"/>
  <c r="I367" i="16" s="1"/>
  <c r="I366" i="16" s="1"/>
  <c r="H369" i="16"/>
  <c r="H368" i="16" s="1"/>
  <c r="H367" i="16" s="1"/>
  <c r="H366" i="16" s="1"/>
  <c r="G369" i="16"/>
  <c r="G368" i="16" s="1"/>
  <c r="K368" i="16"/>
  <c r="K367" i="16"/>
  <c r="K366" i="16" s="1"/>
  <c r="P365" i="16"/>
  <c r="N365" i="16"/>
  <c r="M365" i="16"/>
  <c r="I365" i="16"/>
  <c r="O365" i="16" s="1"/>
  <c r="P364" i="16"/>
  <c r="N364" i="16"/>
  <c r="I364" i="16"/>
  <c r="I362" i="16" s="1"/>
  <c r="H364" i="16"/>
  <c r="H362" i="16" s="1"/>
  <c r="G364" i="16"/>
  <c r="M364" i="16" s="1"/>
  <c r="P363" i="16"/>
  <c r="Q363" i="16" s="1"/>
  <c r="G362" i="16"/>
  <c r="P362" i="16" s="1"/>
  <c r="G361" i="16"/>
  <c r="M360" i="16"/>
  <c r="L360" i="16"/>
  <c r="I360" i="16"/>
  <c r="O360" i="16" s="1"/>
  <c r="H360" i="16"/>
  <c r="P360" i="16" s="1"/>
  <c r="L359" i="16"/>
  <c r="K359" i="16"/>
  <c r="J359" i="16"/>
  <c r="I359" i="16"/>
  <c r="O359" i="16" s="1"/>
  <c r="G359" i="16"/>
  <c r="M359" i="16" s="1"/>
  <c r="P358" i="16"/>
  <c r="Q358" i="16" s="1"/>
  <c r="N358" i="16"/>
  <c r="M358" i="16"/>
  <c r="L358" i="16"/>
  <c r="I358" i="16"/>
  <c r="O358" i="16" s="1"/>
  <c r="P357" i="16"/>
  <c r="N357" i="16"/>
  <c r="M357" i="16"/>
  <c r="L357" i="16"/>
  <c r="I357" i="16"/>
  <c r="P356" i="16"/>
  <c r="Q356" i="16" s="1"/>
  <c r="O356" i="16"/>
  <c r="N356" i="16"/>
  <c r="M356" i="16"/>
  <c r="I356" i="16"/>
  <c r="M355" i="16"/>
  <c r="L355" i="16"/>
  <c r="I355" i="16"/>
  <c r="O355" i="16" s="1"/>
  <c r="H355" i="16"/>
  <c r="N355" i="16" s="1"/>
  <c r="P354" i="16"/>
  <c r="Q354" i="16" s="1"/>
  <c r="N354" i="16"/>
  <c r="L354" i="16"/>
  <c r="O354" i="16" s="1"/>
  <c r="P353" i="16"/>
  <c r="Q353" i="16" s="1"/>
  <c r="N353" i="16"/>
  <c r="L353" i="16"/>
  <c r="O353" i="16" s="1"/>
  <c r="P352" i="16"/>
  <c r="Q352" i="16" s="1"/>
  <c r="O352" i="16"/>
  <c r="N352" i="16"/>
  <c r="L352" i="16"/>
  <c r="P351" i="16"/>
  <c r="Q351" i="16" s="1"/>
  <c r="O351" i="16"/>
  <c r="N351" i="16"/>
  <c r="L351" i="16"/>
  <c r="P350" i="16"/>
  <c r="N350" i="16"/>
  <c r="M350" i="16"/>
  <c r="M349" i="16" s="1"/>
  <c r="L350" i="16"/>
  <c r="I350" i="16"/>
  <c r="O350" i="16" s="1"/>
  <c r="N349" i="16"/>
  <c r="L349" i="16"/>
  <c r="K349" i="16"/>
  <c r="J349" i="16"/>
  <c r="H349" i="16"/>
  <c r="G349" i="16"/>
  <c r="M348" i="16"/>
  <c r="M347" i="16" s="1"/>
  <c r="P348" i="16"/>
  <c r="L347" i="16"/>
  <c r="J347" i="16"/>
  <c r="G347" i="16"/>
  <c r="P346" i="16"/>
  <c r="N346" i="16"/>
  <c r="N345" i="16" s="1"/>
  <c r="M346" i="16"/>
  <c r="L346" i="16"/>
  <c r="L345" i="16" s="1"/>
  <c r="L334" i="16" s="1"/>
  <c r="L333" i="16" s="1"/>
  <c r="L332" i="16" s="1"/>
  <c r="I346" i="16"/>
  <c r="Q346" i="16" s="1"/>
  <c r="M345" i="16"/>
  <c r="K345" i="16"/>
  <c r="K334" i="16" s="1"/>
  <c r="K333" i="16" s="1"/>
  <c r="K332" i="16" s="1"/>
  <c r="J345" i="16"/>
  <c r="I345" i="16"/>
  <c r="H345" i="16"/>
  <c r="P345" i="16" s="1"/>
  <c r="P344" i="16"/>
  <c r="Q344" i="16" s="1"/>
  <c r="O344" i="16"/>
  <c r="N344" i="16"/>
  <c r="M344" i="16"/>
  <c r="I344" i="16"/>
  <c r="P343" i="16"/>
  <c r="Q343" i="16" s="1"/>
  <c r="O343" i="16"/>
  <c r="N343" i="16"/>
  <c r="M343" i="16"/>
  <c r="I343" i="16"/>
  <c r="P342" i="16"/>
  <c r="N342" i="16"/>
  <c r="N341" i="16" s="1"/>
  <c r="M342" i="16"/>
  <c r="M341" i="16" s="1"/>
  <c r="I342" i="16"/>
  <c r="L341" i="16"/>
  <c r="J341" i="16"/>
  <c r="I341" i="16"/>
  <c r="H341" i="16"/>
  <c r="G341" i="16"/>
  <c r="P340" i="16"/>
  <c r="N340" i="16"/>
  <c r="N339" i="16" s="1"/>
  <c r="M340" i="16"/>
  <c r="M339" i="16" s="1"/>
  <c r="I340" i="16"/>
  <c r="O340" i="16" s="1"/>
  <c r="O339" i="16" s="1"/>
  <c r="L339" i="16"/>
  <c r="J339" i="16"/>
  <c r="H339" i="16"/>
  <c r="G339" i="16"/>
  <c r="P338" i="16"/>
  <c r="N338" i="16"/>
  <c r="M338" i="16"/>
  <c r="M337" i="16" s="1"/>
  <c r="L338" i="16"/>
  <c r="I338" i="16"/>
  <c r="O338" i="16" s="1"/>
  <c r="O337" i="16" s="1"/>
  <c r="N337" i="16"/>
  <c r="L337" i="16"/>
  <c r="K337" i="16"/>
  <c r="J337" i="16"/>
  <c r="H337" i="16"/>
  <c r="P337" i="16" s="1"/>
  <c r="G337" i="16"/>
  <c r="M336" i="16"/>
  <c r="M335" i="16" s="1"/>
  <c r="P336" i="16"/>
  <c r="L335" i="16"/>
  <c r="J335" i="16"/>
  <c r="G335" i="16"/>
  <c r="J334" i="16"/>
  <c r="J333" i="16" s="1"/>
  <c r="J332" i="16" s="1"/>
  <c r="P330" i="16"/>
  <c r="Q330" i="16" s="1"/>
  <c r="O330" i="16"/>
  <c r="P329" i="16"/>
  <c r="Q329" i="16" s="1"/>
  <c r="O329" i="16"/>
  <c r="P328" i="16"/>
  <c r="Q328" i="16" s="1"/>
  <c r="O328" i="16"/>
  <c r="N328" i="16"/>
  <c r="M328" i="16"/>
  <c r="P327" i="16"/>
  <c r="N327" i="16"/>
  <c r="M327" i="16"/>
  <c r="L327" i="16"/>
  <c r="I327" i="16"/>
  <c r="O327" i="16" s="1"/>
  <c r="L326" i="16"/>
  <c r="H326" i="16"/>
  <c r="H325" i="16" s="1"/>
  <c r="H324" i="16" s="1"/>
  <c r="G326" i="16"/>
  <c r="K325" i="16"/>
  <c r="J325" i="16"/>
  <c r="G325" i="16"/>
  <c r="J324" i="16"/>
  <c r="P323" i="16"/>
  <c r="Q323" i="16" s="1"/>
  <c r="O323" i="16"/>
  <c r="N323" i="16"/>
  <c r="M323" i="16"/>
  <c r="I323" i="16"/>
  <c r="I322" i="16"/>
  <c r="H322" i="16"/>
  <c r="P322" i="16" s="1"/>
  <c r="M321" i="16"/>
  <c r="M320" i="16" s="1"/>
  <c r="M319" i="16" s="1"/>
  <c r="H321" i="16"/>
  <c r="G321" i="16"/>
  <c r="P321" i="16" s="1"/>
  <c r="L320" i="16"/>
  <c r="L319" i="16" s="1"/>
  <c r="K320" i="16"/>
  <c r="K319" i="16" s="1"/>
  <c r="J320" i="16"/>
  <c r="J319" i="16" s="1"/>
  <c r="G320" i="16"/>
  <c r="P318" i="16"/>
  <c r="N318" i="16"/>
  <c r="M318" i="16"/>
  <c r="M317" i="16" s="1"/>
  <c r="L318" i="16"/>
  <c r="O318" i="16"/>
  <c r="O317" i="16" s="1"/>
  <c r="N317" i="16"/>
  <c r="L317" i="16"/>
  <c r="L313" i="16" s="1"/>
  <c r="L312" i="16" s="1"/>
  <c r="J317" i="16"/>
  <c r="H317" i="16"/>
  <c r="G317" i="16"/>
  <c r="P316" i="16"/>
  <c r="N316" i="16"/>
  <c r="O316" i="16" s="1"/>
  <c r="M316" i="16"/>
  <c r="I316" i="16"/>
  <c r="P315" i="16"/>
  <c r="N315" i="16"/>
  <c r="N314" i="16" s="1"/>
  <c r="M315" i="16"/>
  <c r="K315" i="16"/>
  <c r="I315" i="16"/>
  <c r="O315" i="16" s="1"/>
  <c r="M314" i="16"/>
  <c r="L314" i="16"/>
  <c r="J314" i="16"/>
  <c r="H314" i="16"/>
  <c r="G314" i="16"/>
  <c r="K313" i="16"/>
  <c r="K312" i="16" s="1"/>
  <c r="P308" i="16"/>
  <c r="N308" i="16"/>
  <c r="M308" i="16"/>
  <c r="I308" i="16"/>
  <c r="H307" i="16"/>
  <c r="N307" i="16" s="1"/>
  <c r="G307" i="16"/>
  <c r="L301" i="16"/>
  <c r="K301" i="16"/>
  <c r="J302" i="16"/>
  <c r="J301" i="16" s="1"/>
  <c r="P300" i="16"/>
  <c r="Q300" i="16" s="1"/>
  <c r="N300" i="16"/>
  <c r="M300" i="16"/>
  <c r="M299" i="16" s="1"/>
  <c r="L300" i="16"/>
  <c r="I300" i="16"/>
  <c r="O300" i="16" s="1"/>
  <c r="O299" i="16" s="1"/>
  <c r="P299" i="16"/>
  <c r="N299" i="16"/>
  <c r="L299" i="16"/>
  <c r="J299" i="16"/>
  <c r="I299" i="16"/>
  <c r="G299" i="16"/>
  <c r="P298" i="16"/>
  <c r="Q298" i="16" s="1"/>
  <c r="O298" i="16"/>
  <c r="O297" i="16" s="1"/>
  <c r="N298" i="16"/>
  <c r="L298" i="16"/>
  <c r="J298" i="16"/>
  <c r="M298" i="16" s="1"/>
  <c r="M297" i="16" s="1"/>
  <c r="I298" i="16"/>
  <c r="N297" i="16"/>
  <c r="L297" i="16"/>
  <c r="I297" i="16"/>
  <c r="H297" i="16"/>
  <c r="G297" i="16"/>
  <c r="P297" i="16" s="1"/>
  <c r="Q297" i="16" s="1"/>
  <c r="J295" i="16"/>
  <c r="H295" i="16"/>
  <c r="G295" i="16"/>
  <c r="P294" i="16"/>
  <c r="Q294" i="16" s="1"/>
  <c r="O294" i="16"/>
  <c r="N294" i="16"/>
  <c r="M294" i="16"/>
  <c r="I294" i="16"/>
  <c r="P293" i="16"/>
  <c r="N293" i="16"/>
  <c r="M292" i="16"/>
  <c r="L293" i="16"/>
  <c r="I293" i="16"/>
  <c r="I292" i="16" s="1"/>
  <c r="N292" i="16"/>
  <c r="L292" i="16"/>
  <c r="K292" i="16"/>
  <c r="J292" i="16"/>
  <c r="H292" i="16"/>
  <c r="H291" i="16" s="1"/>
  <c r="H290" i="16" s="1"/>
  <c r="G292" i="16"/>
  <c r="P287" i="16"/>
  <c r="N287" i="16"/>
  <c r="M287" i="16"/>
  <c r="M286" i="16" s="1"/>
  <c r="I287" i="16"/>
  <c r="N286" i="16"/>
  <c r="L286" i="16"/>
  <c r="J286" i="16"/>
  <c r="I286" i="16"/>
  <c r="H286" i="16"/>
  <c r="H283" i="16" s="1"/>
  <c r="H282" i="16" s="1"/>
  <c r="H277" i="16" s="1"/>
  <c r="G286" i="16"/>
  <c r="P285" i="16"/>
  <c r="N285" i="16"/>
  <c r="N284" i="16" s="1"/>
  <c r="I285" i="16"/>
  <c r="O285" i="16" s="1"/>
  <c r="O284" i="16" s="1"/>
  <c r="M284" i="16"/>
  <c r="L284" i="16"/>
  <c r="J284" i="16"/>
  <c r="H284" i="16"/>
  <c r="G284" i="16"/>
  <c r="G283" i="16" s="1"/>
  <c r="L283" i="16"/>
  <c r="L282" i="16" s="1"/>
  <c r="L277" i="16" s="1"/>
  <c r="L262" i="16" s="1"/>
  <c r="K283" i="16"/>
  <c r="J283" i="16"/>
  <c r="J282" i="16" s="1"/>
  <c r="J277" i="16" s="1"/>
  <c r="J262" i="16" s="1"/>
  <c r="K282" i="16"/>
  <c r="G282" i="16"/>
  <c r="P281" i="16"/>
  <c r="N281" i="16"/>
  <c r="I281" i="16"/>
  <c r="O280" i="16"/>
  <c r="I280" i="16"/>
  <c r="H280" i="16"/>
  <c r="N280" i="16" s="1"/>
  <c r="O279" i="16"/>
  <c r="I279" i="16"/>
  <c r="H279" i="16"/>
  <c r="P279" i="16" s="1"/>
  <c r="O278" i="16"/>
  <c r="I278" i="16"/>
  <c r="H278" i="16"/>
  <c r="N278" i="16" s="1"/>
  <c r="K277" i="16"/>
  <c r="K262" i="16" s="1"/>
  <c r="G277" i="16"/>
  <c r="P276" i="16"/>
  <c r="N276" i="16"/>
  <c r="I276" i="16"/>
  <c r="O276" i="16" s="1"/>
  <c r="P275" i="16"/>
  <c r="N275" i="16"/>
  <c r="I275" i="16"/>
  <c r="P274" i="16"/>
  <c r="I274" i="16"/>
  <c r="P273" i="16"/>
  <c r="I273" i="16"/>
  <c r="P272" i="16"/>
  <c r="Q272" i="16" s="1"/>
  <c r="P271" i="16"/>
  <c r="N271" i="16"/>
  <c r="M271" i="16"/>
  <c r="I271" i="16"/>
  <c r="P270" i="16"/>
  <c r="N270" i="16"/>
  <c r="M270" i="16"/>
  <c r="I270" i="16"/>
  <c r="N269" i="16"/>
  <c r="I269" i="16"/>
  <c r="H269" i="16"/>
  <c r="G269" i="16"/>
  <c r="M269" i="16" s="1"/>
  <c r="H268" i="16"/>
  <c r="N268" i="16" s="1"/>
  <c r="P267" i="16"/>
  <c r="Q267" i="16" s="1"/>
  <c r="P266" i="16"/>
  <c r="O266" i="16"/>
  <c r="N266" i="16"/>
  <c r="I266" i="16"/>
  <c r="P265" i="16"/>
  <c r="N265" i="16"/>
  <c r="N263" i="16" s="1"/>
  <c r="I265" i="16"/>
  <c r="P264" i="16"/>
  <c r="N264" i="16"/>
  <c r="I264" i="16"/>
  <c r="O264" i="16" s="1"/>
  <c r="H263" i="16"/>
  <c r="P260" i="16"/>
  <c r="N260" i="16"/>
  <c r="N259" i="16" s="1"/>
  <c r="N258" i="16" s="1"/>
  <c r="N257" i="16" s="1"/>
  <c r="M260" i="16"/>
  <c r="I260" i="16"/>
  <c r="I259" i="16" s="1"/>
  <c r="I258" i="16" s="1"/>
  <c r="I257" i="16" s="1"/>
  <c r="M259" i="16"/>
  <c r="M258" i="16" s="1"/>
  <c r="M257" i="16" s="1"/>
  <c r="L259" i="16"/>
  <c r="J259" i="16"/>
  <c r="J258" i="16" s="1"/>
  <c r="J257" i="16" s="1"/>
  <c r="H259" i="16"/>
  <c r="H258" i="16" s="1"/>
  <c r="G259" i="16"/>
  <c r="L258" i="16"/>
  <c r="L257" i="16" s="1"/>
  <c r="K258" i="16"/>
  <c r="K257" i="16" s="1"/>
  <c r="G258" i="16"/>
  <c r="H257" i="16"/>
  <c r="P256" i="16"/>
  <c r="O256" i="16"/>
  <c r="N256" i="16"/>
  <c r="I256" i="16"/>
  <c r="P255" i="16"/>
  <c r="O255" i="16"/>
  <c r="N255" i="16"/>
  <c r="I255" i="16"/>
  <c r="P254" i="16"/>
  <c r="Q254" i="16" s="1"/>
  <c r="P253" i="16"/>
  <c r="Q253" i="16" s="1"/>
  <c r="O253" i="16"/>
  <c r="O252" i="16" s="1"/>
  <c r="O251" i="16" s="1"/>
  <c r="O250" i="16" s="1"/>
  <c r="N253" i="16"/>
  <c r="M253" i="16"/>
  <c r="M252" i="16" s="1"/>
  <c r="M251" i="16" s="1"/>
  <c r="M250" i="16" s="1"/>
  <c r="I253" i="16"/>
  <c r="N252" i="16"/>
  <c r="L252" i="16"/>
  <c r="J252" i="16"/>
  <c r="I252" i="16"/>
  <c r="I251" i="16" s="1"/>
  <c r="I250" i="16" s="1"/>
  <c r="G252" i="16"/>
  <c r="L251" i="16"/>
  <c r="L250" i="16" s="1"/>
  <c r="K251" i="16"/>
  <c r="J251" i="16"/>
  <c r="J250" i="16" s="1"/>
  <c r="H251" i="16"/>
  <c r="H250" i="16" s="1"/>
  <c r="K250" i="16"/>
  <c r="P249" i="16"/>
  <c r="Q249" i="16" s="1"/>
  <c r="P248" i="16"/>
  <c r="Q248" i="16" s="1"/>
  <c r="P247" i="16"/>
  <c r="O247" i="16"/>
  <c r="N247" i="16"/>
  <c r="N246" i="16" s="1"/>
  <c r="N245" i="16" s="1"/>
  <c r="M247" i="16"/>
  <c r="L247" i="16"/>
  <c r="L246" i="16" s="1"/>
  <c r="L245" i="16" s="1"/>
  <c r="J247" i="16"/>
  <c r="I247" i="16"/>
  <c r="G247" i="16"/>
  <c r="O246" i="16"/>
  <c r="O245" i="16" s="1"/>
  <c r="M246" i="16"/>
  <c r="M245" i="16" s="1"/>
  <c r="K246" i="16"/>
  <c r="K245" i="16" s="1"/>
  <c r="J246" i="16"/>
  <c r="J245" i="16" s="1"/>
  <c r="H246" i="16"/>
  <c r="G246" i="16"/>
  <c r="H245" i="16"/>
  <c r="K244" i="16"/>
  <c r="P243" i="16"/>
  <c r="N243" i="16"/>
  <c r="M243" i="16"/>
  <c r="I243" i="16"/>
  <c r="N242" i="16"/>
  <c r="M242" i="16"/>
  <c r="H242" i="16"/>
  <c r="G242" i="16"/>
  <c r="P241" i="16"/>
  <c r="Q241" i="16" s="1"/>
  <c r="O241" i="16"/>
  <c r="N241" i="16"/>
  <c r="M241" i="16"/>
  <c r="O240" i="16"/>
  <c r="M240" i="16"/>
  <c r="I240" i="16"/>
  <c r="H240" i="16"/>
  <c r="N240" i="16" s="1"/>
  <c r="G240" i="16"/>
  <c r="P240" i="16" s="1"/>
  <c r="Q240" i="16" s="1"/>
  <c r="H239" i="16"/>
  <c r="L238" i="16"/>
  <c r="K238" i="16"/>
  <c r="J238" i="16"/>
  <c r="H238" i="16"/>
  <c r="P237" i="16"/>
  <c r="Q237" i="16" s="1"/>
  <c r="O237" i="16"/>
  <c r="N237" i="16"/>
  <c r="M237" i="16"/>
  <c r="M236" i="16" s="1"/>
  <c r="M235" i="16" s="1"/>
  <c r="I237" i="16"/>
  <c r="O236" i="16"/>
  <c r="O235" i="16" s="1"/>
  <c r="N236" i="16"/>
  <c r="N235" i="16" s="1"/>
  <c r="L236" i="16"/>
  <c r="L235" i="16" s="1"/>
  <c r="L226" i="16" s="1"/>
  <c r="J236" i="16"/>
  <c r="J235" i="16" s="1"/>
  <c r="J226" i="16" s="1"/>
  <c r="I236" i="16"/>
  <c r="I235" i="16" s="1"/>
  <c r="H236" i="16"/>
  <c r="H235" i="16" s="1"/>
  <c r="G236" i="16"/>
  <c r="P236" i="16" s="1"/>
  <c r="K235" i="16"/>
  <c r="P233" i="16"/>
  <c r="N233" i="16"/>
  <c r="M233" i="16"/>
  <c r="I233" i="16"/>
  <c r="P232" i="16"/>
  <c r="N232" i="16"/>
  <c r="I232" i="16"/>
  <c r="G232" i="16"/>
  <c r="M232" i="16" s="1"/>
  <c r="M231" i="16"/>
  <c r="N231" i="16"/>
  <c r="G231" i="16"/>
  <c r="P230" i="16"/>
  <c r="N230" i="16"/>
  <c r="N228" i="16" s="1"/>
  <c r="N227" i="16" s="1"/>
  <c r="M230" i="16"/>
  <c r="I230" i="16"/>
  <c r="P229" i="16"/>
  <c r="Q229" i="16" s="1"/>
  <c r="N229" i="16"/>
  <c r="M229" i="16"/>
  <c r="O229" i="16" s="1"/>
  <c r="I229" i="16"/>
  <c r="L228" i="16"/>
  <c r="J228" i="16"/>
  <c r="J227" i="16" s="1"/>
  <c r="H228" i="16"/>
  <c r="H227" i="16" s="1"/>
  <c r="G228" i="16"/>
  <c r="L227" i="16"/>
  <c r="K227" i="16"/>
  <c r="K226" i="16" s="1"/>
  <c r="G227" i="16"/>
  <c r="P225" i="16"/>
  <c r="Q225" i="16" s="1"/>
  <c r="N225" i="16"/>
  <c r="M225" i="16"/>
  <c r="M224" i="16" s="1"/>
  <c r="L225" i="16"/>
  <c r="I225" i="16"/>
  <c r="I224" i="16" s="1"/>
  <c r="N224" i="16"/>
  <c r="L224" i="16"/>
  <c r="K224" i="16"/>
  <c r="J224" i="16"/>
  <c r="H224" i="16"/>
  <c r="P224" i="16" s="1"/>
  <c r="G224" i="16"/>
  <c r="P223" i="16"/>
  <c r="N223" i="16"/>
  <c r="M223" i="16"/>
  <c r="L223" i="16"/>
  <c r="I223" i="16"/>
  <c r="P222" i="16"/>
  <c r="N222" i="16"/>
  <c r="M222" i="16"/>
  <c r="L222" i="16"/>
  <c r="O222" i="16" s="1"/>
  <c r="I222" i="16"/>
  <c r="Q222" i="16" s="1"/>
  <c r="P221" i="16"/>
  <c r="Q221" i="16" s="1"/>
  <c r="O221" i="16"/>
  <c r="N221" i="16"/>
  <c r="M221" i="16"/>
  <c r="L221" i="16"/>
  <c r="P220" i="16"/>
  <c r="Q220" i="16" s="1"/>
  <c r="N220" i="16"/>
  <c r="M220" i="16"/>
  <c r="J220" i="16"/>
  <c r="L220" i="16" s="1"/>
  <c r="O220" i="16" s="1"/>
  <c r="I220" i="16"/>
  <c r="P219" i="16"/>
  <c r="Q219" i="16" s="1"/>
  <c r="O219" i="16"/>
  <c r="N219" i="16"/>
  <c r="N218" i="16" s="1"/>
  <c r="M219" i="16"/>
  <c r="I219" i="16"/>
  <c r="O218" i="16"/>
  <c r="M218" i="16"/>
  <c r="I218" i="16"/>
  <c r="H218" i="16"/>
  <c r="P218" i="16" s="1"/>
  <c r="Q218" i="16" s="1"/>
  <c r="L217" i="16"/>
  <c r="L216" i="16" s="1"/>
  <c r="K217" i="16"/>
  <c r="G217" i="16"/>
  <c r="K216" i="16"/>
  <c r="K215" i="16" s="1"/>
  <c r="K214" i="16" s="1"/>
  <c r="G216" i="16"/>
  <c r="P213" i="16"/>
  <c r="N213" i="16"/>
  <c r="N212" i="16" s="1"/>
  <c r="N211" i="16" s="1"/>
  <c r="N210" i="16" s="1"/>
  <c r="N209" i="16" s="1"/>
  <c r="N208" i="16" s="1"/>
  <c r="M213" i="16"/>
  <c r="I213" i="16"/>
  <c r="M212" i="16"/>
  <c r="M211" i="16" s="1"/>
  <c r="M210" i="16" s="1"/>
  <c r="M209" i="16" s="1"/>
  <c r="M208" i="16" s="1"/>
  <c r="L212" i="16"/>
  <c r="L211" i="16" s="1"/>
  <c r="L210" i="16" s="1"/>
  <c r="L209" i="16" s="1"/>
  <c r="L208" i="16" s="1"/>
  <c r="J212" i="16"/>
  <c r="J211" i="16" s="1"/>
  <c r="J210" i="16" s="1"/>
  <c r="J209" i="16" s="1"/>
  <c r="J208" i="16" s="1"/>
  <c r="H212" i="16"/>
  <c r="H211" i="16" s="1"/>
  <c r="H210" i="16" s="1"/>
  <c r="H209" i="16" s="1"/>
  <c r="H208" i="16" s="1"/>
  <c r="G212" i="16"/>
  <c r="G211" i="16" s="1"/>
  <c r="K211" i="16"/>
  <c r="K210" i="16"/>
  <c r="K209" i="16" s="1"/>
  <c r="K208" i="16"/>
  <c r="P207" i="16"/>
  <c r="N207" i="16"/>
  <c r="M207" i="16"/>
  <c r="I207" i="16"/>
  <c r="H206" i="16"/>
  <c r="N206" i="16" s="1"/>
  <c r="G206" i="16"/>
  <c r="M206" i="16" s="1"/>
  <c r="P203" i="16"/>
  <c r="N203" i="16"/>
  <c r="O203" i="16" s="1"/>
  <c r="O202" i="16" s="1"/>
  <c r="O201" i="16" s="1"/>
  <c r="O200" i="16" s="1"/>
  <c r="O199" i="16" s="1"/>
  <c r="M203" i="16"/>
  <c r="I203" i="16"/>
  <c r="N202" i="16"/>
  <c r="M202" i="16"/>
  <c r="M201" i="16" s="1"/>
  <c r="M200" i="16" s="1"/>
  <c r="M199" i="16" s="1"/>
  <c r="L202" i="16"/>
  <c r="L201" i="16" s="1"/>
  <c r="L200" i="16" s="1"/>
  <c r="L199" i="16" s="1"/>
  <c r="J202" i="16"/>
  <c r="H202" i="16"/>
  <c r="G202" i="16"/>
  <c r="G201" i="16" s="1"/>
  <c r="P201" i="16" s="1"/>
  <c r="K201" i="16"/>
  <c r="J201" i="16"/>
  <c r="J200" i="16" s="1"/>
  <c r="J199" i="16" s="1"/>
  <c r="H201" i="16"/>
  <c r="H200" i="16" s="1"/>
  <c r="H199" i="16" s="1"/>
  <c r="K200" i="16"/>
  <c r="K199" i="16" s="1"/>
  <c r="P198" i="16"/>
  <c r="N198" i="16"/>
  <c r="N197" i="16" s="1"/>
  <c r="N196" i="16" s="1"/>
  <c r="M198" i="16"/>
  <c r="M197" i="16" s="1"/>
  <c r="M196" i="16" s="1"/>
  <c r="I198" i="16"/>
  <c r="L197" i="16"/>
  <c r="L196" i="16" s="1"/>
  <c r="J197" i="16"/>
  <c r="J196" i="16" s="1"/>
  <c r="I197" i="16"/>
  <c r="I196" i="16" s="1"/>
  <c r="H197" i="16"/>
  <c r="H196" i="16" s="1"/>
  <c r="G197" i="16"/>
  <c r="G196" i="16" s="1"/>
  <c r="K196" i="16"/>
  <c r="K195" i="16" s="1"/>
  <c r="P195" i="16"/>
  <c r="Q195" i="16" s="1"/>
  <c r="N195" i="16"/>
  <c r="O194" i="16"/>
  <c r="N194" i="16"/>
  <c r="M194" i="16"/>
  <c r="L194" i="16"/>
  <c r="J194" i="16"/>
  <c r="I194" i="16"/>
  <c r="H194" i="16"/>
  <c r="G194" i="16"/>
  <c r="P194" i="16" s="1"/>
  <c r="P193" i="16"/>
  <c r="N193" i="16"/>
  <c r="N192" i="16" s="1"/>
  <c r="M193" i="16"/>
  <c r="L193" i="16"/>
  <c r="L192" i="16" s="1"/>
  <c r="I193" i="16"/>
  <c r="M192" i="16"/>
  <c r="K192" i="16"/>
  <c r="J192" i="16"/>
  <c r="I192" i="16"/>
  <c r="H192" i="16"/>
  <c r="G192" i="16"/>
  <c r="P192" i="16" s="1"/>
  <c r="P191" i="16"/>
  <c r="N191" i="16"/>
  <c r="O191" i="16" s="1"/>
  <c r="M191" i="16"/>
  <c r="L191" i="16"/>
  <c r="I191" i="16"/>
  <c r="P190" i="16"/>
  <c r="K189" i="16"/>
  <c r="K188" i="16" s="1"/>
  <c r="K187" i="16" s="1"/>
  <c r="I190" i="16"/>
  <c r="M189" i="16"/>
  <c r="M188" i="16" s="1"/>
  <c r="J189" i="16"/>
  <c r="J188" i="16" s="1"/>
  <c r="H189" i="16"/>
  <c r="H188" i="16" s="1"/>
  <c r="G189" i="16"/>
  <c r="P184" i="16"/>
  <c r="N184" i="16"/>
  <c r="M184" i="16"/>
  <c r="M183" i="16" s="1"/>
  <c r="I184" i="16"/>
  <c r="N183" i="16"/>
  <c r="H183" i="16"/>
  <c r="G183" i="16"/>
  <c r="I183" i="16" s="1"/>
  <c r="P182" i="16"/>
  <c r="N182" i="16"/>
  <c r="M182" i="16"/>
  <c r="L182" i="16"/>
  <c r="L181" i="16" s="1"/>
  <c r="L180" i="16" s="1"/>
  <c r="L179" i="16" s="1"/>
  <c r="L178" i="16" s="1"/>
  <c r="L177" i="16" s="1"/>
  <c r="I182" i="16"/>
  <c r="M181" i="16"/>
  <c r="K181" i="16"/>
  <c r="J181" i="16"/>
  <c r="J180" i="16" s="1"/>
  <c r="J179" i="16" s="1"/>
  <c r="J178" i="16" s="1"/>
  <c r="J177" i="16" s="1"/>
  <c r="I181" i="16"/>
  <c r="G181" i="16"/>
  <c r="P181" i="16" s="1"/>
  <c r="Q181" i="16" s="1"/>
  <c r="K180" i="16"/>
  <c r="H180" i="16"/>
  <c r="K179" i="16"/>
  <c r="H179" i="16"/>
  <c r="H178" i="16" s="1"/>
  <c r="H177" i="16" s="1"/>
  <c r="K178" i="16"/>
  <c r="K177" i="16" s="1"/>
  <c r="P175" i="16"/>
  <c r="Q175" i="16" s="1"/>
  <c r="O174" i="16"/>
  <c r="O173" i="16" s="1"/>
  <c r="O172" i="16" s="1"/>
  <c r="N174" i="16"/>
  <c r="N173" i="16" s="1"/>
  <c r="N172" i="16" s="1"/>
  <c r="M174" i="16"/>
  <c r="M173" i="16" s="1"/>
  <c r="M172" i="16" s="1"/>
  <c r="L174" i="16"/>
  <c r="L173" i="16" s="1"/>
  <c r="L172" i="16" s="1"/>
  <c r="J174" i="16"/>
  <c r="J173" i="16" s="1"/>
  <c r="J172" i="16" s="1"/>
  <c r="I174" i="16"/>
  <c r="G174" i="16"/>
  <c r="P174" i="16" s="1"/>
  <c r="K173" i="16"/>
  <c r="K172" i="16" s="1"/>
  <c r="I173" i="16"/>
  <c r="I172" i="16" s="1"/>
  <c r="H173" i="16"/>
  <c r="H172" i="16" s="1"/>
  <c r="P171" i="16"/>
  <c r="Q171" i="16" s="1"/>
  <c r="O170" i="16"/>
  <c r="O169" i="16" s="1"/>
  <c r="O168" i="16" s="1"/>
  <c r="N170" i="16"/>
  <c r="N169" i="16" s="1"/>
  <c r="N168" i="16" s="1"/>
  <c r="M170" i="16"/>
  <c r="M169" i="16" s="1"/>
  <c r="M168" i="16" s="1"/>
  <c r="L170" i="16"/>
  <c r="L169" i="16" s="1"/>
  <c r="L168" i="16" s="1"/>
  <c r="J170" i="16"/>
  <c r="J169" i="16" s="1"/>
  <c r="J168" i="16" s="1"/>
  <c r="I170" i="16"/>
  <c r="I169" i="16" s="1"/>
  <c r="I168" i="16" s="1"/>
  <c r="G170" i="16"/>
  <c r="P170" i="16" s="1"/>
  <c r="K169" i="16"/>
  <c r="H169" i="16"/>
  <c r="H168" i="16" s="1"/>
  <c r="G169" i="16"/>
  <c r="G168" i="16" s="1"/>
  <c r="K168" i="16"/>
  <c r="P167" i="16"/>
  <c r="N167" i="16"/>
  <c r="N166" i="16" s="1"/>
  <c r="M167" i="16"/>
  <c r="M166" i="16" s="1"/>
  <c r="I167" i="16"/>
  <c r="L166" i="16"/>
  <c r="J166" i="16"/>
  <c r="H166" i="16"/>
  <c r="G166" i="16"/>
  <c r="M165" i="16"/>
  <c r="M164" i="16" s="1"/>
  <c r="M163" i="16" s="1"/>
  <c r="M162" i="16" s="1"/>
  <c r="L164" i="16"/>
  <c r="L163" i="16" s="1"/>
  <c r="L162" i="16" s="1"/>
  <c r="J164" i="16"/>
  <c r="H164" i="16"/>
  <c r="G164" i="16"/>
  <c r="P164" i="16" s="1"/>
  <c r="K163" i="16"/>
  <c r="K162" i="16" s="1"/>
  <c r="K161" i="16" s="1"/>
  <c r="K160" i="16" s="1"/>
  <c r="J163" i="16"/>
  <c r="J162" i="16"/>
  <c r="P159" i="16"/>
  <c r="N159" i="16"/>
  <c r="N158" i="16" s="1"/>
  <c r="N157" i="16" s="1"/>
  <c r="N156" i="16" s="1"/>
  <c r="M158" i="16"/>
  <c r="M157" i="16" s="1"/>
  <c r="M156" i="16" s="1"/>
  <c r="L158" i="16"/>
  <c r="L157" i="16" s="1"/>
  <c r="L156" i="16" s="1"/>
  <c r="J158" i="16"/>
  <c r="J157" i="16" s="1"/>
  <c r="J156" i="16" s="1"/>
  <c r="I158" i="16"/>
  <c r="G158" i="16"/>
  <c r="P158" i="16" s="1"/>
  <c r="K157" i="16"/>
  <c r="I157" i="16"/>
  <c r="I156" i="16" s="1"/>
  <c r="H157" i="16"/>
  <c r="H156" i="16" s="1"/>
  <c r="G157" i="16"/>
  <c r="G156" i="16" s="1"/>
  <c r="K156" i="16"/>
  <c r="M155" i="16"/>
  <c r="M154" i="16" s="1"/>
  <c r="M153" i="16" s="1"/>
  <c r="M152" i="16" s="1"/>
  <c r="P155" i="16"/>
  <c r="L154" i="16"/>
  <c r="J154" i="16"/>
  <c r="J153" i="16" s="1"/>
  <c r="J152" i="16" s="1"/>
  <c r="H154" i="16"/>
  <c r="H153" i="16" s="1"/>
  <c r="H152" i="16" s="1"/>
  <c r="G154" i="16"/>
  <c r="L153" i="16"/>
  <c r="L152" i="16" s="1"/>
  <c r="K153" i="16"/>
  <c r="K152" i="16" s="1"/>
  <c r="P151" i="16"/>
  <c r="Q151" i="16" s="1"/>
  <c r="N151" i="16"/>
  <c r="M151" i="16"/>
  <c r="O151" i="16"/>
  <c r="P150" i="16"/>
  <c r="O150" i="16"/>
  <c r="N150" i="16"/>
  <c r="M150" i="16"/>
  <c r="Q150" i="16"/>
  <c r="P149" i="16"/>
  <c r="Q149" i="16" s="1"/>
  <c r="N149" i="16"/>
  <c r="M149" i="16"/>
  <c r="O149" i="16"/>
  <c r="P148" i="16"/>
  <c r="N148" i="16"/>
  <c r="M148" i="16"/>
  <c r="N147" i="16"/>
  <c r="O146" i="16" s="1"/>
  <c r="O145" i="16" s="1"/>
  <c r="I146" i="16"/>
  <c r="I145" i="16" s="1"/>
  <c r="P147" i="16"/>
  <c r="M146" i="16"/>
  <c r="M145" i="16" s="1"/>
  <c r="L146" i="16"/>
  <c r="L145" i="16" s="1"/>
  <c r="J146" i="16"/>
  <c r="J145" i="16" s="1"/>
  <c r="G146" i="16"/>
  <c r="G145" i="16" s="1"/>
  <c r="K145" i="16"/>
  <c r="K144" i="16" s="1"/>
  <c r="H145" i="16"/>
  <c r="G143" i="16"/>
  <c r="M143" i="16"/>
  <c r="M142" i="16" s="1"/>
  <c r="L143" i="16"/>
  <c r="L142" i="16" s="1"/>
  <c r="J143" i="16"/>
  <c r="J142" i="16" s="1"/>
  <c r="H143" i="16"/>
  <c r="K142" i="16"/>
  <c r="H142" i="16"/>
  <c r="P141" i="16"/>
  <c r="Q141" i="16" s="1"/>
  <c r="O140" i="16"/>
  <c r="N140" i="16"/>
  <c r="M140" i="16"/>
  <c r="L140" i="16"/>
  <c r="J140" i="16"/>
  <c r="I140" i="16"/>
  <c r="G140" i="16"/>
  <c r="P140" i="16" s="1"/>
  <c r="Q140" i="16" s="1"/>
  <c r="N139" i="16"/>
  <c r="M139" i="16"/>
  <c r="M138" i="16" s="1"/>
  <c r="P139" i="16"/>
  <c r="L138" i="16"/>
  <c r="J138" i="16"/>
  <c r="H138" i="16"/>
  <c r="G138" i="16"/>
  <c r="P138" i="16" s="1"/>
  <c r="P137" i="16"/>
  <c r="Q137" i="16" s="1"/>
  <c r="P136" i="16"/>
  <c r="N136" i="16"/>
  <c r="M136" i="16"/>
  <c r="I136" i="16"/>
  <c r="O136" i="16" s="1"/>
  <c r="P135" i="16"/>
  <c r="O135" i="16"/>
  <c r="N135" i="16"/>
  <c r="N134" i="16" s="1"/>
  <c r="M135" i="16"/>
  <c r="I135" i="16"/>
  <c r="Q135" i="16" s="1"/>
  <c r="L134" i="16"/>
  <c r="L133" i="16" s="1"/>
  <c r="J134" i="16"/>
  <c r="H134" i="16"/>
  <c r="G134" i="16"/>
  <c r="M134" i="16" s="1"/>
  <c r="K133" i="16"/>
  <c r="K132" i="16" s="1"/>
  <c r="J133" i="16"/>
  <c r="G133" i="16"/>
  <c r="P129" i="16"/>
  <c r="N129" i="16"/>
  <c r="M129" i="16"/>
  <c r="I129" i="16"/>
  <c r="N128" i="16"/>
  <c r="M128" i="16"/>
  <c r="I128" i="16"/>
  <c r="O128" i="16" s="1"/>
  <c r="H128" i="16"/>
  <c r="P128" i="16" s="1"/>
  <c r="M127" i="16"/>
  <c r="H127" i="16"/>
  <c r="N127" i="16" s="1"/>
  <c r="M126" i="16"/>
  <c r="M125" i="16" s="1"/>
  <c r="L125" i="16"/>
  <c r="K125" i="16"/>
  <c r="J125" i="16"/>
  <c r="G125" i="16"/>
  <c r="M124" i="16"/>
  <c r="M122" i="16"/>
  <c r="M121" i="16" s="1"/>
  <c r="M120" i="16" s="1"/>
  <c r="M119" i="16" s="1"/>
  <c r="H121" i="16"/>
  <c r="H120" i="16" s="1"/>
  <c r="L121" i="16"/>
  <c r="L120" i="16" s="1"/>
  <c r="L119" i="16" s="1"/>
  <c r="J121" i="16"/>
  <c r="J120" i="16" s="1"/>
  <c r="J119" i="16" s="1"/>
  <c r="G121" i="16"/>
  <c r="K120" i="16"/>
  <c r="G120" i="16"/>
  <c r="G119" i="16" s="1"/>
  <c r="K119" i="16"/>
  <c r="M118" i="16"/>
  <c r="M117" i="16" s="1"/>
  <c r="M116" i="16" s="1"/>
  <c r="M115" i="16" s="1"/>
  <c r="H117" i="16"/>
  <c r="H116" i="16" s="1"/>
  <c r="L117" i="16"/>
  <c r="L116" i="16" s="1"/>
  <c r="L115" i="16" s="1"/>
  <c r="K117" i="16"/>
  <c r="K116" i="16" s="1"/>
  <c r="K115" i="16" s="1"/>
  <c r="J117" i="16"/>
  <c r="J116" i="16" s="1"/>
  <c r="J115" i="16" s="1"/>
  <c r="G117" i="16"/>
  <c r="G116" i="16" s="1"/>
  <c r="G115" i="16" s="1"/>
  <c r="P114" i="16"/>
  <c r="Q114" i="16" s="1"/>
  <c r="K114" i="16"/>
  <c r="O113" i="16"/>
  <c r="O112" i="16" s="1"/>
  <c r="O111" i="16" s="1"/>
  <c r="N113" i="16"/>
  <c r="N112" i="16" s="1"/>
  <c r="N111" i="16" s="1"/>
  <c r="M113" i="16"/>
  <c r="M112" i="16" s="1"/>
  <c r="M111" i="16" s="1"/>
  <c r="L113" i="16"/>
  <c r="L112" i="16" s="1"/>
  <c r="L111" i="16" s="1"/>
  <c r="J113" i="16"/>
  <c r="J112" i="16" s="1"/>
  <c r="J111" i="16" s="1"/>
  <c r="I113" i="16"/>
  <c r="I112" i="16" s="1"/>
  <c r="G113" i="16"/>
  <c r="P113" i="16" s="1"/>
  <c r="K112" i="16"/>
  <c r="K111" i="16" s="1"/>
  <c r="H112" i="16"/>
  <c r="H111" i="16" s="1"/>
  <c r="G112" i="16"/>
  <c r="P110" i="16"/>
  <c r="N110" i="16"/>
  <c r="M110" i="16"/>
  <c r="I110" i="16"/>
  <c r="O110" i="16" s="1"/>
  <c r="M109" i="16"/>
  <c r="P109" i="16"/>
  <c r="L108" i="16"/>
  <c r="J108" i="16"/>
  <c r="H108" i="16"/>
  <c r="H104" i="16" s="1"/>
  <c r="H98" i="16" s="1"/>
  <c r="G108" i="16"/>
  <c r="P107" i="16"/>
  <c r="O107" i="16"/>
  <c r="N107" i="16"/>
  <c r="I107" i="16"/>
  <c r="P106" i="16"/>
  <c r="N106" i="16"/>
  <c r="M106" i="16"/>
  <c r="M105" i="16" s="1"/>
  <c r="I106" i="16"/>
  <c r="O106" i="16" s="1"/>
  <c r="O105" i="16" s="1"/>
  <c r="N105" i="16"/>
  <c r="L105" i="16"/>
  <c r="J105" i="16"/>
  <c r="J104" i="16" s="1"/>
  <c r="I105" i="16"/>
  <c r="H105" i="16"/>
  <c r="G105" i="16"/>
  <c r="P105" i="16" s="1"/>
  <c r="L104" i="16"/>
  <c r="K104" i="16"/>
  <c r="P103" i="16"/>
  <c r="Q103" i="16" s="1"/>
  <c r="N102" i="16"/>
  <c r="M102" i="16"/>
  <c r="P102" i="16"/>
  <c r="P101" i="16"/>
  <c r="M101" i="16"/>
  <c r="I101" i="16"/>
  <c r="O101" i="16" s="1"/>
  <c r="N101" i="16"/>
  <c r="L100" i="16"/>
  <c r="L99" i="16" s="1"/>
  <c r="L98" i="16" s="1"/>
  <c r="J100" i="16"/>
  <c r="H100" i="16"/>
  <c r="G100" i="16"/>
  <c r="G99" i="16" s="1"/>
  <c r="K99" i="16"/>
  <c r="J99" i="16"/>
  <c r="H99" i="16"/>
  <c r="K98" i="16"/>
  <c r="K97" i="16"/>
  <c r="P96" i="16"/>
  <c r="Q96" i="16" s="1"/>
  <c r="N96" i="16"/>
  <c r="M96" i="16"/>
  <c r="L96" i="16"/>
  <c r="O96" i="16" s="1"/>
  <c r="P95" i="16"/>
  <c r="Q95" i="16" s="1"/>
  <c r="L95" i="16"/>
  <c r="O95" i="16" s="1"/>
  <c r="K95" i="16"/>
  <c r="K94" i="16" s="1"/>
  <c r="J95" i="16"/>
  <c r="M95" i="16" s="1"/>
  <c r="P94" i="16"/>
  <c r="Q94" i="16" s="1"/>
  <c r="L94" i="16"/>
  <c r="O94" i="16" s="1"/>
  <c r="P93" i="16"/>
  <c r="Q93" i="16" s="1"/>
  <c r="P92" i="16"/>
  <c r="N92" i="16"/>
  <c r="N91" i="16" s="1"/>
  <c r="N90" i="16" s="1"/>
  <c r="M92" i="16"/>
  <c r="I92" i="16"/>
  <c r="M91" i="16"/>
  <c r="M90" i="16" s="1"/>
  <c r="L91" i="16"/>
  <c r="J91" i="16"/>
  <c r="I91" i="16"/>
  <c r="I90" i="16" s="1"/>
  <c r="H91" i="16"/>
  <c r="H90" i="16" s="1"/>
  <c r="H89" i="16" s="1"/>
  <c r="G91" i="16"/>
  <c r="L90" i="16"/>
  <c r="K90" i="16"/>
  <c r="J90" i="16"/>
  <c r="G90" i="16"/>
  <c r="P88" i="16"/>
  <c r="Q88" i="16" s="1"/>
  <c r="O87" i="16"/>
  <c r="O86" i="16" s="1"/>
  <c r="O85" i="16" s="1"/>
  <c r="N87" i="16"/>
  <c r="N86" i="16" s="1"/>
  <c r="N85" i="16" s="1"/>
  <c r="M87" i="16"/>
  <c r="M86" i="16" s="1"/>
  <c r="M85" i="16" s="1"/>
  <c r="L87" i="16"/>
  <c r="L86" i="16" s="1"/>
  <c r="L85" i="16" s="1"/>
  <c r="J87" i="16"/>
  <c r="J86" i="16" s="1"/>
  <c r="J85" i="16" s="1"/>
  <c r="I87" i="16"/>
  <c r="G87" i="16"/>
  <c r="P87" i="16" s="1"/>
  <c r="K86" i="16"/>
  <c r="H86" i="16"/>
  <c r="H85" i="16" s="1"/>
  <c r="K85" i="16"/>
  <c r="P84" i="16"/>
  <c r="Q84" i="16" s="1"/>
  <c r="P83" i="16"/>
  <c r="O83" i="16"/>
  <c r="N83" i="16"/>
  <c r="M83" i="16"/>
  <c r="L83" i="16"/>
  <c r="J83" i="16"/>
  <c r="I83" i="16"/>
  <c r="G83" i="16"/>
  <c r="P82" i="16"/>
  <c r="Q82" i="16" s="1"/>
  <c r="N82" i="16"/>
  <c r="M82" i="16"/>
  <c r="M80" i="16" s="1"/>
  <c r="M79" i="16" s="1"/>
  <c r="M78" i="16" s="1"/>
  <c r="I82" i="16"/>
  <c r="P81" i="16"/>
  <c r="O81" i="16"/>
  <c r="M81" i="16"/>
  <c r="I81" i="16"/>
  <c r="N80" i="16"/>
  <c r="L80" i="16"/>
  <c r="L79" i="16" s="1"/>
  <c r="L78" i="16" s="1"/>
  <c r="J80" i="16"/>
  <c r="I80" i="16"/>
  <c r="H80" i="16"/>
  <c r="G80" i="16"/>
  <c r="G79" i="16" s="1"/>
  <c r="N79" i="16"/>
  <c r="N78" i="16" s="1"/>
  <c r="K79" i="16"/>
  <c r="J79" i="16"/>
  <c r="J78" i="16" s="1"/>
  <c r="H79" i="16"/>
  <c r="H78" i="16" s="1"/>
  <c r="K78" i="16"/>
  <c r="P76" i="16"/>
  <c r="Q76" i="16" s="1"/>
  <c r="O75" i="16"/>
  <c r="O74" i="16" s="1"/>
  <c r="O73" i="16" s="1"/>
  <c r="O72" i="16" s="1"/>
  <c r="N75" i="16"/>
  <c r="N74" i="16" s="1"/>
  <c r="N73" i="16" s="1"/>
  <c r="N72" i="16" s="1"/>
  <c r="M75" i="16"/>
  <c r="M74" i="16" s="1"/>
  <c r="M73" i="16" s="1"/>
  <c r="M72" i="16" s="1"/>
  <c r="L75" i="16"/>
  <c r="L74" i="16" s="1"/>
  <c r="L73" i="16" s="1"/>
  <c r="L72" i="16" s="1"/>
  <c r="J75" i="16"/>
  <c r="J74" i="16" s="1"/>
  <c r="J73" i="16" s="1"/>
  <c r="J72" i="16" s="1"/>
  <c r="I75" i="16"/>
  <c r="I74" i="16" s="1"/>
  <c r="G75" i="16"/>
  <c r="G74" i="16" s="1"/>
  <c r="K74" i="16"/>
  <c r="H74" i="16"/>
  <c r="H73" i="16" s="1"/>
  <c r="H72" i="16" s="1"/>
  <c r="K73" i="16"/>
  <c r="K72" i="16" s="1"/>
  <c r="P71" i="16"/>
  <c r="N71" i="16"/>
  <c r="I71" i="16"/>
  <c r="N70" i="16"/>
  <c r="N69" i="16" s="1"/>
  <c r="N68" i="16" s="1"/>
  <c r="N67" i="16" s="1"/>
  <c r="M70" i="16"/>
  <c r="M69" i="16" s="1"/>
  <c r="M68" i="16" s="1"/>
  <c r="M67" i="16" s="1"/>
  <c r="L70" i="16"/>
  <c r="L69" i="16" s="1"/>
  <c r="L68" i="16" s="1"/>
  <c r="L67" i="16" s="1"/>
  <c r="J70" i="16"/>
  <c r="J69" i="16" s="1"/>
  <c r="J68" i="16" s="1"/>
  <c r="J67" i="16" s="1"/>
  <c r="I70" i="16"/>
  <c r="H70" i="16"/>
  <c r="G70" i="16"/>
  <c r="G69" i="16" s="1"/>
  <c r="K69" i="16"/>
  <c r="I69" i="16"/>
  <c r="I68" i="16" s="1"/>
  <c r="I67" i="16" s="1"/>
  <c r="H69" i="16"/>
  <c r="H68" i="16" s="1"/>
  <c r="H67" i="16" s="1"/>
  <c r="K68" i="16"/>
  <c r="K67" i="16" s="1"/>
  <c r="N65" i="16"/>
  <c r="N64" i="16" s="1"/>
  <c r="N63" i="16" s="1"/>
  <c r="N62" i="16" s="1"/>
  <c r="N61" i="16" s="1"/>
  <c r="M65" i="16"/>
  <c r="M64" i="16" s="1"/>
  <c r="M63" i="16" s="1"/>
  <c r="M62" i="16" s="1"/>
  <c r="M61" i="16" s="1"/>
  <c r="P65" i="16"/>
  <c r="L64" i="16"/>
  <c r="L63" i="16" s="1"/>
  <c r="L62" i="16" s="1"/>
  <c r="L61" i="16" s="1"/>
  <c r="J64" i="16"/>
  <c r="J63" i="16" s="1"/>
  <c r="J62" i="16" s="1"/>
  <c r="J61" i="16" s="1"/>
  <c r="H64" i="16"/>
  <c r="H63" i="16" s="1"/>
  <c r="H62" i="16" s="1"/>
  <c r="H61" i="16" s="1"/>
  <c r="G64" i="16"/>
  <c r="K63" i="16"/>
  <c r="K62" i="16" s="1"/>
  <c r="K61" i="16" s="1"/>
  <c r="P60" i="16"/>
  <c r="Q60" i="16" s="1"/>
  <c r="O59" i="16"/>
  <c r="N59" i="16"/>
  <c r="N54" i="16" s="1"/>
  <c r="M59" i="16"/>
  <c r="L59" i="16"/>
  <c r="J59" i="16"/>
  <c r="J54" i="16" s="1"/>
  <c r="I59" i="16"/>
  <c r="G59" i="16"/>
  <c r="P59" i="16" s="1"/>
  <c r="K58" i="16"/>
  <c r="K51" i="16" s="1"/>
  <c r="H58" i="16"/>
  <c r="P58" i="16" s="1"/>
  <c r="Q58" i="16" s="1"/>
  <c r="P57" i="16"/>
  <c r="Q57" i="16" s="1"/>
  <c r="N57" i="16"/>
  <c r="M57" i="16"/>
  <c r="L57" i="16"/>
  <c r="P56" i="16"/>
  <c r="Q56" i="16" s="1"/>
  <c r="N56" i="16"/>
  <c r="M56" i="16"/>
  <c r="O56" i="16" s="1"/>
  <c r="O55" i="16" s="1"/>
  <c r="L56" i="16"/>
  <c r="L55" i="16" s="1"/>
  <c r="M55" i="16"/>
  <c r="J55" i="16"/>
  <c r="I55" i="16"/>
  <c r="G55" i="16"/>
  <c r="P55" i="16" s="1"/>
  <c r="K54" i="16"/>
  <c r="H54" i="16"/>
  <c r="P51" i="16"/>
  <c r="Q51" i="16" s="1"/>
  <c r="N51" i="16"/>
  <c r="M51" i="16"/>
  <c r="I51" i="16"/>
  <c r="O51" i="16" s="1"/>
  <c r="P50" i="16"/>
  <c r="Q50" i="16" s="1"/>
  <c r="O50" i="16"/>
  <c r="N50" i="16"/>
  <c r="M50" i="16"/>
  <c r="P47" i="16"/>
  <c r="Q47" i="16" s="1"/>
  <c r="N47" i="16"/>
  <c r="M47" i="16"/>
  <c r="I47" i="16"/>
  <c r="L46" i="16"/>
  <c r="L45" i="16" s="1"/>
  <c r="J46" i="16"/>
  <c r="J45" i="16" s="1"/>
  <c r="I46" i="16"/>
  <c r="H46" i="16"/>
  <c r="G46" i="16"/>
  <c r="P46" i="16" s="1"/>
  <c r="K45" i="16"/>
  <c r="K44" i="16" s="1"/>
  <c r="H44" i="16"/>
  <c r="H43" i="16" s="1"/>
  <c r="P40" i="16"/>
  <c r="O40" i="16"/>
  <c r="O39" i="16" s="1"/>
  <c r="N40" i="16"/>
  <c r="N39" i="16" s="1"/>
  <c r="M40" i="16"/>
  <c r="I40" i="16"/>
  <c r="P39" i="16"/>
  <c r="Q39" i="16" s="1"/>
  <c r="M39" i="16"/>
  <c r="M38" i="16" s="1"/>
  <c r="M37" i="16" s="1"/>
  <c r="M36" i="16" s="1"/>
  <c r="L39" i="16"/>
  <c r="L38" i="16" s="1"/>
  <c r="L37" i="16" s="1"/>
  <c r="L36" i="16" s="1"/>
  <c r="J39" i="16"/>
  <c r="J38" i="16" s="1"/>
  <c r="J37" i="16" s="1"/>
  <c r="J36" i="16" s="1"/>
  <c r="I39" i="16"/>
  <c r="G39" i="16"/>
  <c r="G38" i="16" s="1"/>
  <c r="K38" i="16"/>
  <c r="I37" i="16"/>
  <c r="H37" i="16"/>
  <c r="H36" i="16" s="1"/>
  <c r="K37" i="16"/>
  <c r="K36" i="16"/>
  <c r="P33" i="16"/>
  <c r="N33" i="16"/>
  <c r="M33" i="16"/>
  <c r="I33" i="16"/>
  <c r="N32" i="16"/>
  <c r="N31" i="16" s="1"/>
  <c r="N30" i="16" s="1"/>
  <c r="N29" i="16" s="1"/>
  <c r="M32" i="16"/>
  <c r="M31" i="16" s="1"/>
  <c r="M30" i="16" s="1"/>
  <c r="M29" i="16" s="1"/>
  <c r="L32" i="16"/>
  <c r="L31" i="16" s="1"/>
  <c r="L30" i="16" s="1"/>
  <c r="L29" i="16" s="1"/>
  <c r="J32" i="16"/>
  <c r="J31" i="16" s="1"/>
  <c r="J30" i="16" s="1"/>
  <c r="J29" i="16" s="1"/>
  <c r="I32" i="16"/>
  <c r="I31" i="16" s="1"/>
  <c r="H32" i="16"/>
  <c r="G32" i="16"/>
  <c r="P32" i="16" s="1"/>
  <c r="K31" i="16"/>
  <c r="H31" i="16"/>
  <c r="H30" i="16" s="1"/>
  <c r="H29" i="16" s="1"/>
  <c r="G31" i="16"/>
  <c r="G30" i="16" s="1"/>
  <c r="K30" i="16"/>
  <c r="K29" i="16" s="1"/>
  <c r="O28" i="16"/>
  <c r="M28" i="16"/>
  <c r="M27" i="16" s="1"/>
  <c r="M26" i="16" s="1"/>
  <c r="M25" i="16" s="1"/>
  <c r="M24" i="16" s="1"/>
  <c r="I28" i="16"/>
  <c r="G28" i="16"/>
  <c r="P28" i="16" s="1"/>
  <c r="P27" i="16"/>
  <c r="O27" i="16"/>
  <c r="O26" i="16" s="1"/>
  <c r="O25" i="16" s="1"/>
  <c r="O24" i="16" s="1"/>
  <c r="N27" i="16"/>
  <c r="N26" i="16" s="1"/>
  <c r="N25" i="16" s="1"/>
  <c r="N24" i="16" s="1"/>
  <c r="L27" i="16"/>
  <c r="L26" i="16" s="1"/>
  <c r="L25" i="16" s="1"/>
  <c r="L24" i="16" s="1"/>
  <c r="J27" i="16"/>
  <c r="J26" i="16" s="1"/>
  <c r="J25" i="16" s="1"/>
  <c r="J24" i="16" s="1"/>
  <c r="G27" i="16"/>
  <c r="K26" i="16"/>
  <c r="H26" i="16"/>
  <c r="H25" i="16" s="1"/>
  <c r="H24" i="16" s="1"/>
  <c r="H23" i="16" s="1"/>
  <c r="G26" i="16"/>
  <c r="K25" i="16"/>
  <c r="K24" i="16" s="1"/>
  <c r="K23" i="16" s="1"/>
  <c r="K22" i="16" s="1"/>
  <c r="G25" i="16"/>
  <c r="P25" i="16" s="1"/>
  <c r="Q357" i="16" l="1"/>
  <c r="Q397" i="16"/>
  <c r="Q420" i="16"/>
  <c r="Q493" i="16"/>
  <c r="N381" i="16"/>
  <c r="N380" i="16" s="1"/>
  <c r="P469" i="16"/>
  <c r="N38" i="16"/>
  <c r="O38" i="16" s="1"/>
  <c r="O37" i="16" s="1"/>
  <c r="O36" i="16" s="1"/>
  <c r="N326" i="16"/>
  <c r="Q327" i="16"/>
  <c r="P494" i="16"/>
  <c r="H474" i="16"/>
  <c r="O478" i="16"/>
  <c r="O477" i="16" s="1"/>
  <c r="P477" i="16"/>
  <c r="Q521" i="16"/>
  <c r="Q520" i="16"/>
  <c r="Q410" i="16"/>
  <c r="J516" i="16"/>
  <c r="J515" i="16" s="1"/>
  <c r="Q469" i="16"/>
  <c r="P399" i="16"/>
  <c r="J394" i="16"/>
  <c r="J393" i="16" s="1"/>
  <c r="J392" i="16" s="1"/>
  <c r="M510" i="16"/>
  <c r="M509" i="16" s="1"/>
  <c r="M508" i="16" s="1"/>
  <c r="M507" i="16" s="1"/>
  <c r="Q385" i="16"/>
  <c r="N398" i="16"/>
  <c r="J406" i="16"/>
  <c r="J405" i="16" s="1"/>
  <c r="J454" i="16"/>
  <c r="J453" i="16" s="1"/>
  <c r="M375" i="16"/>
  <c r="M374" i="16" s="1"/>
  <c r="M373" i="16" s="1"/>
  <c r="Q390" i="16"/>
  <c r="L394" i="16"/>
  <c r="L393" i="16" s="1"/>
  <c r="L392" i="16" s="1"/>
  <c r="P398" i="16"/>
  <c r="M414" i="16"/>
  <c r="Q462" i="16"/>
  <c r="H394" i="16"/>
  <c r="H393" i="16" s="1"/>
  <c r="H392" i="16" s="1"/>
  <c r="L406" i="16"/>
  <c r="L405" i="16" s="1"/>
  <c r="O510" i="16"/>
  <c r="O509" i="16" s="1"/>
  <c r="O508" i="16" s="1"/>
  <c r="O507" i="16" s="1"/>
  <c r="L54" i="16"/>
  <c r="L44" i="16" s="1"/>
  <c r="L43" i="16" s="1"/>
  <c r="Q440" i="16"/>
  <c r="L454" i="16"/>
  <c r="L453" i="16" s="1"/>
  <c r="M524" i="16"/>
  <c r="M523" i="16" s="1"/>
  <c r="M517" i="16" s="1"/>
  <c r="Q191" i="16"/>
  <c r="G235" i="16"/>
  <c r="P235" i="16" s="1"/>
  <c r="Q235" i="16" s="1"/>
  <c r="N368" i="16"/>
  <c r="N367" i="16" s="1"/>
  <c r="N366" i="16" s="1"/>
  <c r="P461" i="16"/>
  <c r="L516" i="16"/>
  <c r="L515" i="16" s="1"/>
  <c r="J331" i="16"/>
  <c r="Q388" i="16"/>
  <c r="Q478" i="16"/>
  <c r="Q498" i="16"/>
  <c r="Q512" i="16"/>
  <c r="N524" i="16"/>
  <c r="N523" i="16" s="1"/>
  <c r="P369" i="16"/>
  <c r="Q389" i="16"/>
  <c r="Q411" i="16"/>
  <c r="M454" i="16"/>
  <c r="M453" i="16" s="1"/>
  <c r="Q479" i="16"/>
  <c r="Q527" i="16"/>
  <c r="P528" i="16"/>
  <c r="P231" i="16"/>
  <c r="Q193" i="16"/>
  <c r="Q174" i="16"/>
  <c r="N23" i="16"/>
  <c r="N22" i="16" s="1"/>
  <c r="K186" i="16"/>
  <c r="K185" i="16" s="1"/>
  <c r="K176" i="16" s="1"/>
  <c r="O54" i="16"/>
  <c r="J94" i="16"/>
  <c r="M94" i="16" s="1"/>
  <c r="M89" i="16" s="1"/>
  <c r="M77" i="16" s="1"/>
  <c r="Q299" i="16"/>
  <c r="Q129" i="16"/>
  <c r="Q342" i="16"/>
  <c r="P196" i="16"/>
  <c r="Q190" i="16"/>
  <c r="L215" i="16"/>
  <c r="P30" i="16"/>
  <c r="Q59" i="16"/>
  <c r="M100" i="16"/>
  <c r="M99" i="16" s="1"/>
  <c r="J132" i="16"/>
  <c r="J131" i="16" s="1"/>
  <c r="J130" i="16" s="1"/>
  <c r="Q203" i="16"/>
  <c r="G54" i="16"/>
  <c r="P54" i="16" s="1"/>
  <c r="Q265" i="16"/>
  <c r="Q322" i="16"/>
  <c r="Q40" i="16"/>
  <c r="M54" i="16"/>
  <c r="H205" i="16"/>
  <c r="N205" i="16" s="1"/>
  <c r="H22" i="16"/>
  <c r="N100" i="16"/>
  <c r="N99" i="16" s="1"/>
  <c r="P168" i="16"/>
  <c r="Q168" i="16" s="1"/>
  <c r="P169" i="16"/>
  <c r="Q169" i="16" s="1"/>
  <c r="N94" i="16"/>
  <c r="N89" i="16" s="1"/>
  <c r="N77" i="16" s="1"/>
  <c r="K89" i="16"/>
  <c r="K77" i="16" s="1"/>
  <c r="K66" i="16" s="1"/>
  <c r="L97" i="16"/>
  <c r="Q107" i="16"/>
  <c r="L161" i="16"/>
  <c r="L160" i="16" s="1"/>
  <c r="Q256" i="16"/>
  <c r="Q182" i="16"/>
  <c r="J23" i="16"/>
  <c r="J22" i="16" s="1"/>
  <c r="Q33" i="16"/>
  <c r="O47" i="16"/>
  <c r="O46" i="16" s="1"/>
  <c r="O45" i="16" s="1"/>
  <c r="Q71" i="16"/>
  <c r="L89" i="16"/>
  <c r="L77" i="16" s="1"/>
  <c r="N95" i="16"/>
  <c r="H97" i="16"/>
  <c r="M108" i="16"/>
  <c r="M104" i="16" s="1"/>
  <c r="Q148" i="16"/>
  <c r="M161" i="16"/>
  <c r="M160" i="16" s="1"/>
  <c r="J187" i="16"/>
  <c r="J186" i="16" s="1"/>
  <c r="J185" i="16" s="1"/>
  <c r="Q192" i="16"/>
  <c r="H226" i="16"/>
  <c r="N226" i="16" s="1"/>
  <c r="M23" i="16"/>
  <c r="M22" i="16" s="1"/>
  <c r="Q223" i="16"/>
  <c r="Q81" i="16"/>
  <c r="Q28" i="16"/>
  <c r="K43" i="16"/>
  <c r="J44" i="16"/>
  <c r="J43" i="16" s="1"/>
  <c r="N46" i="16"/>
  <c r="N44" i="16" s="1"/>
  <c r="N43" i="16" s="1"/>
  <c r="Q83" i="16"/>
  <c r="P112" i="16"/>
  <c r="Q112" i="16" s="1"/>
  <c r="K131" i="16"/>
  <c r="K130" i="16" s="1"/>
  <c r="K123" i="16" s="1"/>
  <c r="K122" i="16" s="1"/>
  <c r="L132" i="16"/>
  <c r="L131" i="16" s="1"/>
  <c r="L130" i="16" s="1"/>
  <c r="P156" i="16"/>
  <c r="Q156" i="16" s="1"/>
  <c r="J161" i="16"/>
  <c r="J160" i="16" s="1"/>
  <c r="Q230" i="16"/>
  <c r="Q236" i="16"/>
  <c r="H244" i="16"/>
  <c r="Q266" i="16"/>
  <c r="Q275" i="16"/>
  <c r="Q279" i="16"/>
  <c r="P307" i="16"/>
  <c r="O342" i="16"/>
  <c r="O341" i="16" s="1"/>
  <c r="P341" i="16"/>
  <c r="Q341" i="16" s="1"/>
  <c r="Q338" i="16"/>
  <c r="I439" i="16"/>
  <c r="Q439" i="16" s="1"/>
  <c r="N439" i="16"/>
  <c r="N438" i="16" s="1"/>
  <c r="N437" i="16" s="1"/>
  <c r="N436" i="16" s="1"/>
  <c r="N435" i="16" s="1"/>
  <c r="N428" i="16" s="1"/>
  <c r="J472" i="16"/>
  <c r="J471" i="16" s="1"/>
  <c r="L428" i="16"/>
  <c r="M428" i="16"/>
  <c r="J428" i="16"/>
  <c r="J313" i="16"/>
  <c r="J312" i="16" s="1"/>
  <c r="M290" i="16"/>
  <c r="G291" i="16"/>
  <c r="G290" i="16" s="1"/>
  <c r="O544" i="16"/>
  <c r="H542" i="16"/>
  <c r="H541" i="16" s="1"/>
  <c r="H540" i="16" s="1"/>
  <c r="H539" i="16" s="1"/>
  <c r="H538" i="16" s="1"/>
  <c r="Q545" i="16"/>
  <c r="H517" i="16"/>
  <c r="P524" i="16"/>
  <c r="G523" i="16"/>
  <c r="P523" i="16" s="1"/>
  <c r="Q495" i="16"/>
  <c r="I494" i="16"/>
  <c r="O492" i="16"/>
  <c r="M492" i="16"/>
  <c r="I492" i="16"/>
  <c r="Q492" i="16" s="1"/>
  <c r="Q446" i="16"/>
  <c r="I445" i="16"/>
  <c r="P444" i="16"/>
  <c r="P445" i="16"/>
  <c r="Q445" i="16" s="1"/>
  <c r="Q434" i="16"/>
  <c r="Q433" i="16"/>
  <c r="O434" i="16"/>
  <c r="O433" i="16" s="1"/>
  <c r="O432" i="16" s="1"/>
  <c r="O431" i="16" s="1"/>
  <c r="O430" i="16" s="1"/>
  <c r="O429" i="16" s="1"/>
  <c r="O428" i="16" s="1"/>
  <c r="N415" i="16"/>
  <c r="N414" i="16" s="1"/>
  <c r="P414" i="16"/>
  <c r="Q414" i="16" s="1"/>
  <c r="I415" i="16"/>
  <c r="I414" i="16" s="1"/>
  <c r="M408" i="16"/>
  <c r="O349" i="16"/>
  <c r="Q350" i="16"/>
  <c r="P349" i="16"/>
  <c r="P339" i="16"/>
  <c r="Q340" i="16"/>
  <c r="I339" i="16"/>
  <c r="P317" i="16"/>
  <c r="H313" i="16"/>
  <c r="H312" i="16" s="1"/>
  <c r="G313" i="16"/>
  <c r="M313" i="16"/>
  <c r="M312" i="16" s="1"/>
  <c r="O314" i="16"/>
  <c r="O313" i="16" s="1"/>
  <c r="O312" i="16" s="1"/>
  <c r="H306" i="16"/>
  <c r="G306" i="16"/>
  <c r="M307" i="16"/>
  <c r="P295" i="16"/>
  <c r="N283" i="16"/>
  <c r="N282" i="16" s="1"/>
  <c r="Q287" i="16"/>
  <c r="P277" i="16"/>
  <c r="P286" i="16"/>
  <c r="Q286" i="16" s="1"/>
  <c r="P283" i="16"/>
  <c r="P282" i="16"/>
  <c r="P284" i="16"/>
  <c r="O260" i="16"/>
  <c r="O259" i="16" s="1"/>
  <c r="O258" i="16" s="1"/>
  <c r="O257" i="16" s="1"/>
  <c r="O244" i="16" s="1"/>
  <c r="Q260" i="16"/>
  <c r="O230" i="16"/>
  <c r="O228" i="16" s="1"/>
  <c r="O227" i="16" s="1"/>
  <c r="I228" i="16"/>
  <c r="I227" i="16" s="1"/>
  <c r="P211" i="16"/>
  <c r="G210" i="16"/>
  <c r="P210" i="16" s="1"/>
  <c r="Q196" i="16"/>
  <c r="Q198" i="16"/>
  <c r="H187" i="16"/>
  <c r="H186" i="16" s="1"/>
  <c r="H185" i="16" s="1"/>
  <c r="O198" i="16"/>
  <c r="O197" i="16" s="1"/>
  <c r="O196" i="16" s="1"/>
  <c r="I189" i="16"/>
  <c r="M187" i="16"/>
  <c r="M186" i="16" s="1"/>
  <c r="H163" i="16"/>
  <c r="H162" i="16" s="1"/>
  <c r="H161" i="16" s="1"/>
  <c r="H160" i="16" s="1"/>
  <c r="P166" i="16"/>
  <c r="G163" i="16"/>
  <c r="Q158" i="16"/>
  <c r="Q159" i="16"/>
  <c r="P157" i="16"/>
  <c r="Q157" i="16" s="1"/>
  <c r="P154" i="16"/>
  <c r="G153" i="16"/>
  <c r="P153" i="16" s="1"/>
  <c r="P145" i="16"/>
  <c r="Q145" i="16" s="1"/>
  <c r="Q147" i="16"/>
  <c r="H133" i="16"/>
  <c r="H132" i="16" s="1"/>
  <c r="H131" i="16" s="1"/>
  <c r="H130" i="16" s="1"/>
  <c r="N130" i="16" s="1"/>
  <c r="M133" i="16"/>
  <c r="M132" i="16" s="1"/>
  <c r="M131" i="16" s="1"/>
  <c r="M130" i="16" s="1"/>
  <c r="O139" i="16"/>
  <c r="O138" i="16" s="1"/>
  <c r="I127" i="16"/>
  <c r="H126" i="16"/>
  <c r="H125" i="16" s="1"/>
  <c r="H124" i="16" s="1"/>
  <c r="I124" i="16"/>
  <c r="O124" i="16" s="1"/>
  <c r="O129" i="16"/>
  <c r="P121" i="16"/>
  <c r="P108" i="16"/>
  <c r="G104" i="16"/>
  <c r="P104" i="16" s="1"/>
  <c r="H77" i="16"/>
  <c r="P90" i="16"/>
  <c r="Q90" i="16" s="1"/>
  <c r="P91" i="16"/>
  <c r="Q91" i="16" s="1"/>
  <c r="I89" i="16"/>
  <c r="Q92" i="16"/>
  <c r="G89" i="16"/>
  <c r="P89" i="16" s="1"/>
  <c r="O71" i="16"/>
  <c r="O70" i="16" s="1"/>
  <c r="O69" i="16" s="1"/>
  <c r="O68" i="16" s="1"/>
  <c r="O67" i="16" s="1"/>
  <c r="P64" i="16"/>
  <c r="G63" i="16"/>
  <c r="P63" i="16" s="1"/>
  <c r="P69" i="16"/>
  <c r="Q69" i="16" s="1"/>
  <c r="G68" i="16"/>
  <c r="I73" i="16"/>
  <c r="P79" i="16"/>
  <c r="G78" i="16"/>
  <c r="I36" i="16"/>
  <c r="P38" i="16"/>
  <c r="Q38" i="16" s="1"/>
  <c r="G37" i="16"/>
  <c r="Q55" i="16"/>
  <c r="I30" i="16"/>
  <c r="L23" i="16"/>
  <c r="L22" i="16" s="1"/>
  <c r="Q46" i="16"/>
  <c r="P74" i="16"/>
  <c r="Q74" i="16" s="1"/>
  <c r="G73" i="16"/>
  <c r="G45" i="16"/>
  <c r="M46" i="16"/>
  <c r="M45" i="16" s="1"/>
  <c r="I65" i="16"/>
  <c r="O82" i="16"/>
  <c r="O80" i="16" s="1"/>
  <c r="O79" i="16" s="1"/>
  <c r="O78" i="16" s="1"/>
  <c r="N124" i="16"/>
  <c r="P124" i="16"/>
  <c r="I27" i="16"/>
  <c r="Q32" i="16"/>
  <c r="O33" i="16"/>
  <c r="O32" i="16" s="1"/>
  <c r="O31" i="16" s="1"/>
  <c r="O30" i="16" s="1"/>
  <c r="O29" i="16" s="1"/>
  <c r="O23" i="16" s="1"/>
  <c r="O22" i="16" s="1"/>
  <c r="I54" i="16"/>
  <c r="P75" i="16"/>
  <c r="Q75" i="16" s="1"/>
  <c r="I79" i="16"/>
  <c r="G86" i="16"/>
  <c r="Q87" i="16"/>
  <c r="P99" i="16"/>
  <c r="P117" i="16"/>
  <c r="P143" i="16"/>
  <c r="G142" i="16"/>
  <c r="P142" i="16" s="1"/>
  <c r="O183" i="16"/>
  <c r="I180" i="16"/>
  <c r="P26" i="16"/>
  <c r="P31" i="16"/>
  <c r="Q31" i="16" s="1"/>
  <c r="P70" i="16"/>
  <c r="Q70" i="16" s="1"/>
  <c r="P80" i="16"/>
  <c r="Q80" i="16" s="1"/>
  <c r="I111" i="16"/>
  <c r="H115" i="16"/>
  <c r="P116" i="16"/>
  <c r="I143" i="16"/>
  <c r="G24" i="16"/>
  <c r="G29" i="16"/>
  <c r="P29" i="16" s="1"/>
  <c r="I86" i="16"/>
  <c r="J98" i="16"/>
  <c r="J97" i="16" s="1"/>
  <c r="Q105" i="16"/>
  <c r="H119" i="16"/>
  <c r="P119" i="16" s="1"/>
  <c r="P120" i="16"/>
  <c r="N109" i="16"/>
  <c r="N108" i="16" s="1"/>
  <c r="N104" i="16" s="1"/>
  <c r="N98" i="16" s="1"/>
  <c r="N97" i="16" s="1"/>
  <c r="Q113" i="16"/>
  <c r="N118" i="16"/>
  <c r="N122" i="16"/>
  <c r="N121" i="16" s="1"/>
  <c r="N120" i="16" s="1"/>
  <c r="N119" i="16" s="1"/>
  <c r="N126" i="16"/>
  <c r="N125" i="16" s="1"/>
  <c r="O127" i="16"/>
  <c r="P134" i="16"/>
  <c r="P144" i="16"/>
  <c r="Q144" i="16" s="1"/>
  <c r="P146" i="16"/>
  <c r="Q146" i="16" s="1"/>
  <c r="O148" i="16"/>
  <c r="N155" i="16"/>
  <c r="N154" i="16" s="1"/>
  <c r="N153" i="16" s="1"/>
  <c r="N152" i="16" s="1"/>
  <c r="P189" i="16"/>
  <c r="G188" i="16"/>
  <c r="P206" i="16"/>
  <c r="O213" i="16"/>
  <c r="O212" i="16" s="1"/>
  <c r="O211" i="16" s="1"/>
  <c r="O210" i="16" s="1"/>
  <c r="O209" i="16" s="1"/>
  <c r="O208" i="16" s="1"/>
  <c r="Q213" i="16"/>
  <c r="M228" i="16"/>
  <c r="M227" i="16" s="1"/>
  <c r="M226" i="16" s="1"/>
  <c r="G239" i="16"/>
  <c r="P242" i="16"/>
  <c r="M244" i="16"/>
  <c r="Q247" i="16"/>
  <c r="I246" i="16"/>
  <c r="O92" i="16"/>
  <c r="O91" i="16" s="1"/>
  <c r="O90" i="16" s="1"/>
  <c r="O89" i="16" s="1"/>
  <c r="P100" i="16"/>
  <c r="Q101" i="16"/>
  <c r="Q106" i="16"/>
  <c r="Q110" i="16"/>
  <c r="I122" i="16"/>
  <c r="P127" i="16"/>
  <c r="Q127" i="16" s="1"/>
  <c r="Q128" i="16"/>
  <c r="Q136" i="16"/>
  <c r="O158" i="16"/>
  <c r="O157" i="16" s="1"/>
  <c r="O156" i="16" s="1"/>
  <c r="P165" i="16"/>
  <c r="I165" i="16"/>
  <c r="P183" i="16"/>
  <c r="Q183" i="16" s="1"/>
  <c r="N190" i="16"/>
  <c r="N189" i="16" s="1"/>
  <c r="N188" i="16" s="1"/>
  <c r="N187" i="16" s="1"/>
  <c r="N186" i="16" s="1"/>
  <c r="O207" i="16"/>
  <c r="Q207" i="16"/>
  <c r="O223" i="16"/>
  <c r="O233" i="16"/>
  <c r="Q233" i="16"/>
  <c r="N239" i="16"/>
  <c r="N238" i="16" s="1"/>
  <c r="O243" i="16"/>
  <c r="Q243" i="16"/>
  <c r="I109" i="16"/>
  <c r="G111" i="16"/>
  <c r="P111" i="16" s="1"/>
  <c r="I118" i="16"/>
  <c r="P118" i="16"/>
  <c r="P122" i="16"/>
  <c r="I126" i="16"/>
  <c r="I134" i="16"/>
  <c r="N138" i="16"/>
  <c r="N133" i="16" s="1"/>
  <c r="N144" i="16"/>
  <c r="N146" i="16"/>
  <c r="N145" i="16" s="1"/>
  <c r="I155" i="16"/>
  <c r="G162" i="16"/>
  <c r="G173" i="16"/>
  <c r="G180" i="16"/>
  <c r="Q184" i="16"/>
  <c r="O184" i="16"/>
  <c r="I188" i="16"/>
  <c r="Q194" i="16"/>
  <c r="N201" i="16"/>
  <c r="N200" i="16" s="1"/>
  <c r="N199" i="16" s="1"/>
  <c r="I202" i="16"/>
  <c r="I206" i="16"/>
  <c r="I212" i="16"/>
  <c r="H217" i="16"/>
  <c r="Q232" i="16"/>
  <c r="O232" i="16"/>
  <c r="I242" i="16"/>
  <c r="L244" i="16"/>
  <c r="I102" i="16"/>
  <c r="I139" i="16"/>
  <c r="N165" i="16"/>
  <c r="N164" i="16" s="1"/>
  <c r="N163" i="16" s="1"/>
  <c r="N162" i="16" s="1"/>
  <c r="N161" i="16" s="1"/>
  <c r="N160" i="16" s="1"/>
  <c r="O167" i="16"/>
  <c r="O166" i="16" s="1"/>
  <c r="I166" i="16"/>
  <c r="Q167" i="16"/>
  <c r="Q170" i="16"/>
  <c r="O182" i="16"/>
  <c r="O181" i="16" s="1"/>
  <c r="N181" i="16"/>
  <c r="N180" i="16" s="1"/>
  <c r="N179" i="16" s="1"/>
  <c r="N178" i="16" s="1"/>
  <c r="N177" i="16" s="1"/>
  <c r="P197" i="16"/>
  <c r="Q197" i="16" s="1"/>
  <c r="G200" i="16"/>
  <c r="P202" i="16"/>
  <c r="G205" i="16"/>
  <c r="P212" i="16"/>
  <c r="J217" i="16"/>
  <c r="J216" i="16" s="1"/>
  <c r="J215" i="16" s="1"/>
  <c r="Q224" i="16"/>
  <c r="I217" i="16"/>
  <c r="O225" i="16"/>
  <c r="O224" i="16" s="1"/>
  <c r="P227" i="16"/>
  <c r="Q227" i="16" s="1"/>
  <c r="P228" i="16"/>
  <c r="Q228" i="16" s="1"/>
  <c r="O193" i="16"/>
  <c r="O192" i="16" s="1"/>
  <c r="J244" i="16"/>
  <c r="P246" i="16"/>
  <c r="G245" i="16"/>
  <c r="N251" i="16"/>
  <c r="N250" i="16" s="1"/>
  <c r="N244" i="16" s="1"/>
  <c r="P258" i="16"/>
  <c r="Q258" i="16" s="1"/>
  <c r="G257" i="16"/>
  <c r="P257" i="16" s="1"/>
  <c r="Q257" i="16" s="1"/>
  <c r="P259" i="16"/>
  <c r="Q259" i="16" s="1"/>
  <c r="O265" i="16"/>
  <c r="G268" i="16"/>
  <c r="Q285" i="16"/>
  <c r="P291" i="16"/>
  <c r="J291" i="16"/>
  <c r="J290" i="16" s="1"/>
  <c r="J289" i="16" s="1"/>
  <c r="P292" i="16"/>
  <c r="Q292" i="16" s="1"/>
  <c r="P296" i="16"/>
  <c r="N296" i="16"/>
  <c r="N295" i="16" s="1"/>
  <c r="N291" i="16" s="1"/>
  <c r="N290" i="16" s="1"/>
  <c r="J297" i="16"/>
  <c r="P314" i="16"/>
  <c r="Q316" i="16"/>
  <c r="I314" i="16"/>
  <c r="N321" i="16"/>
  <c r="N320" i="16" s="1"/>
  <c r="N319" i="16" s="1"/>
  <c r="H320" i="16"/>
  <c r="H319" i="16" s="1"/>
  <c r="L325" i="16"/>
  <c r="L324" i="16" s="1"/>
  <c r="L311" i="16" s="1"/>
  <c r="M334" i="16"/>
  <c r="M333" i="16" s="1"/>
  <c r="Q345" i="16"/>
  <c r="H361" i="16"/>
  <c r="N361" i="16" s="1"/>
  <c r="N362" i="16"/>
  <c r="P269" i="16"/>
  <c r="Q269" i="16" s="1"/>
  <c r="Q274" i="16"/>
  <c r="O274" i="16"/>
  <c r="O275" i="16"/>
  <c r="Q281" i="16"/>
  <c r="M283" i="16"/>
  <c r="M282" i="16" s="1"/>
  <c r="M277" i="16" s="1"/>
  <c r="O287" i="16"/>
  <c r="O286" i="16" s="1"/>
  <c r="O283" i="16" s="1"/>
  <c r="O282" i="16" s="1"/>
  <c r="O277" i="16" s="1"/>
  <c r="O293" i="16"/>
  <c r="O292" i="16" s="1"/>
  <c r="L295" i="16"/>
  <c r="L291" i="16" s="1"/>
  <c r="L290" i="16" s="1"/>
  <c r="L289" i="16" s="1"/>
  <c r="K295" i="16"/>
  <c r="K291" i="16" s="1"/>
  <c r="K290" i="16" s="1"/>
  <c r="H311" i="16"/>
  <c r="Q318" i="16"/>
  <c r="O362" i="16"/>
  <c r="Q362" i="16"/>
  <c r="I231" i="16"/>
  <c r="I226" i="16" s="1"/>
  <c r="G251" i="16"/>
  <c r="P252" i="16"/>
  <c r="Q252" i="16" s="1"/>
  <c r="Q255" i="16"/>
  <c r="Q270" i="16"/>
  <c r="O270" i="16"/>
  <c r="O271" i="16"/>
  <c r="Q271" i="16"/>
  <c r="N277" i="16"/>
  <c r="I284" i="16"/>
  <c r="J311" i="16"/>
  <c r="P313" i="16"/>
  <c r="G312" i="16"/>
  <c r="N313" i="16"/>
  <c r="N312" i="16" s="1"/>
  <c r="I317" i="16"/>
  <c r="O322" i="16"/>
  <c r="K324" i="16"/>
  <c r="N325" i="16"/>
  <c r="I326" i="16"/>
  <c r="O326" i="16" s="1"/>
  <c r="O325" i="16" s="1"/>
  <c r="O324" i="16" s="1"/>
  <c r="P326" i="16"/>
  <c r="O269" i="16"/>
  <c r="Q273" i="16"/>
  <c r="O273" i="16"/>
  <c r="Q293" i="16"/>
  <c r="Q308" i="16"/>
  <c r="I307" i="16"/>
  <c r="O308" i="16"/>
  <c r="G319" i="16"/>
  <c r="P325" i="16"/>
  <c r="G324" i="16"/>
  <c r="P324" i="16" s="1"/>
  <c r="I381" i="16"/>
  <c r="Q382" i="16"/>
  <c r="Q264" i="16"/>
  <c r="Q276" i="16"/>
  <c r="P278" i="16"/>
  <c r="Q278" i="16" s="1"/>
  <c r="N279" i="16"/>
  <c r="P280" i="16"/>
  <c r="Q280" i="16" s="1"/>
  <c r="O281" i="16"/>
  <c r="Q315" i="16"/>
  <c r="I321" i="16"/>
  <c r="N322" i="16"/>
  <c r="M326" i="16"/>
  <c r="M325" i="16" s="1"/>
  <c r="M324" i="16" s="1"/>
  <c r="M311" i="16" s="1"/>
  <c r="G334" i="16"/>
  <c r="H335" i="16"/>
  <c r="P335" i="16" s="1"/>
  <c r="N336" i="16"/>
  <c r="N335" i="16" s="1"/>
  <c r="O346" i="16"/>
  <c r="O345" i="16" s="1"/>
  <c r="H347" i="16"/>
  <c r="P347" i="16" s="1"/>
  <c r="N348" i="16"/>
  <c r="N347" i="16" s="1"/>
  <c r="P355" i="16"/>
  <c r="Q355" i="16" s="1"/>
  <c r="O357" i="16"/>
  <c r="Q360" i="16"/>
  <c r="M361" i="16"/>
  <c r="M362" i="16"/>
  <c r="O364" i="16"/>
  <c r="Q365" i="16"/>
  <c r="Q369" i="16"/>
  <c r="M371" i="16"/>
  <c r="M368" i="16" s="1"/>
  <c r="M367" i="16" s="1"/>
  <c r="M366" i="16" s="1"/>
  <c r="P375" i="16"/>
  <c r="Q375" i="16" s="1"/>
  <c r="G374" i="16"/>
  <c r="N394" i="16"/>
  <c r="N393" i="16" s="1"/>
  <c r="N392" i="16" s="1"/>
  <c r="M398" i="16"/>
  <c r="M394" i="16" s="1"/>
  <c r="M393" i="16" s="1"/>
  <c r="M392" i="16" s="1"/>
  <c r="P425" i="16"/>
  <c r="Q425" i="16" s="1"/>
  <c r="G424" i="16"/>
  <c r="N360" i="16"/>
  <c r="P395" i="16"/>
  <c r="Q395" i="16" s="1"/>
  <c r="G394" i="16"/>
  <c r="I336" i="16"/>
  <c r="I337" i="16"/>
  <c r="Q337" i="16" s="1"/>
  <c r="I348" i="16"/>
  <c r="I349" i="16"/>
  <c r="Q364" i="16"/>
  <c r="P368" i="16"/>
  <c r="Q368" i="16" s="1"/>
  <c r="G367" i="16"/>
  <c r="L369" i="16"/>
  <c r="L368" i="16" s="1"/>
  <c r="L367" i="16" s="1"/>
  <c r="L366" i="16" s="1"/>
  <c r="Q371" i="16"/>
  <c r="L374" i="16"/>
  <c r="L373" i="16" s="1"/>
  <c r="N378" i="16"/>
  <c r="K375" i="16"/>
  <c r="H359" i="16"/>
  <c r="I361" i="16"/>
  <c r="P381" i="16"/>
  <c r="Q383" i="16"/>
  <c r="O383" i="16"/>
  <c r="O382" i="16" s="1"/>
  <c r="N408" i="16"/>
  <c r="N407" i="16" s="1"/>
  <c r="N406" i="16" s="1"/>
  <c r="N405" i="16" s="1"/>
  <c r="I429" i="16"/>
  <c r="O385" i="16"/>
  <c r="O390" i="16"/>
  <c r="P396" i="16"/>
  <c r="Q396" i="16" s="1"/>
  <c r="Q399" i="16"/>
  <c r="I409" i="16"/>
  <c r="H412" i="16"/>
  <c r="H408" i="16" s="1"/>
  <c r="H407" i="16" s="1"/>
  <c r="H406" i="16" s="1"/>
  <c r="H405" i="16" s="1"/>
  <c r="N413" i="16"/>
  <c r="N412" i="16" s="1"/>
  <c r="O417" i="16"/>
  <c r="O415" i="16" s="1"/>
  <c r="O414" i="16" s="1"/>
  <c r="P426" i="16"/>
  <c r="Q426" i="16" s="1"/>
  <c r="I466" i="16"/>
  <c r="P387" i="16"/>
  <c r="Q387" i="16" s="1"/>
  <c r="Q415" i="16"/>
  <c r="P432" i="16"/>
  <c r="Q432" i="16" s="1"/>
  <c r="G431" i="16"/>
  <c r="I438" i="16"/>
  <c r="I403" i="16"/>
  <c r="I398" i="16" s="1"/>
  <c r="P403" i="16"/>
  <c r="I413" i="16"/>
  <c r="P438" i="16"/>
  <c r="G437" i="16"/>
  <c r="Q457" i="16"/>
  <c r="N454" i="16"/>
  <c r="N453" i="16" s="1"/>
  <c r="G408" i="16"/>
  <c r="G442" i="16"/>
  <c r="H443" i="16"/>
  <c r="H442" i="16" s="1"/>
  <c r="H441" i="16" s="1"/>
  <c r="H428" i="16" s="1"/>
  <c r="I444" i="16"/>
  <c r="I448" i="16"/>
  <c r="G450" i="16"/>
  <c r="G455" i="16"/>
  <c r="H460" i="16"/>
  <c r="P460" i="16" s="1"/>
  <c r="I461" i="16"/>
  <c r="N476" i="16"/>
  <c r="N475" i="16" s="1"/>
  <c r="N494" i="16"/>
  <c r="N484" i="16" s="1"/>
  <c r="N483" i="16" s="1"/>
  <c r="O495" i="16"/>
  <c r="O494" i="16" s="1"/>
  <c r="I456" i="16"/>
  <c r="G468" i="16"/>
  <c r="Q477" i="16"/>
  <c r="P518" i="16"/>
  <c r="Q550" i="16"/>
  <c r="O504" i="16"/>
  <c r="Q494" i="16"/>
  <c r="P505" i="16"/>
  <c r="Q505" i="16" s="1"/>
  <c r="P510" i="16"/>
  <c r="G509" i="16"/>
  <c r="Q513" i="16"/>
  <c r="O534" i="16"/>
  <c r="O530" i="16" s="1"/>
  <c r="I530" i="16"/>
  <c r="Q534" i="16"/>
  <c r="G560" i="16"/>
  <c r="P561" i="16"/>
  <c r="Q561" i="16" s="1"/>
  <c r="O488" i="16"/>
  <c r="O485" i="16" s="1"/>
  <c r="Q491" i="16"/>
  <c r="O493" i="16"/>
  <c r="L511" i="16"/>
  <c r="L510" i="16" s="1"/>
  <c r="L509" i="16" s="1"/>
  <c r="L508" i="16" s="1"/>
  <c r="L507" i="16" s="1"/>
  <c r="G542" i="16"/>
  <c r="P543" i="16"/>
  <c r="P544" i="16"/>
  <c r="P549" i="16"/>
  <c r="O551" i="16"/>
  <c r="O550" i="16" s="1"/>
  <c r="Q551" i="16"/>
  <c r="N554" i="16"/>
  <c r="N549" i="16" s="1"/>
  <c r="N542" i="16" s="1"/>
  <c r="N541" i="16" s="1"/>
  <c r="N540" i="16" s="1"/>
  <c r="N539" i="16" s="1"/>
  <c r="N538" i="16" s="1"/>
  <c r="P554" i="16"/>
  <c r="I554" i="16"/>
  <c r="G484" i="16"/>
  <c r="L485" i="16"/>
  <c r="L484" i="16" s="1"/>
  <c r="L483" i="16" s="1"/>
  <c r="L474" i="16" s="1"/>
  <c r="L473" i="16" s="1"/>
  <c r="P488" i="16"/>
  <c r="Q488" i="16" s="1"/>
  <c r="I490" i="16"/>
  <c r="P490" i="16"/>
  <c r="M496" i="16"/>
  <c r="H504" i="16"/>
  <c r="N505" i="16"/>
  <c r="Q506" i="16"/>
  <c r="P519" i="16"/>
  <c r="O526" i="16"/>
  <c r="O524" i="16" s="1"/>
  <c r="O523" i="16" s="1"/>
  <c r="I524" i="16"/>
  <c r="Q526" i="16"/>
  <c r="G476" i="16"/>
  <c r="M477" i="16"/>
  <c r="M476" i="16" s="1"/>
  <c r="I485" i="16"/>
  <c r="I510" i="16"/>
  <c r="N512" i="16"/>
  <c r="N511" i="16" s="1"/>
  <c r="K511" i="16"/>
  <c r="K510" i="16" s="1"/>
  <c r="O520" i="16"/>
  <c r="O519" i="16" s="1"/>
  <c r="O518" i="16" s="1"/>
  <c r="N519" i="16"/>
  <c r="N518" i="16" s="1"/>
  <c r="P529" i="16"/>
  <c r="M530" i="16"/>
  <c r="M529" i="16" s="1"/>
  <c r="M528" i="16" s="1"/>
  <c r="M538" i="16"/>
  <c r="Q548" i="16"/>
  <c r="I544" i="16"/>
  <c r="I557" i="16"/>
  <c r="I519" i="16"/>
  <c r="H298" i="15"/>
  <c r="H289" i="15"/>
  <c r="H116" i="15"/>
  <c r="G209" i="16" l="1"/>
  <c r="Q54" i="16"/>
  <c r="M44" i="16"/>
  <c r="M43" i="16" s="1"/>
  <c r="O528" i="16"/>
  <c r="O44" i="16"/>
  <c r="O43" i="16" s="1"/>
  <c r="N37" i="16"/>
  <c r="N36" i="16" s="1"/>
  <c r="H516" i="16"/>
  <c r="H515" i="16" s="1"/>
  <c r="H66" i="16"/>
  <c r="H35" i="16" s="1"/>
  <c r="M516" i="16"/>
  <c r="M515" i="16" s="1"/>
  <c r="P319" i="16"/>
  <c r="L472" i="16"/>
  <c r="L471" i="16" s="1"/>
  <c r="M407" i="16"/>
  <c r="M406" i="16" s="1"/>
  <c r="M405" i="16" s="1"/>
  <c r="P320" i="16"/>
  <c r="Q166" i="16"/>
  <c r="G226" i="16"/>
  <c r="P226" i="16" s="1"/>
  <c r="Q226" i="16" s="1"/>
  <c r="N517" i="16"/>
  <c r="N516" i="16" s="1"/>
  <c r="N515" i="16" s="1"/>
  <c r="H302" i="16"/>
  <c r="L66" i="16"/>
  <c r="L35" i="16" s="1"/>
  <c r="J288" i="16"/>
  <c r="J261" i="16" s="1"/>
  <c r="Q189" i="16"/>
  <c r="Q349" i="16"/>
  <c r="L214" i="16"/>
  <c r="J123" i="16"/>
  <c r="M98" i="16"/>
  <c r="M97" i="16" s="1"/>
  <c r="M66" i="16" s="1"/>
  <c r="L123" i="16"/>
  <c r="J89" i="16"/>
  <c r="J77" i="16" s="1"/>
  <c r="J66" i="16" s="1"/>
  <c r="J35" i="16" s="1"/>
  <c r="G152" i="16"/>
  <c r="P152" i="16" s="1"/>
  <c r="H123" i="16"/>
  <c r="N123" i="16" s="1"/>
  <c r="Q317" i="16"/>
  <c r="Q89" i="16"/>
  <c r="M123" i="16"/>
  <c r="K35" i="16"/>
  <c r="G132" i="16"/>
  <c r="P132" i="16" s="1"/>
  <c r="P115" i="16"/>
  <c r="O517" i="16"/>
  <c r="G517" i="16"/>
  <c r="P517" i="16" s="1"/>
  <c r="M484" i="16"/>
  <c r="M483" i="16" s="1"/>
  <c r="Q339" i="16"/>
  <c r="P306" i="16"/>
  <c r="N306" i="16"/>
  <c r="G302" i="16"/>
  <c r="G301" i="16" s="1"/>
  <c r="M306" i="16"/>
  <c r="P163" i="16"/>
  <c r="P133" i="16"/>
  <c r="Q124" i="16"/>
  <c r="P126" i="16"/>
  <c r="Q126" i="16" s="1"/>
  <c r="P125" i="16"/>
  <c r="G98" i="16"/>
  <c r="P98" i="16" s="1"/>
  <c r="G62" i="16"/>
  <c r="P62" i="16" s="1"/>
  <c r="Q398" i="16"/>
  <c r="I394" i="16"/>
  <c r="P468" i="16"/>
  <c r="Q468" i="16" s="1"/>
  <c r="G467" i="16"/>
  <c r="P455" i="16"/>
  <c r="G454" i="16"/>
  <c r="P437" i="16"/>
  <c r="G436" i="16"/>
  <c r="I437" i="16"/>
  <c r="Q438" i="16"/>
  <c r="Q409" i="16"/>
  <c r="P424" i="16"/>
  <c r="Q424" i="16" s="1"/>
  <c r="G423" i="16"/>
  <c r="P423" i="16" s="1"/>
  <c r="Q423" i="16" s="1"/>
  <c r="G333" i="16"/>
  <c r="I380" i="16"/>
  <c r="Q380" i="16" s="1"/>
  <c r="Q381" i="16"/>
  <c r="I306" i="16"/>
  <c r="Q307" i="16"/>
  <c r="O307" i="16"/>
  <c r="L288" i="16"/>
  <c r="I295" i="16"/>
  <c r="O296" i="16"/>
  <c r="O295" i="16" s="1"/>
  <c r="O291" i="16" s="1"/>
  <c r="O290" i="16" s="1"/>
  <c r="Q296" i="16"/>
  <c r="M268" i="16"/>
  <c r="M263" i="16" s="1"/>
  <c r="G263" i="16"/>
  <c r="P263" i="16" s="1"/>
  <c r="I268" i="16"/>
  <c r="P268" i="16"/>
  <c r="M205" i="16"/>
  <c r="P205" i="16"/>
  <c r="G204" i="16"/>
  <c r="P204" i="16" s="1"/>
  <c r="O102" i="16"/>
  <c r="O100" i="16" s="1"/>
  <c r="O99" i="16" s="1"/>
  <c r="Q102" i="16"/>
  <c r="Q212" i="16"/>
  <c r="I211" i="16"/>
  <c r="P180" i="16"/>
  <c r="M180" i="16"/>
  <c r="M179" i="16" s="1"/>
  <c r="M178" i="16" s="1"/>
  <c r="M177" i="16" s="1"/>
  <c r="G179" i="16"/>
  <c r="Q155" i="16"/>
  <c r="O155" i="16"/>
  <c r="O154" i="16" s="1"/>
  <c r="O153" i="16" s="1"/>
  <c r="O152" i="16" s="1"/>
  <c r="I154" i="16"/>
  <c r="O134" i="16"/>
  <c r="O133" i="16" s="1"/>
  <c r="Q134" i="16"/>
  <c r="Q109" i="16"/>
  <c r="O109" i="16"/>
  <c r="O108" i="16" s="1"/>
  <c r="O104" i="16" s="1"/>
  <c r="I108" i="16"/>
  <c r="I245" i="16"/>
  <c r="Q246" i="16"/>
  <c r="P239" i="16"/>
  <c r="M239" i="16"/>
  <c r="M238" i="16" s="1"/>
  <c r="G238" i="16"/>
  <c r="P238" i="16" s="1"/>
  <c r="P188" i="16"/>
  <c r="Q188" i="16" s="1"/>
  <c r="G187" i="16"/>
  <c r="O118" i="16"/>
  <c r="O117" i="16" s="1"/>
  <c r="O116" i="16" s="1"/>
  <c r="O115" i="16" s="1"/>
  <c r="N117" i="16"/>
  <c r="N116" i="16" s="1"/>
  <c r="N115" i="16" s="1"/>
  <c r="N66" i="16" s="1"/>
  <c r="N35" i="16" s="1"/>
  <c r="I142" i="16"/>
  <c r="Q142" i="16" s="1"/>
  <c r="Q143" i="16"/>
  <c r="I179" i="16"/>
  <c r="O180" i="16"/>
  <c r="O179" i="16" s="1"/>
  <c r="O178" i="16" s="1"/>
  <c r="O177" i="16" s="1"/>
  <c r="Q180" i="16"/>
  <c r="P45" i="16"/>
  <c r="Q45" i="16" s="1"/>
  <c r="G44" i="16"/>
  <c r="P78" i="16"/>
  <c r="P68" i="16"/>
  <c r="Q68" i="16" s="1"/>
  <c r="G67" i="16"/>
  <c r="K509" i="16"/>
  <c r="K508" i="16" s="1"/>
  <c r="K507" i="16" s="1"/>
  <c r="K472" i="16" s="1"/>
  <c r="K471" i="16" s="1"/>
  <c r="N510" i="16"/>
  <c r="N509" i="16" s="1"/>
  <c r="N508" i="16" s="1"/>
  <c r="N507" i="16" s="1"/>
  <c r="P450" i="16"/>
  <c r="Q450" i="16" s="1"/>
  <c r="G449" i="16"/>
  <c r="Q403" i="16"/>
  <c r="O403" i="16"/>
  <c r="O398" i="16" s="1"/>
  <c r="O394" i="16" s="1"/>
  <c r="O393" i="16" s="1"/>
  <c r="O392" i="16" s="1"/>
  <c r="K374" i="16"/>
  <c r="K373" i="16" s="1"/>
  <c r="N375" i="16"/>
  <c r="N374" i="16" s="1"/>
  <c r="O374" i="16" s="1"/>
  <c r="O373" i="16" s="1"/>
  <c r="Q336" i="16"/>
  <c r="O336" i="16"/>
  <c r="O335" i="16" s="1"/>
  <c r="I335" i="16"/>
  <c r="N324" i="16"/>
  <c r="N311" i="16" s="1"/>
  <c r="K311" i="16"/>
  <c r="K288" i="16" s="1"/>
  <c r="G311" i="16"/>
  <c r="P311" i="16" s="1"/>
  <c r="P312" i="16"/>
  <c r="Q284" i="16"/>
  <c r="I283" i="16"/>
  <c r="P361" i="16"/>
  <c r="I313" i="16"/>
  <c r="Q314" i="16"/>
  <c r="P290" i="16"/>
  <c r="G289" i="16"/>
  <c r="I216" i="16"/>
  <c r="I100" i="16"/>
  <c r="Q206" i="16"/>
  <c r="O206" i="16"/>
  <c r="I205" i="16"/>
  <c r="I187" i="16"/>
  <c r="P209" i="16"/>
  <c r="G208" i="16"/>
  <c r="P208" i="16" s="1"/>
  <c r="P24" i="16"/>
  <c r="G23" i="16"/>
  <c r="Q111" i="16"/>
  <c r="P86" i="16"/>
  <c r="G85" i="16"/>
  <c r="P85" i="16" s="1"/>
  <c r="O77" i="16"/>
  <c r="I29" i="16"/>
  <c r="Q29" i="16" s="1"/>
  <c r="Q30" i="16"/>
  <c r="P37" i="16"/>
  <c r="Q37" i="16" s="1"/>
  <c r="G36" i="16"/>
  <c r="G516" i="16"/>
  <c r="P484" i="16"/>
  <c r="G483" i="16"/>
  <c r="P483" i="16" s="1"/>
  <c r="N474" i="16"/>
  <c r="P442" i="16"/>
  <c r="G441" i="16"/>
  <c r="P441" i="16" s="1"/>
  <c r="O361" i="16"/>
  <c r="Q361" i="16"/>
  <c r="I518" i="16"/>
  <c r="Q519" i="16"/>
  <c r="G475" i="16"/>
  <c r="P476" i="16"/>
  <c r="I476" i="16"/>
  <c r="I523" i="16"/>
  <c r="Q523" i="16" s="1"/>
  <c r="Q524" i="16"/>
  <c r="Q490" i="16"/>
  <c r="O490" i="16"/>
  <c r="O484" i="16" s="1"/>
  <c r="O483" i="16" s="1"/>
  <c r="Q554" i="16"/>
  <c r="O554" i="16"/>
  <c r="O549" i="16" s="1"/>
  <c r="O542" i="16" s="1"/>
  <c r="O541" i="16" s="1"/>
  <c r="O540" i="16" s="1"/>
  <c r="O539" i="16" s="1"/>
  <c r="O538" i="16" s="1"/>
  <c r="G541" i="16"/>
  <c r="P542" i="16"/>
  <c r="P560" i="16"/>
  <c r="Q560" i="16" s="1"/>
  <c r="G559" i="16"/>
  <c r="P509" i="16"/>
  <c r="G508" i="16"/>
  <c r="I549" i="16"/>
  <c r="Q549" i="16" s="1"/>
  <c r="I460" i="16"/>
  <c r="Q460" i="16" s="1"/>
  <c r="Q461" i="16"/>
  <c r="I447" i="16"/>
  <c r="P431" i="16"/>
  <c r="Q431" i="16" s="1"/>
  <c r="G430" i="16"/>
  <c r="O381" i="16"/>
  <c r="O380" i="16" s="1"/>
  <c r="P359" i="16"/>
  <c r="Q359" i="16" s="1"/>
  <c r="N359" i="16"/>
  <c r="N334" i="16" s="1"/>
  <c r="N333" i="16" s="1"/>
  <c r="N332" i="16" s="1"/>
  <c r="P367" i="16"/>
  <c r="Q367" i="16" s="1"/>
  <c r="G366" i="16"/>
  <c r="P366" i="16" s="1"/>
  <c r="Q366" i="16" s="1"/>
  <c r="P412" i="16"/>
  <c r="G250" i="16"/>
  <c r="P250" i="16" s="1"/>
  <c r="Q250" i="16" s="1"/>
  <c r="P251" i="16"/>
  <c r="Q251" i="16" s="1"/>
  <c r="G262" i="16"/>
  <c r="M217" i="16"/>
  <c r="M216" i="16" s="1"/>
  <c r="M215" i="16" s="1"/>
  <c r="M214" i="16" s="1"/>
  <c r="P200" i="16"/>
  <c r="G199" i="16"/>
  <c r="P199" i="16" s="1"/>
  <c r="Q202" i="16"/>
  <c r="I201" i="16"/>
  <c r="P173" i="16"/>
  <c r="Q173" i="16" s="1"/>
  <c r="G172" i="16"/>
  <c r="P172" i="16" s="1"/>
  <c r="Q172" i="16" s="1"/>
  <c r="O143" i="16"/>
  <c r="O142" i="16" s="1"/>
  <c r="N143" i="16"/>
  <c r="N142" i="16" s="1"/>
  <c r="N132" i="16" s="1"/>
  <c r="N131" i="16" s="1"/>
  <c r="Q118" i="16"/>
  <c r="I117" i="16"/>
  <c r="L189" i="16"/>
  <c r="L188" i="16" s="1"/>
  <c r="L187" i="16" s="1"/>
  <c r="L186" i="16" s="1"/>
  <c r="L185" i="16" s="1"/>
  <c r="O190" i="16"/>
  <c r="O189" i="16" s="1"/>
  <c r="O188" i="16" s="1"/>
  <c r="O187" i="16" s="1"/>
  <c r="O186" i="16" s="1"/>
  <c r="I164" i="16"/>
  <c r="Q165" i="16"/>
  <c r="O165" i="16"/>
  <c r="O164" i="16" s="1"/>
  <c r="O163" i="16" s="1"/>
  <c r="O162" i="16" s="1"/>
  <c r="O161" i="16" s="1"/>
  <c r="O160" i="16" s="1"/>
  <c r="Q86" i="16"/>
  <c r="I85" i="16"/>
  <c r="Q85" i="16" s="1"/>
  <c r="I78" i="16"/>
  <c r="Q79" i="16"/>
  <c r="O65" i="16"/>
  <c r="O64" i="16" s="1"/>
  <c r="O63" i="16" s="1"/>
  <c r="O62" i="16" s="1"/>
  <c r="O61" i="16" s="1"/>
  <c r="I64" i="16"/>
  <c r="Q65" i="16"/>
  <c r="P73" i="16"/>
  <c r="Q73" i="16" s="1"/>
  <c r="G72" i="16"/>
  <c r="P72" i="16" s="1"/>
  <c r="I556" i="16"/>
  <c r="Q485" i="16"/>
  <c r="I484" i="16"/>
  <c r="Q544" i="16"/>
  <c r="O476" i="16"/>
  <c r="O475" i="16" s="1"/>
  <c r="M475" i="16"/>
  <c r="I455" i="16"/>
  <c r="Q456" i="16"/>
  <c r="I465" i="16"/>
  <c r="Q510" i="16"/>
  <c r="I509" i="16"/>
  <c r="P504" i="16"/>
  <c r="Q504" i="16" s="1"/>
  <c r="I503" i="16"/>
  <c r="N504" i="16"/>
  <c r="H503" i="16"/>
  <c r="Q530" i="16"/>
  <c r="I443" i="16"/>
  <c r="Q444" i="16"/>
  <c r="P408" i="16"/>
  <c r="G407" i="16"/>
  <c r="P443" i="16"/>
  <c r="Q413" i="16"/>
  <c r="O413" i="16"/>
  <c r="O412" i="16" s="1"/>
  <c r="O408" i="16" s="1"/>
  <c r="O407" i="16" s="1"/>
  <c r="O406" i="16" s="1"/>
  <c r="O405" i="16" s="1"/>
  <c r="I412" i="16"/>
  <c r="Q348" i="16"/>
  <c r="O348" i="16"/>
  <c r="O347" i="16" s="1"/>
  <c r="I347" i="16"/>
  <c r="Q347" i="16" s="1"/>
  <c r="P394" i="16"/>
  <c r="G393" i="16"/>
  <c r="G373" i="16"/>
  <c r="P373" i="16" s="1"/>
  <c r="Q373" i="16" s="1"/>
  <c r="P374" i="16"/>
  <c r="Q374" i="16" s="1"/>
  <c r="H334" i="16"/>
  <c r="H333" i="16" s="1"/>
  <c r="H332" i="16" s="1"/>
  <c r="H331" i="16" s="1"/>
  <c r="Q321" i="16"/>
  <c r="O321" i="16"/>
  <c r="O320" i="16" s="1"/>
  <c r="O319" i="16" s="1"/>
  <c r="I320" i="16"/>
  <c r="Q326" i="16"/>
  <c r="I325" i="16"/>
  <c r="N262" i="16"/>
  <c r="O231" i="16"/>
  <c r="O226" i="16" s="1"/>
  <c r="Q231" i="16"/>
  <c r="L331" i="16"/>
  <c r="P245" i="16"/>
  <c r="G244" i="16"/>
  <c r="P244" i="16" s="1"/>
  <c r="J214" i="16"/>
  <c r="J176" i="16" s="1"/>
  <c r="I138" i="16"/>
  <c r="Q138" i="16" s="1"/>
  <c r="Q139" i="16"/>
  <c r="Q242" i="16"/>
  <c r="O242" i="16"/>
  <c r="H216" i="16"/>
  <c r="P217" i="16"/>
  <c r="Q217" i="16" s="1"/>
  <c r="N217" i="16"/>
  <c r="N216" i="16" s="1"/>
  <c r="N215" i="16" s="1"/>
  <c r="N214" i="16" s="1"/>
  <c r="P162" i="16"/>
  <c r="O126" i="16"/>
  <c r="O125" i="16" s="1"/>
  <c r="I125" i="16"/>
  <c r="I239" i="16"/>
  <c r="N185" i="16"/>
  <c r="Q122" i="16"/>
  <c r="O122" i="16"/>
  <c r="O121" i="16" s="1"/>
  <c r="O120" i="16" s="1"/>
  <c r="O119" i="16" s="1"/>
  <c r="I121" i="16"/>
  <c r="G61" i="16"/>
  <c r="P61" i="16" s="1"/>
  <c r="I26" i="16"/>
  <c r="Q27" i="16"/>
  <c r="I44" i="16"/>
  <c r="I72" i="16"/>
  <c r="H103" i="15"/>
  <c r="I302" i="16" l="1"/>
  <c r="M35" i="16"/>
  <c r="G215" i="16"/>
  <c r="O516" i="16"/>
  <c r="O515" i="16" s="1"/>
  <c r="L176" i="16"/>
  <c r="N302" i="16"/>
  <c r="N301" i="16" s="1"/>
  <c r="H301" i="16"/>
  <c r="H289" i="16" s="1"/>
  <c r="M262" i="16"/>
  <c r="J34" i="16"/>
  <c r="J21" i="16" s="1"/>
  <c r="G131" i="16"/>
  <c r="P131" i="16" s="1"/>
  <c r="G161" i="16"/>
  <c r="G160" i="16" s="1"/>
  <c r="P160" i="16" s="1"/>
  <c r="M474" i="16"/>
  <c r="M473" i="16" s="1"/>
  <c r="Q412" i="16"/>
  <c r="P302" i="16"/>
  <c r="M302" i="16"/>
  <c r="M301" i="16" s="1"/>
  <c r="M289" i="16"/>
  <c r="M288" i="16" s="1"/>
  <c r="N176" i="16"/>
  <c r="Q125" i="16"/>
  <c r="G97" i="16"/>
  <c r="P97" i="16" s="1"/>
  <c r="Q26" i="16"/>
  <c r="I25" i="16"/>
  <c r="I324" i="16"/>
  <c r="Q324" i="16" s="1"/>
  <c r="Q325" i="16"/>
  <c r="Q121" i="16"/>
  <c r="I120" i="16"/>
  <c r="I238" i="16"/>
  <c r="Q238" i="16" s="1"/>
  <c r="Q239" i="16"/>
  <c r="O239" i="16"/>
  <c r="O238" i="16" s="1"/>
  <c r="H215" i="16"/>
  <c r="P216" i="16"/>
  <c r="Q216" i="16" s="1"/>
  <c r="N503" i="16"/>
  <c r="N473" i="16" s="1"/>
  <c r="N472" i="16" s="1"/>
  <c r="N471" i="16" s="1"/>
  <c r="P503" i="16"/>
  <c r="Q503" i="16" s="1"/>
  <c r="H473" i="16"/>
  <c r="H472" i="16" s="1"/>
  <c r="H471" i="16" s="1"/>
  <c r="Q509" i="16"/>
  <c r="I508" i="16"/>
  <c r="Q543" i="16"/>
  <c r="I542" i="16"/>
  <c r="I77" i="16"/>
  <c r="Q78" i="16"/>
  <c r="Q201" i="16"/>
  <c r="I200" i="16"/>
  <c r="P559" i="16"/>
  <c r="Q559" i="16" s="1"/>
  <c r="G558" i="16"/>
  <c r="I186" i="16"/>
  <c r="G288" i="16"/>
  <c r="I334" i="16"/>
  <c r="Q335" i="16"/>
  <c r="N373" i="16"/>
  <c r="K331" i="16"/>
  <c r="K261" i="16" s="1"/>
  <c r="K34" i="16" s="1"/>
  <c r="K21" i="16" s="1"/>
  <c r="P187" i="16"/>
  <c r="Q187" i="16" s="1"/>
  <c r="G186" i="16"/>
  <c r="O132" i="16"/>
  <c r="O131" i="16" s="1"/>
  <c r="O130" i="16" s="1"/>
  <c r="O123" i="16" s="1"/>
  <c r="G178" i="16"/>
  <c r="P179" i="16"/>
  <c r="Q179" i="16" s="1"/>
  <c r="P333" i="16"/>
  <c r="G332" i="16"/>
  <c r="P436" i="16"/>
  <c r="G435" i="16"/>
  <c r="P435" i="16" s="1"/>
  <c r="P467" i="16"/>
  <c r="Q467" i="16" s="1"/>
  <c r="G466" i="16"/>
  <c r="O311" i="16"/>
  <c r="P393" i="16"/>
  <c r="G392" i="16"/>
  <c r="P392" i="16" s="1"/>
  <c r="I442" i="16"/>
  <c r="Q443" i="16"/>
  <c r="I454" i="16"/>
  <c r="Q455" i="16"/>
  <c r="Q64" i="16"/>
  <c r="I63" i="16"/>
  <c r="P262" i="16"/>
  <c r="P475" i="16"/>
  <c r="G474" i="16"/>
  <c r="Q100" i="16"/>
  <c r="I99" i="16"/>
  <c r="O334" i="16"/>
  <c r="O333" i="16" s="1"/>
  <c r="O332" i="16" s="1"/>
  <c r="O331" i="16" s="1"/>
  <c r="G77" i="16"/>
  <c r="P77" i="16" s="1"/>
  <c r="I153" i="16"/>
  <c r="Q154" i="16"/>
  <c r="L261" i="16"/>
  <c r="O306" i="16"/>
  <c r="Q306" i="16"/>
  <c r="P334" i="16"/>
  <c r="I408" i="16"/>
  <c r="P407" i="16"/>
  <c r="G406" i="16"/>
  <c r="O503" i="16"/>
  <c r="I483" i="16"/>
  <c r="Q483" i="16" s="1"/>
  <c r="Q484" i="16"/>
  <c r="I116" i="16"/>
  <c r="Q117" i="16"/>
  <c r="N331" i="16"/>
  <c r="G507" i="16"/>
  <c r="P507" i="16" s="1"/>
  <c r="P508" i="16"/>
  <c r="P36" i="16"/>
  <c r="Q36" i="16" s="1"/>
  <c r="P23" i="16"/>
  <c r="G22" i="16"/>
  <c r="Q205" i="16"/>
  <c r="I204" i="16"/>
  <c r="Q204" i="16" s="1"/>
  <c r="O205" i="16"/>
  <c r="O204" i="16" s="1"/>
  <c r="O217" i="16"/>
  <c r="O216" i="16" s="1"/>
  <c r="O215" i="16" s="1"/>
  <c r="I215" i="16"/>
  <c r="Q283" i="16"/>
  <c r="I282" i="16"/>
  <c r="Q245" i="16"/>
  <c r="I244" i="16"/>
  <c r="Q244" i="16" s="1"/>
  <c r="O98" i="16"/>
  <c r="O97" i="16" s="1"/>
  <c r="O66" i="16" s="1"/>
  <c r="O35" i="16" s="1"/>
  <c r="M204" i="16"/>
  <c r="M185" i="16"/>
  <c r="M176" i="16" s="1"/>
  <c r="O268" i="16"/>
  <c r="Q263" i="16"/>
  <c r="Q268" i="16"/>
  <c r="P454" i="16"/>
  <c r="G453" i="16"/>
  <c r="P453" i="16" s="1"/>
  <c r="Q72" i="16"/>
  <c r="I43" i="16"/>
  <c r="I319" i="16"/>
  <c r="Q319" i="16" s="1"/>
  <c r="Q320" i="16"/>
  <c r="I528" i="16"/>
  <c r="Q528" i="16" s="1"/>
  <c r="Q529" i="16"/>
  <c r="I464" i="16"/>
  <c r="O474" i="16"/>
  <c r="I163" i="16"/>
  <c r="Q164" i="16"/>
  <c r="P430" i="16"/>
  <c r="Q430" i="16" s="1"/>
  <c r="G429" i="16"/>
  <c r="P541" i="16"/>
  <c r="G540" i="16"/>
  <c r="I475" i="16"/>
  <c r="Q476" i="16"/>
  <c r="Q518" i="16"/>
  <c r="I517" i="16"/>
  <c r="G515" i="16"/>
  <c r="P515" i="16" s="1"/>
  <c r="P516" i="16"/>
  <c r="I312" i="16"/>
  <c r="Q313" i="16"/>
  <c r="P449" i="16"/>
  <c r="Q449" i="16" s="1"/>
  <c r="G448" i="16"/>
  <c r="P67" i="16"/>
  <c r="Q67" i="16" s="1"/>
  <c r="P44" i="16"/>
  <c r="Q44" i="16" s="1"/>
  <c r="G43" i="16"/>
  <c r="P43" i="16" s="1"/>
  <c r="I178" i="16"/>
  <c r="Q108" i="16"/>
  <c r="I104" i="16"/>
  <c r="Q104" i="16" s="1"/>
  <c r="I133" i="16"/>
  <c r="Q211" i="16"/>
  <c r="I210" i="16"/>
  <c r="G214" i="16"/>
  <c r="Q295" i="16"/>
  <c r="I291" i="16"/>
  <c r="Q437" i="16"/>
  <c r="I436" i="16"/>
  <c r="I393" i="16"/>
  <c r="Q394" i="16"/>
  <c r="H112" i="15"/>
  <c r="H59" i="15"/>
  <c r="L34" i="16" l="1"/>
  <c r="L21" i="16" s="1"/>
  <c r="P161" i="16"/>
  <c r="N289" i="16"/>
  <c r="H288" i="16"/>
  <c r="H261" i="16" s="1"/>
  <c r="O473" i="16"/>
  <c r="O302" i="16"/>
  <c r="O301" i="16" s="1"/>
  <c r="P289" i="16"/>
  <c r="P301" i="16"/>
  <c r="G130" i="16"/>
  <c r="G123" i="16" s="1"/>
  <c r="P123" i="16" s="1"/>
  <c r="O214" i="16"/>
  <c r="G66" i="16"/>
  <c r="P66" i="16" s="1"/>
  <c r="I474" i="16"/>
  <c r="Q475" i="16"/>
  <c r="I290" i="16"/>
  <c r="I289" i="16" s="1"/>
  <c r="Q291" i="16"/>
  <c r="I177" i="16"/>
  <c r="Q517" i="16"/>
  <c r="I516" i="16"/>
  <c r="P540" i="16"/>
  <c r="G539" i="16"/>
  <c r="I214" i="16"/>
  <c r="I301" i="16"/>
  <c r="Q302" i="16"/>
  <c r="I62" i="16"/>
  <c r="Q63" i="16"/>
  <c r="Q454" i="16"/>
  <c r="I453" i="16"/>
  <c r="Q453" i="16" s="1"/>
  <c r="I333" i="16"/>
  <c r="Q334" i="16"/>
  <c r="I199" i="16"/>
  <c r="Q199" i="16" s="1"/>
  <c r="Q200" i="16"/>
  <c r="Q77" i="16"/>
  <c r="I119" i="16"/>
  <c r="Q119" i="16" s="1"/>
  <c r="Q120" i="16"/>
  <c r="I24" i="16"/>
  <c r="Q25" i="16"/>
  <c r="Q282" i="16"/>
  <c r="I277" i="16"/>
  <c r="I115" i="16"/>
  <c r="Q115" i="16" s="1"/>
  <c r="Q116" i="16"/>
  <c r="I407" i="16"/>
  <c r="Q408" i="16"/>
  <c r="I152" i="16"/>
  <c r="Q152" i="16" s="1"/>
  <c r="Q153" i="16"/>
  <c r="I98" i="16"/>
  <c r="Q99" i="16"/>
  <c r="P178" i="16"/>
  <c r="Q178" i="16" s="1"/>
  <c r="G177" i="16"/>
  <c r="I541" i="16"/>
  <c r="Q542" i="16"/>
  <c r="I392" i="16"/>
  <c r="Q392" i="16" s="1"/>
  <c r="Q393" i="16"/>
  <c r="Q133" i="16"/>
  <c r="I132" i="16"/>
  <c r="Q312" i="16"/>
  <c r="I311" i="16"/>
  <c r="I435" i="16"/>
  <c r="Q436" i="16"/>
  <c r="P448" i="16"/>
  <c r="Q448" i="16" s="1"/>
  <c r="G447" i="16"/>
  <c r="P447" i="16" s="1"/>
  <c r="Q447" i="16" s="1"/>
  <c r="P429" i="16"/>
  <c r="Q429" i="16" s="1"/>
  <c r="Q163" i="16"/>
  <c r="I162" i="16"/>
  <c r="Q43" i="16"/>
  <c r="O263" i="16"/>
  <c r="O262" i="16"/>
  <c r="Q442" i="16"/>
  <c r="I441" i="16"/>
  <c r="Q441" i="16" s="1"/>
  <c r="P466" i="16"/>
  <c r="Q466" i="16" s="1"/>
  <c r="G465" i="16"/>
  <c r="P332" i="16"/>
  <c r="G331" i="16"/>
  <c r="M332" i="16"/>
  <c r="M331" i="16" s="1"/>
  <c r="M261" i="16" s="1"/>
  <c r="M34" i="16" s="1"/>
  <c r="G557" i="16"/>
  <c r="P558" i="16"/>
  <c r="Q558" i="16" s="1"/>
  <c r="O185" i="16"/>
  <c r="H214" i="16"/>
  <c r="H176" i="16" s="1"/>
  <c r="P215" i="16"/>
  <c r="Q215" i="16" s="1"/>
  <c r="I209" i="16"/>
  <c r="Q210" i="16"/>
  <c r="P22" i="16"/>
  <c r="P406" i="16"/>
  <c r="G405" i="16"/>
  <c r="P405" i="16" s="1"/>
  <c r="P474" i="16"/>
  <c r="G473" i="16"/>
  <c r="G185" i="16"/>
  <c r="P185" i="16" s="1"/>
  <c r="P186" i="16"/>
  <c r="Q186" i="16" s="1"/>
  <c r="I507" i="16"/>
  <c r="Q507" i="16" s="1"/>
  <c r="Q508" i="16"/>
  <c r="N99" i="15"/>
  <c r="O99" i="15" s="1"/>
  <c r="H99" i="15"/>
  <c r="H34" i="16" l="1"/>
  <c r="H21" i="16" s="1"/>
  <c r="P288" i="16"/>
  <c r="P130" i="16"/>
  <c r="Q301" i="16"/>
  <c r="G428" i="16"/>
  <c r="P428" i="16" s="1"/>
  <c r="O289" i="16"/>
  <c r="O288" i="16" s="1"/>
  <c r="O261" i="16" s="1"/>
  <c r="N288" i="16"/>
  <c r="N261" i="16" s="1"/>
  <c r="N34" i="16" s="1"/>
  <c r="N21" i="16" s="1"/>
  <c r="O176" i="16"/>
  <c r="I131" i="16"/>
  <c r="I185" i="16"/>
  <c r="Q185" i="16" s="1"/>
  <c r="Q311" i="16"/>
  <c r="G35" i="16"/>
  <c r="P35" i="16" s="1"/>
  <c r="P557" i="16"/>
  <c r="Q557" i="16" s="1"/>
  <c r="G556" i="16"/>
  <c r="P556" i="16" s="1"/>
  <c r="Q556" i="16" s="1"/>
  <c r="I161" i="16"/>
  <c r="Q162" i="16"/>
  <c r="Q435" i="16"/>
  <c r="I428" i="16"/>
  <c r="Q132" i="16"/>
  <c r="P539" i="16"/>
  <c r="G538" i="16"/>
  <c r="P538" i="16" s="1"/>
  <c r="P331" i="16"/>
  <c r="G261" i="16"/>
  <c r="P261" i="16" s="1"/>
  <c r="I540" i="16"/>
  <c r="Q541" i="16"/>
  <c r="I406" i="16"/>
  <c r="Q407" i="16"/>
  <c r="Q24" i="16"/>
  <c r="I23" i="16"/>
  <c r="Q474" i="16"/>
  <c r="I473" i="16"/>
  <c r="P473" i="16"/>
  <c r="G472" i="16"/>
  <c r="I97" i="16"/>
  <c r="Q98" i="16"/>
  <c r="Q209" i="16"/>
  <c r="I208" i="16"/>
  <c r="Q208" i="16" s="1"/>
  <c r="P214" i="16"/>
  <c r="Q214" i="16" s="1"/>
  <c r="G176" i="16"/>
  <c r="P176" i="16" s="1"/>
  <c r="P177" i="16"/>
  <c r="Q177" i="16" s="1"/>
  <c r="I262" i="16"/>
  <c r="Q277" i="16"/>
  <c r="Q333" i="16"/>
  <c r="I332" i="16"/>
  <c r="I61" i="16"/>
  <c r="Q62" i="16"/>
  <c r="I515" i="16"/>
  <c r="Q515" i="16" s="1"/>
  <c r="Q516" i="16"/>
  <c r="P465" i="16"/>
  <c r="Q465" i="16" s="1"/>
  <c r="G464" i="16"/>
  <c r="P464" i="16" s="1"/>
  <c r="Q464" i="16" s="1"/>
  <c r="Q290" i="16"/>
  <c r="I288" i="16"/>
  <c r="I99" i="15"/>
  <c r="O34" i="16" l="1"/>
  <c r="Q428" i="16"/>
  <c r="Q61" i="16"/>
  <c r="I472" i="16"/>
  <c r="Q473" i="16"/>
  <c r="I331" i="16"/>
  <c r="Q331" i="16" s="1"/>
  <c r="Q332" i="16"/>
  <c r="I22" i="16"/>
  <c r="Q23" i="16"/>
  <c r="Q540" i="16"/>
  <c r="I539" i="16"/>
  <c r="P472" i="16"/>
  <c r="M472" i="16"/>
  <c r="M471" i="16" s="1"/>
  <c r="M21" i="16" s="1"/>
  <c r="G471" i="16"/>
  <c r="P471" i="16" s="1"/>
  <c r="Q97" i="16"/>
  <c r="I66" i="16"/>
  <c r="Q66" i="16" s="1"/>
  <c r="I176" i="16"/>
  <c r="Q176" i="16" s="1"/>
  <c r="Q288" i="16"/>
  <c r="Q289" i="16"/>
  <c r="Q262" i="16"/>
  <c r="G34" i="16"/>
  <c r="Q406" i="16"/>
  <c r="I405" i="16"/>
  <c r="Q405" i="16" s="1"/>
  <c r="I130" i="16"/>
  <c r="Q131" i="16"/>
  <c r="I160" i="16"/>
  <c r="Q160" i="16" s="1"/>
  <c r="Q161" i="16"/>
  <c r="H95" i="15"/>
  <c r="I123" i="16" l="1"/>
  <c r="I261" i="16"/>
  <c r="Q261" i="16" s="1"/>
  <c r="Q130" i="16"/>
  <c r="Q123" i="16"/>
  <c r="Q22" i="16"/>
  <c r="O472" i="16"/>
  <c r="O471" i="16" s="1"/>
  <c r="O21" i="16" s="1"/>
  <c r="I471" i="16"/>
  <c r="Q471" i="16" s="1"/>
  <c r="Q472" i="16"/>
  <c r="I538" i="16"/>
  <c r="Q538" i="16" s="1"/>
  <c r="Q539" i="16"/>
  <c r="I35" i="16"/>
  <c r="P34" i="16"/>
  <c r="G21" i="16"/>
  <c r="P21" i="16" s="1"/>
  <c r="K289" i="15"/>
  <c r="I34" i="16" l="1"/>
  <c r="Q35" i="16"/>
  <c r="N124" i="15"/>
  <c r="H138" i="15"/>
  <c r="Q34" i="16" l="1"/>
  <c r="I21" i="16"/>
  <c r="Q21" i="16" s="1"/>
  <c r="H161" i="15"/>
  <c r="H159" i="15"/>
  <c r="K500" i="15" l="1"/>
  <c r="K499" i="15"/>
  <c r="H149" i="15"/>
  <c r="O487" i="15"/>
  <c r="M487" i="15"/>
  <c r="O477" i="15"/>
  <c r="M477" i="15"/>
  <c r="O198" i="15"/>
  <c r="M198" i="15"/>
  <c r="I198" i="15"/>
  <c r="G198" i="15"/>
  <c r="P159" i="15"/>
  <c r="O50" i="15"/>
  <c r="M50" i="15"/>
  <c r="M51" i="15"/>
  <c r="L51" i="15"/>
  <c r="L50" i="15"/>
  <c r="H506" i="15"/>
  <c r="P506" i="15" s="1"/>
  <c r="Q506" i="15" s="1"/>
  <c r="P22" i="15"/>
  <c r="Q22" i="15" s="1"/>
  <c r="P23" i="15"/>
  <c r="Q23" i="15"/>
  <c r="P24" i="15"/>
  <c r="Q24" i="15" s="1"/>
  <c r="P25" i="15"/>
  <c r="Q25" i="15" s="1"/>
  <c r="P26" i="15"/>
  <c r="Q26" i="15" s="1"/>
  <c r="P27" i="15"/>
  <c r="Q27" i="15" s="1"/>
  <c r="P28" i="15"/>
  <c r="Q28" i="15" s="1"/>
  <c r="P29" i="15"/>
  <c r="Q29" i="15"/>
  <c r="P30" i="15"/>
  <c r="Q30" i="15" s="1"/>
  <c r="P31" i="15"/>
  <c r="Q31" i="15"/>
  <c r="P32" i="15"/>
  <c r="Q32" i="15" s="1"/>
  <c r="P33" i="15"/>
  <c r="Q33" i="15" s="1"/>
  <c r="P36" i="15"/>
  <c r="Q36" i="15" s="1"/>
  <c r="P37" i="15"/>
  <c r="Q37" i="15"/>
  <c r="P38" i="15"/>
  <c r="Q38" i="15" s="1"/>
  <c r="P39" i="15"/>
  <c r="Q39" i="15"/>
  <c r="P40" i="15"/>
  <c r="Q40" i="15" s="1"/>
  <c r="P41" i="15"/>
  <c r="Q41" i="15" s="1"/>
  <c r="P42" i="15"/>
  <c r="Q42" i="15" s="1"/>
  <c r="P43" i="15"/>
  <c r="Q43" i="15" s="1"/>
  <c r="P44" i="15"/>
  <c r="Q44" i="15" s="1"/>
  <c r="P45" i="15"/>
  <c r="Q45" i="15"/>
  <c r="P46" i="15"/>
  <c r="Q46" i="15" s="1"/>
  <c r="P47" i="15"/>
  <c r="Q47" i="15"/>
  <c r="P48" i="15"/>
  <c r="Q48" i="15" s="1"/>
  <c r="P49" i="15"/>
  <c r="Q49" i="15" s="1"/>
  <c r="P50" i="15"/>
  <c r="Q50" i="15" s="1"/>
  <c r="P51" i="15"/>
  <c r="Q51" i="15" s="1"/>
  <c r="P52" i="15"/>
  <c r="Q52" i="15" s="1"/>
  <c r="P53" i="15"/>
  <c r="Q53" i="15"/>
  <c r="P54" i="15"/>
  <c r="Q54" i="15" s="1"/>
  <c r="P59" i="15"/>
  <c r="P61" i="15"/>
  <c r="Q61" i="15"/>
  <c r="P62" i="15"/>
  <c r="Q62" i="15" s="1"/>
  <c r="P63" i="15"/>
  <c r="Q63" i="15"/>
  <c r="P64" i="15"/>
  <c r="Q64" i="15" s="1"/>
  <c r="P65" i="15"/>
  <c r="Q65" i="15" s="1"/>
  <c r="P66" i="15"/>
  <c r="Q66" i="15" s="1"/>
  <c r="P67" i="15"/>
  <c r="Q67" i="15" s="1"/>
  <c r="P68" i="15"/>
  <c r="Q68" i="15" s="1"/>
  <c r="P69" i="15"/>
  <c r="Q69" i="15"/>
  <c r="P70" i="15"/>
  <c r="Q70" i="15" s="1"/>
  <c r="P71" i="15"/>
  <c r="Q71" i="15"/>
  <c r="P72" i="15"/>
  <c r="Q72" i="15" s="1"/>
  <c r="P73" i="15"/>
  <c r="Q73" i="15" s="1"/>
  <c r="P74" i="15"/>
  <c r="Q74" i="15" s="1"/>
  <c r="P75" i="15"/>
  <c r="Q75" i="15" s="1"/>
  <c r="P76" i="15"/>
  <c r="Q76" i="15" s="1"/>
  <c r="P77" i="15"/>
  <c r="Q77" i="15"/>
  <c r="P78" i="15"/>
  <c r="Q78" i="15" s="1"/>
  <c r="P79" i="15"/>
  <c r="Q79" i="15"/>
  <c r="P80" i="15"/>
  <c r="Q80" i="15" s="1"/>
  <c r="P81" i="15"/>
  <c r="Q81" i="15" s="1"/>
  <c r="P82" i="15"/>
  <c r="Q82" i="15" s="1"/>
  <c r="P83" i="15"/>
  <c r="Q83" i="15" s="1"/>
  <c r="P84" i="15"/>
  <c r="Q84" i="15" s="1"/>
  <c r="P85" i="15"/>
  <c r="Q85" i="15"/>
  <c r="P86" i="15"/>
  <c r="Q86" i="15" s="1"/>
  <c r="P87" i="15"/>
  <c r="Q87" i="15"/>
  <c r="P88" i="15"/>
  <c r="Q88" i="15" s="1"/>
  <c r="P89" i="15"/>
  <c r="Q89" i="15" s="1"/>
  <c r="P90" i="15"/>
  <c r="Q90" i="15" s="1"/>
  <c r="P95" i="15"/>
  <c r="P96" i="15"/>
  <c r="Q96" i="15" s="1"/>
  <c r="P97" i="15"/>
  <c r="Q97" i="15" s="1"/>
  <c r="P99" i="15"/>
  <c r="Q99" i="15" s="1"/>
  <c r="P100" i="15"/>
  <c r="Q100" i="15" s="1"/>
  <c r="P101" i="15"/>
  <c r="Q101" i="15"/>
  <c r="P103" i="15"/>
  <c r="P104" i="15"/>
  <c r="P105" i="15"/>
  <c r="Q105" i="15" s="1"/>
  <c r="P106" i="15"/>
  <c r="Q106" i="15" s="1"/>
  <c r="P107" i="15"/>
  <c r="Q107" i="15" s="1"/>
  <c r="P108" i="15"/>
  <c r="Q108" i="15" s="1"/>
  <c r="P112" i="15"/>
  <c r="P116" i="15"/>
  <c r="P118" i="15"/>
  <c r="Q118" i="15" s="1"/>
  <c r="P119" i="15"/>
  <c r="Q119" i="15"/>
  <c r="P120" i="15"/>
  <c r="Q120" i="15" s="1"/>
  <c r="P121" i="15"/>
  <c r="Q121" i="15" s="1"/>
  <c r="P122" i="15"/>
  <c r="Q122" i="15" s="1"/>
  <c r="P123" i="15"/>
  <c r="Q123" i="15" s="1"/>
  <c r="P127" i="15"/>
  <c r="Q127" i="15"/>
  <c r="P128" i="15"/>
  <c r="Q128" i="15" s="1"/>
  <c r="P129" i="15"/>
  <c r="Q129" i="15" s="1"/>
  <c r="P130" i="15"/>
  <c r="Q130" i="15" s="1"/>
  <c r="P131" i="15"/>
  <c r="Q131" i="15" s="1"/>
  <c r="P132" i="15"/>
  <c r="Q132" i="15" s="1"/>
  <c r="P133" i="15"/>
  <c r="Q133" i="15"/>
  <c r="P134" i="15"/>
  <c r="Q134" i="15" s="1"/>
  <c r="P135" i="15"/>
  <c r="Q135" i="15"/>
  <c r="P138" i="15"/>
  <c r="P139" i="15"/>
  <c r="P140" i="15"/>
  <c r="P141" i="15"/>
  <c r="P142" i="15"/>
  <c r="Q142" i="15" s="1"/>
  <c r="P143" i="15"/>
  <c r="Q143" i="15"/>
  <c r="P144" i="15"/>
  <c r="Q144" i="15" s="1"/>
  <c r="P145" i="15"/>
  <c r="Q145" i="15" s="1"/>
  <c r="P149" i="15"/>
  <c r="P150" i="15"/>
  <c r="Q150" i="15" s="1"/>
  <c r="P151" i="15"/>
  <c r="Q151" i="15"/>
  <c r="P152" i="15"/>
  <c r="Q152" i="15" s="1"/>
  <c r="P153" i="15"/>
  <c r="Q153" i="15" s="1"/>
  <c r="P161" i="15"/>
  <c r="P162" i="15"/>
  <c r="Q162" i="15" s="1"/>
  <c r="P163" i="15"/>
  <c r="Q163" i="15" s="1"/>
  <c r="P164" i="15"/>
  <c r="Q164" i="15" s="1"/>
  <c r="P165" i="15"/>
  <c r="Q165" i="15"/>
  <c r="P166" i="15"/>
  <c r="Q166" i="15" s="1"/>
  <c r="P167" i="15"/>
  <c r="Q167" i="15"/>
  <c r="P168" i="15"/>
  <c r="Q168" i="15" s="1"/>
  <c r="P169" i="15"/>
  <c r="Q169" i="15" s="1"/>
  <c r="P170" i="15"/>
  <c r="Q170" i="15" s="1"/>
  <c r="P171" i="15"/>
  <c r="Q171" i="15" s="1"/>
  <c r="P172" i="15"/>
  <c r="Q172" i="15" s="1"/>
  <c r="P173" i="15"/>
  <c r="Q173" i="15" s="1"/>
  <c r="P174" i="15"/>
  <c r="Q174" i="15" s="1"/>
  <c r="P175" i="15"/>
  <c r="Q175" i="15"/>
  <c r="P176" i="15"/>
  <c r="Q176" i="15" s="1"/>
  <c r="P177" i="15"/>
  <c r="Q177" i="15" s="1"/>
  <c r="P178" i="15"/>
  <c r="Q178" i="15" s="1"/>
  <c r="P179" i="15"/>
  <c r="Q179" i="15" s="1"/>
  <c r="P180" i="15"/>
  <c r="Q180" i="15" s="1"/>
  <c r="P181" i="15"/>
  <c r="Q181" i="15"/>
  <c r="P182" i="15"/>
  <c r="Q182" i="15" s="1"/>
  <c r="P183" i="15"/>
  <c r="Q183" i="15"/>
  <c r="P184" i="15"/>
  <c r="Q184" i="15" s="1"/>
  <c r="P185" i="15"/>
  <c r="Q185" i="15" s="1"/>
  <c r="P186" i="15"/>
  <c r="Q186" i="15" s="1"/>
  <c r="P187" i="15"/>
  <c r="Q187" i="15" s="1"/>
  <c r="P188" i="15"/>
  <c r="Q188" i="15" s="1"/>
  <c r="P189" i="15"/>
  <c r="Q189" i="15" s="1"/>
  <c r="P190" i="15"/>
  <c r="Q190" i="15" s="1"/>
  <c r="P191" i="15"/>
  <c r="Q191" i="15"/>
  <c r="P192" i="15"/>
  <c r="Q192" i="15" s="1"/>
  <c r="P193" i="15"/>
  <c r="Q193" i="15"/>
  <c r="P194" i="15"/>
  <c r="Q194" i="15" s="1"/>
  <c r="P195" i="15"/>
  <c r="Q195" i="15"/>
  <c r="P196" i="15"/>
  <c r="Q196" i="15" s="1"/>
  <c r="P197" i="15"/>
  <c r="Q197" i="15"/>
  <c r="P198" i="15"/>
  <c r="P199" i="15"/>
  <c r="Q199" i="15"/>
  <c r="P200" i="15"/>
  <c r="Q200" i="15" s="1"/>
  <c r="P201" i="15"/>
  <c r="Q201" i="15"/>
  <c r="P202" i="15"/>
  <c r="Q202" i="15" s="1"/>
  <c r="P203" i="15"/>
  <c r="Q203" i="15"/>
  <c r="P204" i="15"/>
  <c r="Q204" i="15" s="1"/>
  <c r="P205" i="15"/>
  <c r="Q205" i="15"/>
  <c r="P206" i="15"/>
  <c r="Q206" i="15" s="1"/>
  <c r="P207" i="15"/>
  <c r="Q207" i="15"/>
  <c r="P208" i="15"/>
  <c r="Q208" i="15" s="1"/>
  <c r="P209" i="15"/>
  <c r="Q209" i="15"/>
  <c r="P210" i="15"/>
  <c r="Q210" i="15" s="1"/>
  <c r="P211" i="15"/>
  <c r="Q211" i="15"/>
  <c r="P212" i="15"/>
  <c r="Q212" i="15" s="1"/>
  <c r="P213" i="15"/>
  <c r="Q213" i="15"/>
  <c r="P214" i="15"/>
  <c r="Q214" i="15" s="1"/>
  <c r="P215" i="15"/>
  <c r="Q215" i="15"/>
  <c r="P216" i="15"/>
  <c r="Q216" i="15" s="1"/>
  <c r="P217" i="15"/>
  <c r="Q217" i="15"/>
  <c r="P218" i="15"/>
  <c r="Q218" i="15" s="1"/>
  <c r="P219" i="15"/>
  <c r="Q219" i="15"/>
  <c r="P220" i="15"/>
  <c r="Q220" i="15" s="1"/>
  <c r="P221" i="15"/>
  <c r="Q221" i="15"/>
  <c r="P222" i="15"/>
  <c r="Q222" i="15" s="1"/>
  <c r="P223" i="15"/>
  <c r="Q223" i="15"/>
  <c r="P224" i="15"/>
  <c r="Q224" i="15" s="1"/>
  <c r="P225" i="15"/>
  <c r="Q225" i="15"/>
  <c r="P226" i="15"/>
  <c r="Q226" i="15" s="1"/>
  <c r="P227" i="15"/>
  <c r="Q227" i="15"/>
  <c r="P228" i="15"/>
  <c r="Q228" i="15" s="1"/>
  <c r="P229" i="15"/>
  <c r="Q229" i="15"/>
  <c r="P230" i="15"/>
  <c r="Q230" i="15" s="1"/>
  <c r="P231" i="15"/>
  <c r="Q231" i="15"/>
  <c r="P232" i="15"/>
  <c r="Q232" i="15" s="1"/>
  <c r="P233" i="15"/>
  <c r="Q233" i="15"/>
  <c r="P234" i="15"/>
  <c r="Q234" i="15" s="1"/>
  <c r="P235" i="15"/>
  <c r="Q235" i="15"/>
  <c r="P236" i="15"/>
  <c r="Q236" i="15" s="1"/>
  <c r="P237" i="15"/>
  <c r="Q237" i="15"/>
  <c r="P238" i="15"/>
  <c r="Q238" i="15" s="1"/>
  <c r="P239" i="15"/>
  <c r="Q239" i="15"/>
  <c r="P240" i="15"/>
  <c r="Q240" i="15" s="1"/>
  <c r="P241" i="15"/>
  <c r="Q241" i="15"/>
  <c r="P242" i="15"/>
  <c r="Q242" i="15" s="1"/>
  <c r="P243" i="15"/>
  <c r="Q243" i="15"/>
  <c r="P244" i="15"/>
  <c r="Q244" i="15" s="1"/>
  <c r="P245" i="15"/>
  <c r="Q245" i="15"/>
  <c r="P246" i="15"/>
  <c r="Q246" i="15" s="1"/>
  <c r="P247" i="15"/>
  <c r="Q247" i="15"/>
  <c r="P248" i="15"/>
  <c r="Q248" i="15" s="1"/>
  <c r="P249" i="15"/>
  <c r="Q249" i="15"/>
  <c r="P250" i="15"/>
  <c r="Q250" i="15" s="1"/>
  <c r="P251" i="15"/>
  <c r="Q251" i="15"/>
  <c r="P252" i="15"/>
  <c r="Q252" i="15" s="1"/>
  <c r="P253" i="15"/>
  <c r="Q253" i="15"/>
  <c r="P256" i="15"/>
  <c r="Q256" i="15" s="1"/>
  <c r="P257" i="15"/>
  <c r="Q257" i="15"/>
  <c r="P258" i="15"/>
  <c r="Q258" i="15" s="1"/>
  <c r="P259" i="15"/>
  <c r="Q259" i="15"/>
  <c r="P260" i="15"/>
  <c r="Q260" i="15" s="1"/>
  <c r="P261" i="15"/>
  <c r="Q261" i="15"/>
  <c r="P262" i="15"/>
  <c r="Q262" i="15" s="1"/>
  <c r="P263" i="15"/>
  <c r="Q263" i="15"/>
  <c r="P264" i="15"/>
  <c r="Q264" i="15" s="1"/>
  <c r="P265" i="15"/>
  <c r="Q265" i="15"/>
  <c r="P266" i="15"/>
  <c r="Q266" i="15" s="1"/>
  <c r="P267" i="15"/>
  <c r="Q267" i="15"/>
  <c r="P268" i="15"/>
  <c r="Q268" i="15" s="1"/>
  <c r="P269" i="15"/>
  <c r="Q269" i="15"/>
  <c r="P274" i="15"/>
  <c r="P277" i="15"/>
  <c r="Q277" i="15"/>
  <c r="P278" i="15"/>
  <c r="Q278" i="15" s="1"/>
  <c r="P280" i="15"/>
  <c r="P285" i="15"/>
  <c r="Q285" i="15"/>
  <c r="P286" i="15"/>
  <c r="Q286" i="15" s="1"/>
  <c r="P287" i="15"/>
  <c r="Q287" i="15"/>
  <c r="P289" i="15"/>
  <c r="P290" i="15"/>
  <c r="Q290" i="15" s="1"/>
  <c r="P291" i="15"/>
  <c r="Q291" i="15"/>
  <c r="P292" i="15"/>
  <c r="Q292" i="15" s="1"/>
  <c r="P293" i="15"/>
  <c r="Q293" i="15"/>
  <c r="P298" i="15"/>
  <c r="P299" i="15"/>
  <c r="Q299" i="15"/>
  <c r="P300" i="15"/>
  <c r="Q300" i="15" s="1"/>
  <c r="P301" i="15"/>
  <c r="Q301" i="15"/>
  <c r="P302" i="15"/>
  <c r="Q302" i="15" s="1"/>
  <c r="P303" i="15"/>
  <c r="Q303" i="15"/>
  <c r="P304" i="15"/>
  <c r="Q304" i="15" s="1"/>
  <c r="P305" i="15"/>
  <c r="Q305" i="15"/>
  <c r="P306" i="15"/>
  <c r="Q306" i="15" s="1"/>
  <c r="P307" i="15"/>
  <c r="Q307" i="15"/>
  <c r="P308" i="15"/>
  <c r="Q308" i="15" s="1"/>
  <c r="P309" i="15"/>
  <c r="Q309" i="15"/>
  <c r="P310" i="15"/>
  <c r="Q310" i="15" s="1"/>
  <c r="P311" i="15"/>
  <c r="Q311" i="15"/>
  <c r="P312" i="15"/>
  <c r="Q312" i="15" s="1"/>
  <c r="P313" i="15"/>
  <c r="Q313" i="15"/>
  <c r="P314" i="15"/>
  <c r="Q314" i="15" s="1"/>
  <c r="P315" i="15"/>
  <c r="Q315" i="15"/>
  <c r="P316" i="15"/>
  <c r="Q316" i="15" s="1"/>
  <c r="P317" i="15"/>
  <c r="Q317" i="15"/>
  <c r="P318" i="15"/>
  <c r="Q318" i="15" s="1"/>
  <c r="P319" i="15"/>
  <c r="Q319" i="15"/>
  <c r="P320" i="15"/>
  <c r="Q320" i="15" s="1"/>
  <c r="P321" i="15"/>
  <c r="Q321" i="15"/>
  <c r="P322" i="15"/>
  <c r="Q322" i="15" s="1"/>
  <c r="P323" i="15"/>
  <c r="Q323" i="15"/>
  <c r="P324" i="15"/>
  <c r="Q324" i="15" s="1"/>
  <c r="P325" i="15"/>
  <c r="Q325" i="15"/>
  <c r="P326" i="15"/>
  <c r="Q326" i="15" s="1"/>
  <c r="P327" i="15"/>
  <c r="Q327" i="15"/>
  <c r="P328" i="15"/>
  <c r="Q328" i="15" s="1"/>
  <c r="P329" i="15"/>
  <c r="Q329" i="15"/>
  <c r="P330" i="15"/>
  <c r="Q330" i="15" s="1"/>
  <c r="P331" i="15"/>
  <c r="Q331" i="15"/>
  <c r="P332" i="15"/>
  <c r="Q332" i="15" s="1"/>
  <c r="P333" i="15"/>
  <c r="Q333" i="15"/>
  <c r="P334" i="15"/>
  <c r="Q334" i="15" s="1"/>
  <c r="P335" i="15"/>
  <c r="Q335" i="15"/>
  <c r="P336" i="15"/>
  <c r="Q336" i="15" s="1"/>
  <c r="P337" i="15"/>
  <c r="Q337" i="15"/>
  <c r="P338" i="15"/>
  <c r="Q338" i="15" s="1"/>
  <c r="P339" i="15"/>
  <c r="Q339" i="15"/>
  <c r="P340" i="15"/>
  <c r="Q340" i="15" s="1"/>
  <c r="P341" i="15"/>
  <c r="Q341" i="15"/>
  <c r="P342" i="15"/>
  <c r="Q342" i="15" s="1"/>
  <c r="P343" i="15"/>
  <c r="Q343" i="15"/>
  <c r="P344" i="15"/>
  <c r="Q344" i="15" s="1"/>
  <c r="P345" i="15"/>
  <c r="Q345" i="15"/>
  <c r="P346" i="15"/>
  <c r="Q346" i="15" s="1"/>
  <c r="P347" i="15"/>
  <c r="Q347" i="15"/>
  <c r="P348" i="15"/>
  <c r="Q348" i="15" s="1"/>
  <c r="P349" i="15"/>
  <c r="Q349" i="15"/>
  <c r="P350" i="15"/>
  <c r="Q350" i="15" s="1"/>
  <c r="P351" i="15"/>
  <c r="Q351" i="15"/>
  <c r="P352" i="15"/>
  <c r="Q352" i="15" s="1"/>
  <c r="P353" i="15"/>
  <c r="Q353" i="15"/>
  <c r="P354" i="15"/>
  <c r="Q354" i="15" s="1"/>
  <c r="P355" i="15"/>
  <c r="Q355" i="15"/>
  <c r="P356" i="15"/>
  <c r="Q356" i="15" s="1"/>
  <c r="P357" i="15"/>
  <c r="Q357" i="15"/>
  <c r="P358" i="15"/>
  <c r="Q358" i="15" s="1"/>
  <c r="P359" i="15"/>
  <c r="Q359" i="15"/>
  <c r="P360" i="15"/>
  <c r="Q360" i="15" s="1"/>
  <c r="P361" i="15"/>
  <c r="Q361" i="15"/>
  <c r="P362" i="15"/>
  <c r="Q362" i="15" s="1"/>
  <c r="P363" i="15"/>
  <c r="Q363" i="15"/>
  <c r="P364" i="15"/>
  <c r="Q364" i="15" s="1"/>
  <c r="P365" i="15"/>
  <c r="Q365" i="15"/>
  <c r="P366" i="15"/>
  <c r="Q366" i="15" s="1"/>
  <c r="P367" i="15"/>
  <c r="Q367" i="15"/>
  <c r="P368" i="15"/>
  <c r="Q368" i="15" s="1"/>
  <c r="P369" i="15"/>
  <c r="Q369" i="15"/>
  <c r="P370" i="15"/>
  <c r="Q370" i="15" s="1"/>
  <c r="P371" i="15"/>
  <c r="Q371" i="15"/>
  <c r="P372" i="15"/>
  <c r="Q372" i="15" s="1"/>
  <c r="P373" i="15"/>
  <c r="Q373" i="15"/>
  <c r="P374" i="15"/>
  <c r="Q374" i="15" s="1"/>
  <c r="P375" i="15"/>
  <c r="Q375" i="15"/>
  <c r="P376" i="15"/>
  <c r="Q376" i="15" s="1"/>
  <c r="P377" i="15"/>
  <c r="Q377" i="15"/>
  <c r="P378" i="15"/>
  <c r="Q378" i="15" s="1"/>
  <c r="P379" i="15"/>
  <c r="Q379" i="15"/>
  <c r="P380" i="15"/>
  <c r="Q380" i="15" s="1"/>
  <c r="P381" i="15"/>
  <c r="Q381" i="15"/>
  <c r="P382" i="15"/>
  <c r="Q382" i="15" s="1"/>
  <c r="P383" i="15"/>
  <c r="Q383" i="15"/>
  <c r="P384" i="15"/>
  <c r="Q384" i="15" s="1"/>
  <c r="P385" i="15"/>
  <c r="Q385" i="15"/>
  <c r="P386" i="15"/>
  <c r="Q386" i="15" s="1"/>
  <c r="P387" i="15"/>
  <c r="Q387" i="15"/>
  <c r="P388" i="15"/>
  <c r="Q388" i="15" s="1"/>
  <c r="P389" i="15"/>
  <c r="Q389" i="15"/>
  <c r="P390" i="15"/>
  <c r="Q390" i="15" s="1"/>
  <c r="P391" i="15"/>
  <c r="Q391" i="15"/>
  <c r="P392" i="15"/>
  <c r="Q392" i="15" s="1"/>
  <c r="P393" i="15"/>
  <c r="Q393" i="15"/>
  <c r="P394" i="15"/>
  <c r="Q394" i="15" s="1"/>
  <c r="P395" i="15"/>
  <c r="Q395" i="15"/>
  <c r="P396" i="15"/>
  <c r="Q396" i="15" s="1"/>
  <c r="P397" i="15"/>
  <c r="Q397" i="15"/>
  <c r="P398" i="15"/>
  <c r="Q398" i="15" s="1"/>
  <c r="P399" i="15"/>
  <c r="Q399" i="15"/>
  <c r="P400" i="15"/>
  <c r="Q400" i="15" s="1"/>
  <c r="P401" i="15"/>
  <c r="Q401" i="15"/>
  <c r="P402" i="15"/>
  <c r="Q402" i="15" s="1"/>
  <c r="P403" i="15"/>
  <c r="Q403" i="15"/>
  <c r="P404" i="15"/>
  <c r="Q404" i="15" s="1"/>
  <c r="P405" i="15"/>
  <c r="Q405" i="15"/>
  <c r="P406" i="15"/>
  <c r="Q406" i="15" s="1"/>
  <c r="P407" i="15"/>
  <c r="Q407" i="15"/>
  <c r="P408" i="15"/>
  <c r="Q408" i="15" s="1"/>
  <c r="P409" i="15"/>
  <c r="Q409" i="15"/>
  <c r="P410" i="15"/>
  <c r="Q410" i="15" s="1"/>
  <c r="P411" i="15"/>
  <c r="Q411" i="15"/>
  <c r="P412" i="15"/>
  <c r="Q412" i="15" s="1"/>
  <c r="P413" i="15"/>
  <c r="Q413" i="15"/>
  <c r="P414" i="15"/>
  <c r="Q414" i="15" s="1"/>
  <c r="P415" i="15"/>
  <c r="Q415" i="15"/>
  <c r="P416" i="15"/>
  <c r="Q416" i="15" s="1"/>
  <c r="P417" i="15"/>
  <c r="Q417" i="15"/>
  <c r="P418" i="15"/>
  <c r="Q418" i="15" s="1"/>
  <c r="P419" i="15"/>
  <c r="Q419" i="15"/>
  <c r="P420" i="15"/>
  <c r="Q420" i="15" s="1"/>
  <c r="P421" i="15"/>
  <c r="Q421" i="15"/>
  <c r="P422" i="15"/>
  <c r="Q422" i="15" s="1"/>
  <c r="P423" i="15"/>
  <c r="Q423" i="15"/>
  <c r="P424" i="15"/>
  <c r="Q424" i="15" s="1"/>
  <c r="P425" i="15"/>
  <c r="Q425" i="15"/>
  <c r="P426" i="15"/>
  <c r="Q426" i="15" s="1"/>
  <c r="P427" i="15"/>
  <c r="Q427" i="15"/>
  <c r="P428" i="15"/>
  <c r="Q428" i="15" s="1"/>
  <c r="P429" i="15"/>
  <c r="Q429" i="15"/>
  <c r="P430" i="15"/>
  <c r="Q430" i="15" s="1"/>
  <c r="P431" i="15"/>
  <c r="Q431" i="15"/>
  <c r="P432" i="15"/>
  <c r="Q432" i="15" s="1"/>
  <c r="P433" i="15"/>
  <c r="Q433" i="15"/>
  <c r="P434" i="15"/>
  <c r="Q434" i="15" s="1"/>
  <c r="P435" i="15"/>
  <c r="Q435" i="15"/>
  <c r="P436" i="15"/>
  <c r="Q436" i="15" s="1"/>
  <c r="P437" i="15"/>
  <c r="Q437" i="15"/>
  <c r="P438" i="15"/>
  <c r="Q438" i="15" s="1"/>
  <c r="P439" i="15"/>
  <c r="Q439" i="15"/>
  <c r="P440" i="15"/>
  <c r="Q440" i="15" s="1"/>
  <c r="P441" i="15"/>
  <c r="Q441" i="15"/>
  <c r="P442" i="15"/>
  <c r="Q442" i="15" s="1"/>
  <c r="P443" i="15"/>
  <c r="Q443" i="15"/>
  <c r="P444" i="15"/>
  <c r="Q444" i="15" s="1"/>
  <c r="P445" i="15"/>
  <c r="Q445" i="15"/>
  <c r="P446" i="15"/>
  <c r="Q446" i="15" s="1"/>
  <c r="P447" i="15"/>
  <c r="Q447" i="15"/>
  <c r="P448" i="15"/>
  <c r="Q448" i="15" s="1"/>
  <c r="P449" i="15"/>
  <c r="Q449" i="15"/>
  <c r="P450" i="15"/>
  <c r="Q450" i="15" s="1"/>
  <c r="P451" i="15"/>
  <c r="Q451" i="15"/>
  <c r="P452" i="15"/>
  <c r="Q452" i="15" s="1"/>
  <c r="P453" i="15"/>
  <c r="Q453" i="15"/>
  <c r="P454" i="15"/>
  <c r="Q454" i="15" s="1"/>
  <c r="P455" i="15"/>
  <c r="Q455" i="15"/>
  <c r="P456" i="15"/>
  <c r="Q456" i="15" s="1"/>
  <c r="P457" i="15"/>
  <c r="Q457" i="15"/>
  <c r="P458" i="15"/>
  <c r="Q458" i="15" s="1"/>
  <c r="P461" i="15"/>
  <c r="Q461" i="15"/>
  <c r="P462" i="15"/>
  <c r="Q462" i="15" s="1"/>
  <c r="P463" i="15"/>
  <c r="Q463" i="15"/>
  <c r="P464" i="15"/>
  <c r="Q464" i="15" s="1"/>
  <c r="P465" i="15"/>
  <c r="Q465" i="15"/>
  <c r="P466" i="15"/>
  <c r="Q466" i="15" s="1"/>
  <c r="P467" i="15"/>
  <c r="Q467" i="15"/>
  <c r="P468" i="15"/>
  <c r="Q468" i="15" s="1"/>
  <c r="P469" i="15"/>
  <c r="Q469" i="15"/>
  <c r="P470" i="15"/>
  <c r="Q470" i="15" s="1"/>
  <c r="P471" i="15"/>
  <c r="Q471" i="15"/>
  <c r="P472" i="15"/>
  <c r="Q472" i="15" s="1"/>
  <c r="P473" i="15"/>
  <c r="Q473" i="15"/>
  <c r="P474" i="15"/>
  <c r="Q474" i="15" s="1"/>
  <c r="P475" i="15"/>
  <c r="Q475" i="15"/>
  <c r="P476" i="15"/>
  <c r="Q476" i="15" s="1"/>
  <c r="P477" i="15"/>
  <c r="Q477" i="15"/>
  <c r="P478" i="15"/>
  <c r="Q478" i="15" s="1"/>
  <c r="P479" i="15"/>
  <c r="Q479" i="15"/>
  <c r="P480" i="15"/>
  <c r="Q480" i="15" s="1"/>
  <c r="P481" i="15"/>
  <c r="Q481" i="15"/>
  <c r="P482" i="15"/>
  <c r="Q482" i="15" s="1"/>
  <c r="P483" i="15"/>
  <c r="Q483" i="15"/>
  <c r="P484" i="15"/>
  <c r="Q484" i="15" s="1"/>
  <c r="P485" i="15"/>
  <c r="Q485" i="15"/>
  <c r="P486" i="15"/>
  <c r="Q486" i="15" s="1"/>
  <c r="P487" i="15"/>
  <c r="Q487" i="15"/>
  <c r="P488" i="15"/>
  <c r="Q488" i="15" s="1"/>
  <c r="P489" i="15"/>
  <c r="Q489" i="15"/>
  <c r="P490" i="15"/>
  <c r="Q490" i="15" s="1"/>
  <c r="P491" i="15"/>
  <c r="Q491" i="15"/>
  <c r="P492" i="15"/>
  <c r="Q492" i="15" s="1"/>
  <c r="P493" i="15"/>
  <c r="Q493" i="15"/>
  <c r="P494" i="15"/>
  <c r="Q494" i="15" s="1"/>
  <c r="P495" i="15"/>
  <c r="Q495" i="15"/>
  <c r="P496" i="15"/>
  <c r="Q496" i="15" s="1"/>
  <c r="P497" i="15"/>
  <c r="Q497" i="15"/>
  <c r="P498" i="15"/>
  <c r="Q498" i="15" s="1"/>
  <c r="P499" i="15"/>
  <c r="Q499" i="15"/>
  <c r="P500" i="15"/>
  <c r="Q500" i="15" s="1"/>
  <c r="P501" i="15"/>
  <c r="Q501" i="15"/>
  <c r="P502" i="15"/>
  <c r="Q502" i="15" s="1"/>
  <c r="P507" i="15"/>
  <c r="Q507" i="15"/>
  <c r="P508" i="15"/>
  <c r="Q508" i="15" s="1"/>
  <c r="P509" i="15"/>
  <c r="Q509" i="15"/>
  <c r="P510" i="15"/>
  <c r="Q510" i="15" s="1"/>
  <c r="P511" i="15"/>
  <c r="Q511" i="15"/>
  <c r="P512" i="15"/>
  <c r="Q512" i="15" s="1"/>
  <c r="P513" i="15"/>
  <c r="Q513" i="15"/>
  <c r="P514" i="15"/>
  <c r="Q514" i="15" s="1"/>
  <c r="P515" i="15"/>
  <c r="Q515" i="15"/>
  <c r="P516" i="15"/>
  <c r="Q516" i="15" s="1"/>
  <c r="P517" i="15"/>
  <c r="Q517" i="15"/>
  <c r="P518" i="15"/>
  <c r="Q518" i="15" s="1"/>
  <c r="P519" i="15"/>
  <c r="Q519" i="15"/>
  <c r="P520" i="15"/>
  <c r="Q520" i="15" s="1"/>
  <c r="P521" i="15"/>
  <c r="Q521" i="15"/>
  <c r="P522" i="15"/>
  <c r="Q522" i="15" s="1"/>
  <c r="P523" i="15"/>
  <c r="Q523" i="15"/>
  <c r="P524" i="15"/>
  <c r="Q524" i="15" s="1"/>
  <c r="P525" i="15"/>
  <c r="Q525" i="15"/>
  <c r="P526" i="15"/>
  <c r="Q526" i="15" s="1"/>
  <c r="P527" i="15"/>
  <c r="Q527" i="15"/>
  <c r="P528" i="15"/>
  <c r="Q528" i="15" s="1"/>
  <c r="P529" i="15"/>
  <c r="Q529" i="15"/>
  <c r="P530" i="15"/>
  <c r="Q530" i="15" s="1"/>
  <c r="P531" i="15"/>
  <c r="Q531" i="15"/>
  <c r="P532" i="15"/>
  <c r="Q532" i="15" s="1"/>
  <c r="P533" i="15"/>
  <c r="Q533" i="15"/>
  <c r="P534" i="15"/>
  <c r="Q534" i="15" s="1"/>
  <c r="P535" i="15"/>
  <c r="Q535" i="15"/>
  <c r="P536" i="15"/>
  <c r="Q536" i="15" s="1"/>
  <c r="P537" i="15"/>
  <c r="Q537" i="15"/>
  <c r="P538" i="15"/>
  <c r="Q538" i="15" s="1"/>
  <c r="P539" i="15"/>
  <c r="Q539" i="15"/>
  <c r="P540" i="15"/>
  <c r="Q540" i="15" s="1"/>
  <c r="P541" i="15"/>
  <c r="Q541" i="15"/>
  <c r="P542" i="15"/>
  <c r="Q542" i="15" s="1"/>
  <c r="P543" i="15"/>
  <c r="Q543" i="15"/>
  <c r="P544" i="15"/>
  <c r="Q544" i="15" s="1"/>
  <c r="P545" i="15"/>
  <c r="Q545" i="15"/>
  <c r="P546" i="15"/>
  <c r="Q546" i="15" s="1"/>
  <c r="P547" i="15"/>
  <c r="Q547" i="15"/>
  <c r="P548" i="15"/>
  <c r="Q548" i="15" s="1"/>
  <c r="I472" i="15"/>
  <c r="H472" i="15"/>
  <c r="H127" i="15"/>
  <c r="M464" i="15"/>
  <c r="M463" i="15"/>
  <c r="O468" i="15"/>
  <c r="M468" i="15"/>
  <c r="M460" i="15"/>
  <c r="G472" i="15"/>
  <c r="G471" i="15" s="1"/>
  <c r="H471" i="15"/>
  <c r="I471" i="15"/>
  <c r="H395" i="15"/>
  <c r="H396" i="15"/>
  <c r="H416" i="15"/>
  <c r="H22" i="15"/>
  <c r="K416" i="15"/>
  <c r="H170" i="15"/>
  <c r="H208" i="15"/>
  <c r="H64" i="15"/>
  <c r="Q198" i="15" l="1"/>
  <c r="I529" i="15" l="1"/>
  <c r="I530" i="15"/>
  <c r="M507" i="15"/>
  <c r="M506" i="15" s="1"/>
  <c r="M505" i="15" s="1"/>
  <c r="M504" i="15" s="1"/>
  <c r="M503" i="15" s="1"/>
  <c r="N508" i="15"/>
  <c r="K506" i="15"/>
  <c r="K505" i="15" s="1"/>
  <c r="K504" i="15" s="1"/>
  <c r="K503" i="15" s="1"/>
  <c r="K507" i="15"/>
  <c r="L508" i="15"/>
  <c r="I507" i="15"/>
  <c r="I508" i="15"/>
  <c r="H507" i="15"/>
  <c r="M500" i="15"/>
  <c r="L500" i="15"/>
  <c r="L499" i="15" s="1"/>
  <c r="L498" i="15" s="1"/>
  <c r="L497" i="15" s="1"/>
  <c r="L496" i="15" s="1"/>
  <c r="L495" i="15" s="1"/>
  <c r="H483" i="15"/>
  <c r="H478" i="15"/>
  <c r="N478" i="15" s="1"/>
  <c r="K473" i="15"/>
  <c r="L476" i="15"/>
  <c r="L473" i="15" s="1"/>
  <c r="N474" i="15"/>
  <c r="L474" i="15"/>
  <c r="L434" i="15"/>
  <c r="L433" i="15" s="1"/>
  <c r="L432" i="15" s="1"/>
  <c r="L431" i="15" s="1"/>
  <c r="L430" i="15" s="1"/>
  <c r="L429" i="15" s="1"/>
  <c r="N434" i="15"/>
  <c r="K433" i="15"/>
  <c r="H433" i="15"/>
  <c r="H432" i="15" s="1"/>
  <c r="H431" i="15" s="1"/>
  <c r="H430" i="15" s="1"/>
  <c r="H429" i="15" s="1"/>
  <c r="I434" i="15"/>
  <c r="I433" i="15" s="1"/>
  <c r="I432" i="15" s="1"/>
  <c r="I431" i="15" s="1"/>
  <c r="I430" i="15" s="1"/>
  <c r="I429" i="15" s="1"/>
  <c r="H401" i="15"/>
  <c r="I401" i="15" s="1"/>
  <c r="H336" i="15"/>
  <c r="H335" i="15" s="1"/>
  <c r="I328" i="15"/>
  <c r="H327" i="15"/>
  <c r="H324" i="15"/>
  <c r="N324" i="15" s="1"/>
  <c r="N323" i="15" s="1"/>
  <c r="K288" i="15"/>
  <c r="H288" i="15"/>
  <c r="P288" i="15" s="1"/>
  <c r="N289" i="15"/>
  <c r="N288" i="15" s="1"/>
  <c r="O286" i="15"/>
  <c r="I286" i="15"/>
  <c r="O278" i="15"/>
  <c r="O277" i="15" s="1"/>
  <c r="N278" i="15"/>
  <c r="H277" i="15"/>
  <c r="I278" i="15"/>
  <c r="H252" i="15"/>
  <c r="I253" i="15"/>
  <c r="K184" i="15"/>
  <c r="K183" i="15" s="1"/>
  <c r="K182" i="15" s="1"/>
  <c r="K181" i="15" s="1"/>
  <c r="K180" i="15" s="1"/>
  <c r="K179" i="15" s="1"/>
  <c r="H122" i="15"/>
  <c r="H118" i="15"/>
  <c r="H120" i="15"/>
  <c r="I149" i="15"/>
  <c r="Q149" i="15" s="1"/>
  <c r="H133" i="15"/>
  <c r="N133" i="15" s="1"/>
  <c r="N132" i="15" s="1"/>
  <c r="H96" i="15"/>
  <c r="N96" i="15" s="1"/>
  <c r="O65" i="15"/>
  <c r="N65" i="15"/>
  <c r="I65" i="15"/>
  <c r="I59" i="15"/>
  <c r="Q59" i="15" s="1"/>
  <c r="N544" i="15"/>
  <c r="M544" i="15"/>
  <c r="I544" i="15"/>
  <c r="N543" i="15"/>
  <c r="M543" i="15"/>
  <c r="L543" i="15"/>
  <c r="J543" i="15"/>
  <c r="H543" i="15"/>
  <c r="H542" i="15" s="1"/>
  <c r="H541" i="15" s="1"/>
  <c r="H540" i="15" s="1"/>
  <c r="H539" i="15" s="1"/>
  <c r="H538" i="15" s="1"/>
  <c r="G543" i="15"/>
  <c r="G542" i="15" s="1"/>
  <c r="G541" i="15" s="1"/>
  <c r="G540" i="15" s="1"/>
  <c r="N542" i="15"/>
  <c r="M542" i="15"/>
  <c r="M541" i="15" s="1"/>
  <c r="M540" i="15" s="1"/>
  <c r="M539" i="15" s="1"/>
  <c r="M538" i="15" s="1"/>
  <c r="L542" i="15"/>
  <c r="L541" i="15" s="1"/>
  <c r="L540" i="15" s="1"/>
  <c r="L539" i="15" s="1"/>
  <c r="L538" i="15" s="1"/>
  <c r="K542" i="15"/>
  <c r="J542" i="15"/>
  <c r="N541" i="15"/>
  <c r="K541" i="15"/>
  <c r="J541" i="15"/>
  <c r="J540" i="15" s="1"/>
  <c r="J539" i="15" s="1"/>
  <c r="J538" i="15" s="1"/>
  <c r="N540" i="15"/>
  <c r="N539" i="15" s="1"/>
  <c r="N538" i="15" s="1"/>
  <c r="K540" i="15"/>
  <c r="K539" i="15" s="1"/>
  <c r="K538" i="15" s="1"/>
  <c r="G539" i="15"/>
  <c r="G538" i="15" s="1"/>
  <c r="O537" i="15"/>
  <c r="N537" i="15"/>
  <c r="M537" i="15"/>
  <c r="I537" i="15"/>
  <c r="N536" i="15"/>
  <c r="M536" i="15"/>
  <c r="H536" i="15"/>
  <c r="I536" i="15" s="1"/>
  <c r="O536" i="15" s="1"/>
  <c r="N534" i="15"/>
  <c r="N532" i="15" s="1"/>
  <c r="K534" i="15"/>
  <c r="N533" i="15"/>
  <c r="M533" i="15"/>
  <c r="I533" i="15"/>
  <c r="M532" i="15"/>
  <c r="M531" i="15" s="1"/>
  <c r="L532" i="15"/>
  <c r="L531" i="15" s="1"/>
  <c r="L526" i="15" s="1"/>
  <c r="J532" i="15"/>
  <c r="H532" i="15"/>
  <c r="H531" i="15" s="1"/>
  <c r="H526" i="15" s="1"/>
  <c r="H525" i="15" s="1"/>
  <c r="H524" i="15" s="1"/>
  <c r="H523" i="15" s="1"/>
  <c r="G532" i="15"/>
  <c r="G531" i="15" s="1"/>
  <c r="G526" i="15" s="1"/>
  <c r="G525" i="15" s="1"/>
  <c r="G524" i="15" s="1"/>
  <c r="G523" i="15" s="1"/>
  <c r="G522" i="15" s="1"/>
  <c r="K531" i="15"/>
  <c r="J531" i="15"/>
  <c r="N530" i="15"/>
  <c r="N528" i="15" s="1"/>
  <c r="N527" i="15" s="1"/>
  <c r="M530" i="15"/>
  <c r="M528" i="15" s="1"/>
  <c r="M527" i="15" s="1"/>
  <c r="M526" i="15" s="1"/>
  <c r="M525" i="15" s="1"/>
  <c r="M524" i="15" s="1"/>
  <c r="M523" i="15" s="1"/>
  <c r="M522" i="15" s="1"/>
  <c r="K530" i="15"/>
  <c r="O530" i="15"/>
  <c r="O529" i="15"/>
  <c r="N529" i="15"/>
  <c r="M529" i="15"/>
  <c r="L528" i="15"/>
  <c r="J528" i="15"/>
  <c r="I528" i="15"/>
  <c r="I527" i="15" s="1"/>
  <c r="H528" i="15"/>
  <c r="G528" i="15"/>
  <c r="L527" i="15"/>
  <c r="J527" i="15"/>
  <c r="H527" i="15"/>
  <c r="G527" i="15"/>
  <c r="K526" i="15"/>
  <c r="K525" i="15" s="1"/>
  <c r="K524" i="15" s="1"/>
  <c r="K523" i="15" s="1"/>
  <c r="K522" i="15" s="1"/>
  <c r="J526" i="15"/>
  <c r="J525" i="15" s="1"/>
  <c r="J524" i="15" s="1"/>
  <c r="J523" i="15" s="1"/>
  <c r="L525" i="15"/>
  <c r="L524" i="15" s="1"/>
  <c r="L523" i="15" s="1"/>
  <c r="N521" i="15"/>
  <c r="M521" i="15"/>
  <c r="I521" i="15"/>
  <c r="N520" i="15"/>
  <c r="M520" i="15"/>
  <c r="I520" i="15"/>
  <c r="O520" i="15" s="1"/>
  <c r="N519" i="15"/>
  <c r="M519" i="15"/>
  <c r="M518" i="15" s="1"/>
  <c r="I519" i="15"/>
  <c r="O519" i="15" s="1"/>
  <c r="L518" i="15"/>
  <c r="J518" i="15"/>
  <c r="G518" i="15"/>
  <c r="N517" i="15"/>
  <c r="M517" i="15"/>
  <c r="M516" i="15" s="1"/>
  <c r="L517" i="15"/>
  <c r="K517" i="15"/>
  <c r="J517" i="15"/>
  <c r="H517" i="15"/>
  <c r="G517" i="15"/>
  <c r="N516" i="15"/>
  <c r="L516" i="15"/>
  <c r="K516" i="15"/>
  <c r="J516" i="15"/>
  <c r="H516" i="15"/>
  <c r="G516" i="15"/>
  <c r="O515" i="15"/>
  <c r="M515" i="15"/>
  <c r="I515" i="15"/>
  <c r="G515" i="15"/>
  <c r="G512" i="15" s="1"/>
  <c r="G511" i="15" s="1"/>
  <c r="G505" i="15" s="1"/>
  <c r="G504" i="15" s="1"/>
  <c r="G503" i="15" s="1"/>
  <c r="O514" i="15"/>
  <c r="N514" i="15"/>
  <c r="M514" i="15"/>
  <c r="I514" i="15"/>
  <c r="O513" i="15"/>
  <c r="N513" i="15"/>
  <c r="M513" i="15"/>
  <c r="I513" i="15"/>
  <c r="I512" i="15" s="1"/>
  <c r="I511" i="15" s="1"/>
  <c r="I505" i="15" s="1"/>
  <c r="O512" i="15"/>
  <c r="O511" i="15" s="1"/>
  <c r="N512" i="15"/>
  <c r="M512" i="15"/>
  <c r="L512" i="15"/>
  <c r="L511" i="15" s="1"/>
  <c r="J512" i="15"/>
  <c r="J511" i="15" s="1"/>
  <c r="J505" i="15" s="1"/>
  <c r="H512" i="15"/>
  <c r="N511" i="15"/>
  <c r="M511" i="15"/>
  <c r="K511" i="15"/>
  <c r="H511" i="15"/>
  <c r="O510" i="15"/>
  <c r="N510" i="15"/>
  <c r="M510" i="15"/>
  <c r="O509" i="15"/>
  <c r="N509" i="15"/>
  <c r="M509" i="15"/>
  <c r="I509" i="15"/>
  <c r="N507" i="15"/>
  <c r="N506" i="15" s="1"/>
  <c r="N505" i="15" s="1"/>
  <c r="N504" i="15" s="1"/>
  <c r="N503" i="15" s="1"/>
  <c r="M508" i="15"/>
  <c r="J507" i="15"/>
  <c r="J506" i="15" s="1"/>
  <c r="G507" i="15"/>
  <c r="I506" i="15"/>
  <c r="G506" i="15"/>
  <c r="J504" i="15"/>
  <c r="J503" i="15" s="1"/>
  <c r="N502" i="15"/>
  <c r="M502" i="15"/>
  <c r="I502" i="15"/>
  <c r="O502" i="15" s="1"/>
  <c r="N501" i="15"/>
  <c r="M501" i="15"/>
  <c r="I501" i="15"/>
  <c r="G501" i="15"/>
  <c r="N500" i="15"/>
  <c r="M499" i="15"/>
  <c r="M498" i="15" s="1"/>
  <c r="M497" i="15" s="1"/>
  <c r="M496" i="15" s="1"/>
  <c r="I500" i="15"/>
  <c r="G500" i="15"/>
  <c r="N499" i="15"/>
  <c r="J499" i="15"/>
  <c r="I499" i="15"/>
  <c r="G499" i="15"/>
  <c r="N498" i="15"/>
  <c r="N497" i="15" s="1"/>
  <c r="N496" i="15" s="1"/>
  <c r="N495" i="15" s="1"/>
  <c r="K498" i="15"/>
  <c r="J498" i="15"/>
  <c r="H498" i="15"/>
  <c r="G498" i="15"/>
  <c r="K497" i="15"/>
  <c r="K496" i="15" s="1"/>
  <c r="K495" i="15" s="1"/>
  <c r="J497" i="15"/>
  <c r="J496" i="15" s="1"/>
  <c r="J495" i="15" s="1"/>
  <c r="H497" i="15"/>
  <c r="G497" i="15"/>
  <c r="H496" i="15"/>
  <c r="G496" i="15"/>
  <c r="G495" i="15" s="1"/>
  <c r="M495" i="15"/>
  <c r="H495" i="15"/>
  <c r="N494" i="15"/>
  <c r="I494" i="15"/>
  <c r="O494" i="15" s="1"/>
  <c r="I493" i="15"/>
  <c r="O493" i="15" s="1"/>
  <c r="H493" i="15"/>
  <c r="I492" i="15"/>
  <c r="O492" i="15" s="1"/>
  <c r="O490" i="15"/>
  <c r="M490" i="15"/>
  <c r="O489" i="15"/>
  <c r="M489" i="15"/>
  <c r="O488" i="15"/>
  <c r="M488" i="15"/>
  <c r="N487" i="15"/>
  <c r="M486" i="15"/>
  <c r="L486" i="15"/>
  <c r="J486" i="15"/>
  <c r="I486" i="15"/>
  <c r="H486" i="15"/>
  <c r="G486" i="15"/>
  <c r="N485" i="15"/>
  <c r="M485" i="15"/>
  <c r="L485" i="15"/>
  <c r="N484" i="15"/>
  <c r="M484" i="15"/>
  <c r="L484" i="15"/>
  <c r="K484" i="15"/>
  <c r="J484" i="15"/>
  <c r="N483" i="15"/>
  <c r="N482" i="15" s="1"/>
  <c r="M483" i="15"/>
  <c r="L483" i="15"/>
  <c r="L482" i="15" s="1"/>
  <c r="I483" i="15"/>
  <c r="M482" i="15"/>
  <c r="K482" i="15"/>
  <c r="J482" i="15"/>
  <c r="H482" i="15"/>
  <c r="G482" i="15"/>
  <c r="N481" i="15"/>
  <c r="M481" i="15"/>
  <c r="L481" i="15"/>
  <c r="O481" i="15" s="1"/>
  <c r="I481" i="15"/>
  <c r="N480" i="15"/>
  <c r="K480" i="15"/>
  <c r="J480" i="15"/>
  <c r="H480" i="15"/>
  <c r="G480" i="15"/>
  <c r="N479" i="15"/>
  <c r="M479" i="15"/>
  <c r="I479" i="15"/>
  <c r="O479" i="15" s="1"/>
  <c r="M478" i="15"/>
  <c r="I478" i="15"/>
  <c r="O478" i="15" s="1"/>
  <c r="N477" i="15"/>
  <c r="O476" i="15"/>
  <c r="N476" i="15"/>
  <c r="I476" i="15"/>
  <c r="G476" i="15"/>
  <c r="N475" i="15"/>
  <c r="M475" i="15"/>
  <c r="I475" i="15"/>
  <c r="O475" i="15" s="1"/>
  <c r="O474" i="15"/>
  <c r="M474" i="15"/>
  <c r="N473" i="15"/>
  <c r="J473" i="15"/>
  <c r="J472" i="15" s="1"/>
  <c r="J471" i="15" s="1"/>
  <c r="I473" i="15"/>
  <c r="H473" i="15"/>
  <c r="K472" i="15"/>
  <c r="K471" i="15" s="1"/>
  <c r="O469" i="15"/>
  <c r="N469" i="15"/>
  <c r="M469" i="15"/>
  <c r="L469" i="15"/>
  <c r="L464" i="15" s="1"/>
  <c r="L463" i="15" s="1"/>
  <c r="J469" i="15"/>
  <c r="I469" i="15"/>
  <c r="G469" i="15"/>
  <c r="G464" i="15" s="1"/>
  <c r="O467" i="15"/>
  <c r="N468" i="15"/>
  <c r="M467" i="15"/>
  <c r="N467" i="15"/>
  <c r="L467" i="15"/>
  <c r="J467" i="15"/>
  <c r="I467" i="15"/>
  <c r="G467" i="15"/>
  <c r="N466" i="15"/>
  <c r="N465" i="15" s="1"/>
  <c r="N464" i="15" s="1"/>
  <c r="N463" i="15" s="1"/>
  <c r="M466" i="15"/>
  <c r="I466" i="15"/>
  <c r="M465" i="15"/>
  <c r="L465" i="15"/>
  <c r="J465" i="15"/>
  <c r="I465" i="15"/>
  <c r="H465" i="15"/>
  <c r="H464" i="15" s="1"/>
  <c r="G465" i="15"/>
  <c r="K464" i="15"/>
  <c r="J464" i="15"/>
  <c r="J463" i="15" s="1"/>
  <c r="J462" i="15" s="1"/>
  <c r="J461" i="15" s="1"/>
  <c r="K463" i="15"/>
  <c r="G463" i="15"/>
  <c r="N458" i="15"/>
  <c r="M458" i="15"/>
  <c r="I458" i="15"/>
  <c r="I457" i="15" s="1"/>
  <c r="I456" i="15" s="1"/>
  <c r="N457" i="15"/>
  <c r="M457" i="15"/>
  <c r="L457" i="15"/>
  <c r="J457" i="15"/>
  <c r="J456" i="15" s="1"/>
  <c r="J455" i="15" s="1"/>
  <c r="H457" i="15"/>
  <c r="G457" i="15"/>
  <c r="N456" i="15"/>
  <c r="M456" i="15"/>
  <c r="L456" i="15"/>
  <c r="L455" i="15" s="1"/>
  <c r="L454" i="15" s="1"/>
  <c r="L453" i="15" s="1"/>
  <c r="L452" i="15" s="1"/>
  <c r="K456" i="15"/>
  <c r="K455" i="15" s="1"/>
  <c r="H456" i="15"/>
  <c r="G456" i="15"/>
  <c r="G455" i="15" s="1"/>
  <c r="N455" i="15"/>
  <c r="M455" i="15"/>
  <c r="M454" i="15" s="1"/>
  <c r="M453" i="15" s="1"/>
  <c r="I455" i="15"/>
  <c r="I454" i="15" s="1"/>
  <c r="I453" i="15" s="1"/>
  <c r="H455" i="15"/>
  <c r="H454" i="15" s="1"/>
  <c r="N454" i="15"/>
  <c r="K454" i="15"/>
  <c r="J454" i="15"/>
  <c r="J453" i="15" s="1"/>
  <c r="J452" i="15" s="1"/>
  <c r="G454" i="15"/>
  <c r="G453" i="15" s="1"/>
  <c r="G452" i="15" s="1"/>
  <c r="N453" i="15"/>
  <c r="N452" i="15" s="1"/>
  <c r="K453" i="15"/>
  <c r="K452" i="15" s="1"/>
  <c r="K451" i="15" s="1"/>
  <c r="H453" i="15"/>
  <c r="H452" i="15" s="1"/>
  <c r="M452" i="15"/>
  <c r="I452" i="15"/>
  <c r="O450" i="15"/>
  <c r="O449" i="15" s="1"/>
  <c r="N450" i="15"/>
  <c r="N449" i="15" s="1"/>
  <c r="N448" i="15" s="1"/>
  <c r="M450" i="15"/>
  <c r="L450" i="15"/>
  <c r="J450" i="15"/>
  <c r="J449" i="15" s="1"/>
  <c r="J448" i="15" s="1"/>
  <c r="I450" i="15"/>
  <c r="I449" i="15" s="1"/>
  <c r="I448" i="15" s="1"/>
  <c r="G450" i="15"/>
  <c r="G449" i="15" s="1"/>
  <c r="M449" i="15"/>
  <c r="M448" i="15" s="1"/>
  <c r="L449" i="15"/>
  <c r="L448" i="15" s="1"/>
  <c r="K449" i="15"/>
  <c r="H449" i="15"/>
  <c r="H448" i="15" s="1"/>
  <c r="O448" i="15"/>
  <c r="K448" i="15"/>
  <c r="G448" i="15"/>
  <c r="O445" i="15"/>
  <c r="N445" i="15"/>
  <c r="M445" i="15"/>
  <c r="L445" i="15"/>
  <c r="L444" i="15" s="1"/>
  <c r="L443" i="15" s="1"/>
  <c r="J445" i="15"/>
  <c r="I445" i="15"/>
  <c r="G445" i="15"/>
  <c r="O444" i="15"/>
  <c r="N444" i="15"/>
  <c r="N443" i="15" s="1"/>
  <c r="M444" i="15"/>
  <c r="M443" i="15" s="1"/>
  <c r="M442" i="15" s="1"/>
  <c r="M441" i="15" s="1"/>
  <c r="K444" i="15"/>
  <c r="K443" i="15" s="1"/>
  <c r="K442" i="15" s="1"/>
  <c r="K441" i="15" s="1"/>
  <c r="J444" i="15"/>
  <c r="J443" i="15" s="1"/>
  <c r="I444" i="15"/>
  <c r="I443" i="15" s="1"/>
  <c r="H444" i="15"/>
  <c r="G444" i="15"/>
  <c r="O443" i="15"/>
  <c r="H443" i="15"/>
  <c r="H442" i="15" s="1"/>
  <c r="H441" i="15" s="1"/>
  <c r="G443" i="15"/>
  <c r="G442" i="15" s="1"/>
  <c r="G441" i="15" s="1"/>
  <c r="I442" i="15"/>
  <c r="I441" i="15"/>
  <c r="O439" i="15"/>
  <c r="O438" i="15" s="1"/>
  <c r="N439" i="15"/>
  <c r="M439" i="15"/>
  <c r="L439" i="15"/>
  <c r="J439" i="15"/>
  <c r="I439" i="15"/>
  <c r="I438" i="15" s="1"/>
  <c r="I437" i="15" s="1"/>
  <c r="I436" i="15" s="1"/>
  <c r="G439" i="15"/>
  <c r="G438" i="15" s="1"/>
  <c r="G437" i="15" s="1"/>
  <c r="G436" i="15" s="1"/>
  <c r="G435" i="15" s="1"/>
  <c r="N438" i="15"/>
  <c r="M438" i="15"/>
  <c r="M437" i="15" s="1"/>
  <c r="M436" i="15" s="1"/>
  <c r="L438" i="15"/>
  <c r="L437" i="15" s="1"/>
  <c r="L436" i="15" s="1"/>
  <c r="L435" i="15" s="1"/>
  <c r="K438" i="15"/>
  <c r="J438" i="15"/>
  <c r="J437" i="15" s="1"/>
  <c r="J436" i="15" s="1"/>
  <c r="J435" i="15" s="1"/>
  <c r="H438" i="15"/>
  <c r="H437" i="15" s="1"/>
  <c r="O437" i="15"/>
  <c r="N437" i="15"/>
  <c r="N436" i="15" s="1"/>
  <c r="N435" i="15" s="1"/>
  <c r="K437" i="15"/>
  <c r="O436" i="15"/>
  <c r="O435" i="15" s="1"/>
  <c r="K436" i="15"/>
  <c r="K435" i="15" s="1"/>
  <c r="H436" i="15"/>
  <c r="H435" i="15" s="1"/>
  <c r="M435" i="15"/>
  <c r="I435" i="15"/>
  <c r="O434" i="15"/>
  <c r="O433" i="15" s="1"/>
  <c r="O432" i="15" s="1"/>
  <c r="O431" i="15" s="1"/>
  <c r="O430" i="15" s="1"/>
  <c r="O429" i="15" s="1"/>
  <c r="N433" i="15"/>
  <c r="N432" i="15" s="1"/>
  <c r="N431" i="15" s="1"/>
  <c r="N430" i="15" s="1"/>
  <c r="N429" i="15" s="1"/>
  <c r="N416" i="15" s="1"/>
  <c r="M434" i="15"/>
  <c r="M433" i="15" s="1"/>
  <c r="M432" i="15" s="1"/>
  <c r="M431" i="15" s="1"/>
  <c r="M430" i="15" s="1"/>
  <c r="M429" i="15" s="1"/>
  <c r="J433" i="15"/>
  <c r="G433" i="15"/>
  <c r="K432" i="15"/>
  <c r="K431" i="15" s="1"/>
  <c r="K430" i="15" s="1"/>
  <c r="J432" i="15"/>
  <c r="J431" i="15" s="1"/>
  <c r="G432" i="15"/>
  <c r="G431" i="15" s="1"/>
  <c r="G430" i="15" s="1"/>
  <c r="G429" i="15" s="1"/>
  <c r="J430" i="15"/>
  <c r="K429" i="15"/>
  <c r="J429" i="15"/>
  <c r="O428" i="15"/>
  <c r="N428" i="15"/>
  <c r="M428" i="15"/>
  <c r="I428" i="15"/>
  <c r="I427" i="15" s="1"/>
  <c r="I426" i="15" s="1"/>
  <c r="I425" i="15" s="1"/>
  <c r="O427" i="15"/>
  <c r="N427" i="15"/>
  <c r="M427" i="15"/>
  <c r="L427" i="15"/>
  <c r="L426" i="15" s="1"/>
  <c r="J427" i="15"/>
  <c r="G427" i="15"/>
  <c r="O426" i="15"/>
  <c r="O425" i="15" s="1"/>
  <c r="O424" i="15" s="1"/>
  <c r="O423" i="15" s="1"/>
  <c r="N426" i="15"/>
  <c r="N425" i="15" s="1"/>
  <c r="N424" i="15" s="1"/>
  <c r="M426" i="15"/>
  <c r="M425" i="15" s="1"/>
  <c r="K426" i="15"/>
  <c r="K425" i="15" s="1"/>
  <c r="K424" i="15" s="1"/>
  <c r="K423" i="15" s="1"/>
  <c r="J426" i="15"/>
  <c r="J425" i="15" s="1"/>
  <c r="J424" i="15" s="1"/>
  <c r="J423" i="15" s="1"/>
  <c r="H426" i="15"/>
  <c r="G426" i="15"/>
  <c r="L425" i="15"/>
  <c r="L424" i="15" s="1"/>
  <c r="H425" i="15"/>
  <c r="G425" i="15"/>
  <c r="G424" i="15" s="1"/>
  <c r="G423" i="15" s="1"/>
  <c r="M424" i="15"/>
  <c r="I424" i="15"/>
  <c r="I423" i="15" s="1"/>
  <c r="H424" i="15"/>
  <c r="H423" i="15" s="1"/>
  <c r="N423" i="15"/>
  <c r="M423" i="15"/>
  <c r="L423" i="15"/>
  <c r="N422" i="15"/>
  <c r="N421" i="15" s="1"/>
  <c r="N420" i="15" s="1"/>
  <c r="N419" i="15" s="1"/>
  <c r="N418" i="15" s="1"/>
  <c r="N417" i="15" s="1"/>
  <c r="M422" i="15"/>
  <c r="I422" i="15"/>
  <c r="M421" i="15"/>
  <c r="M420" i="15" s="1"/>
  <c r="M419" i="15" s="1"/>
  <c r="M418" i="15" s="1"/>
  <c r="M417" i="15" s="1"/>
  <c r="M416" i="15" s="1"/>
  <c r="L421" i="15"/>
  <c r="J421" i="15"/>
  <c r="I421" i="15"/>
  <c r="H421" i="15"/>
  <c r="H420" i="15" s="1"/>
  <c r="H419" i="15" s="1"/>
  <c r="H418" i="15" s="1"/>
  <c r="H417" i="15" s="1"/>
  <c r="G421" i="15"/>
  <c r="L420" i="15"/>
  <c r="K420" i="15"/>
  <c r="J420" i="15"/>
  <c r="I420" i="15"/>
  <c r="I419" i="15" s="1"/>
  <c r="I418" i="15" s="1"/>
  <c r="G420" i="15"/>
  <c r="L419" i="15"/>
  <c r="K419" i="15"/>
  <c r="J419" i="15"/>
  <c r="J418" i="15" s="1"/>
  <c r="J417" i="15" s="1"/>
  <c r="G419" i="15"/>
  <c r="G418" i="15" s="1"/>
  <c r="G417" i="15" s="1"/>
  <c r="L418" i="15"/>
  <c r="L417" i="15" s="1"/>
  <c r="K418" i="15"/>
  <c r="K417" i="15" s="1"/>
  <c r="I417" i="15"/>
  <c r="O414" i="15"/>
  <c r="O413" i="15" s="1"/>
  <c r="O412" i="15" s="1"/>
  <c r="O411" i="15" s="1"/>
  <c r="N414" i="15"/>
  <c r="N413" i="15" s="1"/>
  <c r="N412" i="15" s="1"/>
  <c r="N411" i="15" s="1"/>
  <c r="M414" i="15"/>
  <c r="L414" i="15"/>
  <c r="L413" i="15" s="1"/>
  <c r="L412" i="15" s="1"/>
  <c r="J414" i="15"/>
  <c r="J413" i="15" s="1"/>
  <c r="I414" i="15"/>
  <c r="I413" i="15" s="1"/>
  <c r="I412" i="15" s="1"/>
  <c r="I411" i="15" s="1"/>
  <c r="G414" i="15"/>
  <c r="M413" i="15"/>
  <c r="M412" i="15" s="1"/>
  <c r="M411" i="15" s="1"/>
  <c r="K413" i="15"/>
  <c r="H413" i="15"/>
  <c r="G413" i="15"/>
  <c r="K412" i="15"/>
  <c r="K411" i="15" s="1"/>
  <c r="J412" i="15"/>
  <c r="J411" i="15" s="1"/>
  <c r="H412" i="15"/>
  <c r="G412" i="15"/>
  <c r="L411" i="15"/>
  <c r="L394" i="15" s="1"/>
  <c r="L393" i="15" s="1"/>
  <c r="H411" i="15"/>
  <c r="G411" i="15"/>
  <c r="G394" i="15" s="1"/>
  <c r="G393" i="15" s="1"/>
  <c r="N410" i="15"/>
  <c r="M410" i="15"/>
  <c r="L410" i="15"/>
  <c r="O410" i="15" s="1"/>
  <c r="N409" i="15"/>
  <c r="M409" i="15"/>
  <c r="L409" i="15"/>
  <c r="O409" i="15" s="1"/>
  <c r="N408" i="15"/>
  <c r="M408" i="15"/>
  <c r="M407" i="15" s="1"/>
  <c r="I408" i="15"/>
  <c r="I407" i="15" s="1"/>
  <c r="N407" i="15"/>
  <c r="L407" i="15"/>
  <c r="J407" i="15"/>
  <c r="G407" i="15"/>
  <c r="G402" i="15" s="1"/>
  <c r="G395" i="15" s="1"/>
  <c r="N405" i="15"/>
  <c r="M405" i="15"/>
  <c r="L405" i="15"/>
  <c r="I405" i="15"/>
  <c r="O405" i="15" s="1"/>
  <c r="N404" i="15"/>
  <c r="M404" i="15"/>
  <c r="M403" i="15" s="1"/>
  <c r="M402" i="15" s="1"/>
  <c r="I404" i="15"/>
  <c r="O404" i="15" s="1"/>
  <c r="N403" i="15"/>
  <c r="N402" i="15" s="1"/>
  <c r="L403" i="15"/>
  <c r="L402" i="15" s="1"/>
  <c r="K403" i="15"/>
  <c r="J403" i="15"/>
  <c r="I403" i="15"/>
  <c r="I402" i="15" s="1"/>
  <c r="H403" i="15"/>
  <c r="H402" i="15" s="1"/>
  <c r="G403" i="15"/>
  <c r="K402" i="15"/>
  <c r="J402" i="15"/>
  <c r="N401" i="15"/>
  <c r="M401" i="15"/>
  <c r="N400" i="15"/>
  <c r="M400" i="15"/>
  <c r="L400" i="15"/>
  <c r="J400" i="15"/>
  <c r="H400" i="15"/>
  <c r="G400" i="15"/>
  <c r="N399" i="15"/>
  <c r="O399" i="15" s="1"/>
  <c r="M399" i="15"/>
  <c r="L399" i="15"/>
  <c r="I399" i="15"/>
  <c r="O398" i="15"/>
  <c r="N398" i="15"/>
  <c r="M398" i="15"/>
  <c r="L398" i="15"/>
  <c r="L397" i="15" s="1"/>
  <c r="L396" i="15" s="1"/>
  <c r="L395" i="15" s="1"/>
  <c r="I398" i="15"/>
  <c r="I397" i="15" s="1"/>
  <c r="M397" i="15"/>
  <c r="K397" i="15"/>
  <c r="J397" i="15"/>
  <c r="H397" i="15"/>
  <c r="G397" i="15"/>
  <c r="M396" i="15"/>
  <c r="K396" i="15"/>
  <c r="J396" i="15"/>
  <c r="J395" i="15" s="1"/>
  <c r="J394" i="15" s="1"/>
  <c r="J393" i="15" s="1"/>
  <c r="G396" i="15"/>
  <c r="K395" i="15"/>
  <c r="K394" i="15" s="1"/>
  <c r="K393" i="15" s="1"/>
  <c r="O392" i="15"/>
  <c r="N392" i="15"/>
  <c r="M392" i="15"/>
  <c r="I392" i="15"/>
  <c r="N391" i="15"/>
  <c r="N386" i="15" s="1"/>
  <c r="H391" i="15"/>
  <c r="G391" i="15"/>
  <c r="O390" i="15"/>
  <c r="N390" i="15"/>
  <c r="M390" i="15"/>
  <c r="I390" i="15"/>
  <c r="N389" i="15"/>
  <c r="G389" i="15"/>
  <c r="N388" i="15"/>
  <c r="O388" i="15" s="1"/>
  <c r="O387" i="15" s="1"/>
  <c r="M388" i="15"/>
  <c r="I388" i="15"/>
  <c r="I387" i="15" s="1"/>
  <c r="N387" i="15"/>
  <c r="M387" i="15"/>
  <c r="L387" i="15"/>
  <c r="L386" i="15" s="1"/>
  <c r="J387" i="15"/>
  <c r="H387" i="15"/>
  <c r="H386" i="15" s="1"/>
  <c r="G387" i="15"/>
  <c r="G386" i="15" s="1"/>
  <c r="K386" i="15"/>
  <c r="J386" i="15"/>
  <c r="O385" i="15"/>
  <c r="N385" i="15"/>
  <c r="M385" i="15"/>
  <c r="I385" i="15"/>
  <c r="O384" i="15"/>
  <c r="O383" i="15" s="1"/>
  <c r="N384" i="15"/>
  <c r="N383" i="15" s="1"/>
  <c r="N382" i="15" s="1"/>
  <c r="N381" i="15" s="1"/>
  <c r="N380" i="15" s="1"/>
  <c r="M384" i="15"/>
  <c r="M383" i="15" s="1"/>
  <c r="L384" i="15"/>
  <c r="J384" i="15"/>
  <c r="I384" i="15"/>
  <c r="I383" i="15" s="1"/>
  <c r="G384" i="15"/>
  <c r="G383" i="15" s="1"/>
  <c r="L383" i="15"/>
  <c r="K383" i="15"/>
  <c r="J383" i="15"/>
  <c r="H383" i="15"/>
  <c r="H382" i="15" s="1"/>
  <c r="H381" i="15" s="1"/>
  <c r="H380" i="15" s="1"/>
  <c r="K382" i="15"/>
  <c r="J382" i="15"/>
  <c r="J381" i="15" s="1"/>
  <c r="J380" i="15" s="1"/>
  <c r="K381" i="15"/>
  <c r="K380" i="15"/>
  <c r="N378" i="15"/>
  <c r="M378" i="15"/>
  <c r="I378" i="15"/>
  <c r="O378" i="15" s="1"/>
  <c r="N377" i="15"/>
  <c r="M377" i="15"/>
  <c r="I377" i="15"/>
  <c r="O377" i="15" s="1"/>
  <c r="H377" i="15"/>
  <c r="O376" i="15"/>
  <c r="N376" i="15"/>
  <c r="M376" i="15"/>
  <c r="I376" i="15"/>
  <c r="H376" i="15"/>
  <c r="O375" i="15"/>
  <c r="N375" i="15"/>
  <c r="I375" i="15"/>
  <c r="H375" i="15"/>
  <c r="O374" i="15"/>
  <c r="N374" i="15"/>
  <c r="M374" i="15"/>
  <c r="I374" i="15"/>
  <c r="O373" i="15"/>
  <c r="N373" i="15"/>
  <c r="M373" i="15"/>
  <c r="I373" i="15"/>
  <c r="O372" i="15"/>
  <c r="N372" i="15"/>
  <c r="M372" i="15"/>
  <c r="I372" i="15"/>
  <c r="O371" i="15"/>
  <c r="N371" i="15"/>
  <c r="M371" i="15"/>
  <c r="I371" i="15"/>
  <c r="O370" i="15"/>
  <c r="N370" i="15"/>
  <c r="M370" i="15"/>
  <c r="L370" i="15"/>
  <c r="J370" i="15"/>
  <c r="I370" i="15"/>
  <c r="I369" i="15" s="1"/>
  <c r="I368" i="15" s="1"/>
  <c r="H370" i="15"/>
  <c r="G370" i="15"/>
  <c r="O369" i="15"/>
  <c r="N369" i="15"/>
  <c r="N368" i="15" s="1"/>
  <c r="M369" i="15"/>
  <c r="L369" i="15"/>
  <c r="K369" i="15"/>
  <c r="K368" i="15" s="1"/>
  <c r="J369" i="15"/>
  <c r="J368" i="15" s="1"/>
  <c r="H369" i="15"/>
  <c r="G369" i="15"/>
  <c r="O368" i="15"/>
  <c r="M368" i="15"/>
  <c r="L368" i="15"/>
  <c r="H368" i="15"/>
  <c r="G368" i="15"/>
  <c r="N367" i="15"/>
  <c r="M367" i="15"/>
  <c r="L367" i="15"/>
  <c r="N366" i="15"/>
  <c r="M366" i="15"/>
  <c r="K366" i="15"/>
  <c r="O364" i="15"/>
  <c r="N364" i="15"/>
  <c r="M364" i="15"/>
  <c r="L364" i="15"/>
  <c r="J364" i="15"/>
  <c r="I364" i="15"/>
  <c r="G364" i="15"/>
  <c r="G363" i="15" s="1"/>
  <c r="G362" i="15" s="1"/>
  <c r="G361" i="15" s="1"/>
  <c r="N363" i="15"/>
  <c r="M363" i="15"/>
  <c r="M362" i="15" s="1"/>
  <c r="M361" i="15" s="1"/>
  <c r="K363" i="15"/>
  <c r="J363" i="15"/>
  <c r="I363" i="15"/>
  <c r="I362" i="15" s="1"/>
  <c r="I361" i="15" s="1"/>
  <c r="H363" i="15"/>
  <c r="H362" i="15" s="1"/>
  <c r="N362" i="15"/>
  <c r="K362" i="15"/>
  <c r="J362" i="15"/>
  <c r="J361" i="15" s="1"/>
  <c r="N361" i="15"/>
  <c r="K361" i="15"/>
  <c r="O360" i="15"/>
  <c r="N360" i="15"/>
  <c r="M360" i="15"/>
  <c r="I360" i="15"/>
  <c r="J359" i="15"/>
  <c r="H359" i="15"/>
  <c r="G359" i="15"/>
  <c r="M359" i="15" s="1"/>
  <c r="N358" i="15"/>
  <c r="N357" i="15" s="1"/>
  <c r="M358" i="15"/>
  <c r="M357" i="15" s="1"/>
  <c r="L358" i="15"/>
  <c r="I358" i="15"/>
  <c r="O358" i="15" s="1"/>
  <c r="O357" i="15" s="1"/>
  <c r="L357" i="15"/>
  <c r="J357" i="15"/>
  <c r="J356" i="15" s="1"/>
  <c r="J355" i="15" s="1"/>
  <c r="J354" i="15" s="1"/>
  <c r="I357" i="15"/>
  <c r="H357" i="15"/>
  <c r="G357" i="15"/>
  <c r="L356" i="15"/>
  <c r="K356" i="15"/>
  <c r="G356" i="15"/>
  <c r="G355" i="15" s="1"/>
  <c r="G354" i="15" s="1"/>
  <c r="L355" i="15"/>
  <c r="L354" i="15" s="1"/>
  <c r="O353" i="15"/>
  <c r="N353" i="15"/>
  <c r="M353" i="15"/>
  <c r="I353" i="15"/>
  <c r="N352" i="15"/>
  <c r="M352" i="15"/>
  <c r="H352" i="15"/>
  <c r="I352" i="15" s="1"/>
  <c r="G352" i="15"/>
  <c r="G350" i="15" s="1"/>
  <c r="M350" i="15" s="1"/>
  <c r="I350" i="15"/>
  <c r="O350" i="15" s="1"/>
  <c r="H350" i="15"/>
  <c r="G349" i="15"/>
  <c r="M349" i="15" s="1"/>
  <c r="M348" i="15"/>
  <c r="L348" i="15"/>
  <c r="L347" i="15" s="1"/>
  <c r="I348" i="15"/>
  <c r="O348" i="15" s="1"/>
  <c r="H348" i="15"/>
  <c r="N348" i="15" s="1"/>
  <c r="N347" i="15"/>
  <c r="M347" i="15"/>
  <c r="K347" i="15"/>
  <c r="J347" i="15"/>
  <c r="I347" i="15"/>
  <c r="H347" i="15"/>
  <c r="G347" i="15"/>
  <c r="N346" i="15"/>
  <c r="M346" i="15"/>
  <c r="L346" i="15"/>
  <c r="I346" i="15"/>
  <c r="O346" i="15" s="1"/>
  <c r="N345" i="15"/>
  <c r="M345" i="15"/>
  <c r="L345" i="15"/>
  <c r="I345" i="15"/>
  <c r="O345" i="15" s="1"/>
  <c r="N344" i="15"/>
  <c r="M344" i="15"/>
  <c r="I344" i="15"/>
  <c r="O344" i="15" s="1"/>
  <c r="M343" i="15"/>
  <c r="L343" i="15"/>
  <c r="I343" i="15"/>
  <c r="O343" i="15" s="1"/>
  <c r="H343" i="15"/>
  <c r="N343" i="15" s="1"/>
  <c r="O342" i="15"/>
  <c r="N342" i="15"/>
  <c r="L342" i="15"/>
  <c r="N341" i="15"/>
  <c r="L341" i="15"/>
  <c r="O341" i="15" s="1"/>
  <c r="N340" i="15"/>
  <c r="L340" i="15"/>
  <c r="O340" i="15" s="1"/>
  <c r="O339" i="15"/>
  <c r="N339" i="15"/>
  <c r="L339" i="15"/>
  <c r="N338" i="15"/>
  <c r="N337" i="15" s="1"/>
  <c r="M338" i="15"/>
  <c r="L338" i="15"/>
  <c r="I338" i="15"/>
  <c r="I337" i="15" s="1"/>
  <c r="O337" i="15"/>
  <c r="M337" i="15"/>
  <c r="L337" i="15"/>
  <c r="L322" i="15" s="1"/>
  <c r="L321" i="15" s="1"/>
  <c r="L320" i="15" s="1"/>
  <c r="K337" i="15"/>
  <c r="J337" i="15"/>
  <c r="H337" i="15"/>
  <c r="G337" i="15"/>
  <c r="M336" i="15"/>
  <c r="I336" i="15"/>
  <c r="O336" i="15" s="1"/>
  <c r="O335" i="15" s="1"/>
  <c r="N336" i="15"/>
  <c r="N335" i="15" s="1"/>
  <c r="M335" i="15"/>
  <c r="L335" i="15"/>
  <c r="J335" i="15"/>
  <c r="G335" i="15"/>
  <c r="N334" i="15"/>
  <c r="M334" i="15"/>
  <c r="M333" i="15" s="1"/>
  <c r="L334" i="15"/>
  <c r="I334" i="15"/>
  <c r="O334" i="15" s="1"/>
  <c r="O333" i="15" s="1"/>
  <c r="N333" i="15"/>
  <c r="L333" i="15"/>
  <c r="K333" i="15"/>
  <c r="J333" i="15"/>
  <c r="I333" i="15"/>
  <c r="H333" i="15"/>
  <c r="O332" i="15"/>
  <c r="N332" i="15"/>
  <c r="M332" i="15"/>
  <c r="I332" i="15"/>
  <c r="O331" i="15"/>
  <c r="N331" i="15"/>
  <c r="M331" i="15"/>
  <c r="I331" i="15"/>
  <c r="O330" i="15"/>
  <c r="O329" i="15" s="1"/>
  <c r="N330" i="15"/>
  <c r="N329" i="15" s="1"/>
  <c r="M330" i="15"/>
  <c r="I330" i="15"/>
  <c r="M329" i="15"/>
  <c r="L329" i="15"/>
  <c r="J329" i="15"/>
  <c r="I329" i="15"/>
  <c r="H329" i="15"/>
  <c r="G329" i="15"/>
  <c r="O328" i="15"/>
  <c r="O327" i="15" s="1"/>
  <c r="N328" i="15"/>
  <c r="M328" i="15"/>
  <c r="N327" i="15"/>
  <c r="M327" i="15"/>
  <c r="L327" i="15"/>
  <c r="J327" i="15"/>
  <c r="I327" i="15"/>
  <c r="G327" i="15"/>
  <c r="N326" i="15"/>
  <c r="N325" i="15" s="1"/>
  <c r="M326" i="15"/>
  <c r="M325" i="15" s="1"/>
  <c r="L326" i="15"/>
  <c r="I326" i="15"/>
  <c r="O326" i="15" s="1"/>
  <c r="O325" i="15" s="1"/>
  <c r="L325" i="15"/>
  <c r="K325" i="15"/>
  <c r="J325" i="15"/>
  <c r="H325" i="15"/>
  <c r="G325" i="15"/>
  <c r="M324" i="15"/>
  <c r="I324" i="15"/>
  <c r="I323" i="15" s="1"/>
  <c r="M323" i="15"/>
  <c r="L323" i="15"/>
  <c r="J323" i="15"/>
  <c r="J322" i="15" s="1"/>
  <c r="J321" i="15" s="1"/>
  <c r="J320" i="15" s="1"/>
  <c r="G323" i="15"/>
  <c r="K322" i="15"/>
  <c r="K321" i="15" s="1"/>
  <c r="K320" i="15" s="1"/>
  <c r="G322" i="15"/>
  <c r="G321" i="15" s="1"/>
  <c r="G320" i="15" s="1"/>
  <c r="O318" i="15"/>
  <c r="O317" i="15"/>
  <c r="O316" i="15"/>
  <c r="N316" i="15"/>
  <c r="N314" i="15" s="1"/>
  <c r="M316" i="15"/>
  <c r="N315" i="15"/>
  <c r="M315" i="15"/>
  <c r="L315" i="15"/>
  <c r="O315" i="15" s="1"/>
  <c r="I315" i="15"/>
  <c r="M314" i="15"/>
  <c r="L314" i="15"/>
  <c r="H314" i="15"/>
  <c r="G314" i="15"/>
  <c r="M313" i="15"/>
  <c r="M312" i="15" s="1"/>
  <c r="L313" i="15"/>
  <c r="L312" i="15" s="1"/>
  <c r="K313" i="15"/>
  <c r="J313" i="15"/>
  <c r="H313" i="15"/>
  <c r="K312" i="15"/>
  <c r="J312" i="15"/>
  <c r="O311" i="15"/>
  <c r="N311" i="15"/>
  <c r="M311" i="15"/>
  <c r="I311" i="15"/>
  <c r="N310" i="15"/>
  <c r="H310" i="15"/>
  <c r="I310" i="15" s="1"/>
  <c r="O310" i="15" s="1"/>
  <c r="H309" i="15"/>
  <c r="G309" i="15"/>
  <c r="L308" i="15"/>
  <c r="L307" i="15" s="1"/>
  <c r="K308" i="15"/>
  <c r="J308" i="15"/>
  <c r="K307" i="15"/>
  <c r="J307" i="15"/>
  <c r="N306" i="15"/>
  <c r="N305" i="15" s="1"/>
  <c r="M306" i="15"/>
  <c r="L306" i="15"/>
  <c r="I306" i="15"/>
  <c r="I305" i="15" s="1"/>
  <c r="M305" i="15"/>
  <c r="L305" i="15"/>
  <c r="L301" i="15" s="1"/>
  <c r="L300" i="15" s="1"/>
  <c r="L299" i="15" s="1"/>
  <c r="J305" i="15"/>
  <c r="J301" i="15" s="1"/>
  <c r="J300" i="15" s="1"/>
  <c r="J299" i="15" s="1"/>
  <c r="H305" i="15"/>
  <c r="G305" i="15"/>
  <c r="N304" i="15"/>
  <c r="O304" i="15" s="1"/>
  <c r="M304" i="15"/>
  <c r="I304" i="15"/>
  <c r="N303" i="15"/>
  <c r="M303" i="15"/>
  <c r="K303" i="15"/>
  <c r="I303" i="15"/>
  <c r="I302" i="15" s="1"/>
  <c r="I301" i="15" s="1"/>
  <c r="I300" i="15" s="1"/>
  <c r="M302" i="15"/>
  <c r="M301" i="15" s="1"/>
  <c r="L302" i="15"/>
  <c r="J302" i="15"/>
  <c r="H302" i="15"/>
  <c r="H301" i="15" s="1"/>
  <c r="H300" i="15" s="1"/>
  <c r="G302" i="15"/>
  <c r="G301" i="15" s="1"/>
  <c r="G300" i="15" s="1"/>
  <c r="K301" i="15"/>
  <c r="M300" i="15"/>
  <c r="K300" i="15"/>
  <c r="K299" i="15"/>
  <c r="N298" i="15"/>
  <c r="M298" i="15"/>
  <c r="I298" i="15"/>
  <c r="I297" i="15" s="1"/>
  <c r="M297" i="15"/>
  <c r="H297" i="15"/>
  <c r="P297" i="15" s="1"/>
  <c r="G297" i="15"/>
  <c r="G296" i="15"/>
  <c r="L295" i="15"/>
  <c r="K295" i="15"/>
  <c r="K294" i="15" s="1"/>
  <c r="J295" i="15"/>
  <c r="L294" i="15"/>
  <c r="J294" i="15"/>
  <c r="N293" i="15"/>
  <c r="N292" i="15" s="1"/>
  <c r="M293" i="15"/>
  <c r="M292" i="15" s="1"/>
  <c r="L293" i="15"/>
  <c r="I293" i="15"/>
  <c r="O293" i="15" s="1"/>
  <c r="O292" i="15"/>
  <c r="L292" i="15"/>
  <c r="J292" i="15"/>
  <c r="I292" i="15"/>
  <c r="G292" i="15"/>
  <c r="N291" i="15"/>
  <c r="M291" i="15"/>
  <c r="M290" i="15" s="1"/>
  <c r="M284" i="15" s="1"/>
  <c r="M283" i="15" s="1"/>
  <c r="L291" i="15"/>
  <c r="J291" i="15"/>
  <c r="I291" i="15"/>
  <c r="I290" i="15" s="1"/>
  <c r="L290" i="15"/>
  <c r="J290" i="15"/>
  <c r="H290" i="15"/>
  <c r="G290" i="15"/>
  <c r="M289" i="15"/>
  <c r="L289" i="15"/>
  <c r="I289" i="15"/>
  <c r="M288" i="15"/>
  <c r="L288" i="15"/>
  <c r="J288" i="15"/>
  <c r="G288" i="15"/>
  <c r="O287" i="15"/>
  <c r="N287" i="15"/>
  <c r="M287" i="15"/>
  <c r="I287" i="15"/>
  <c r="I285" i="15" s="1"/>
  <c r="N286" i="15"/>
  <c r="N285" i="15" s="1"/>
  <c r="M286" i="15"/>
  <c r="L286" i="15"/>
  <c r="O285" i="15" s="1"/>
  <c r="M285" i="15"/>
  <c r="L285" i="15"/>
  <c r="K285" i="15"/>
  <c r="K284" i="15" s="1"/>
  <c r="K283" i="15" s="1"/>
  <c r="K282" i="15" s="1"/>
  <c r="K281" i="15" s="1"/>
  <c r="J285" i="15"/>
  <c r="H285" i="15"/>
  <c r="G285" i="15"/>
  <c r="L284" i="15"/>
  <c r="L283" i="15" s="1"/>
  <c r="L282" i="15" s="1"/>
  <c r="N280" i="15"/>
  <c r="O280" i="15" s="1"/>
  <c r="O279" i="15" s="1"/>
  <c r="M280" i="15"/>
  <c r="I280" i="15"/>
  <c r="N279" i="15"/>
  <c r="M279" i="15"/>
  <c r="L279" i="15"/>
  <c r="J279" i="15"/>
  <c r="H279" i="15"/>
  <c r="G279" i="15"/>
  <c r="G276" i="15" s="1"/>
  <c r="G275" i="15" s="1"/>
  <c r="N277" i="15"/>
  <c r="M277" i="15"/>
  <c r="L277" i="15"/>
  <c r="L276" i="15" s="1"/>
  <c r="L275" i="15" s="1"/>
  <c r="J277" i="15"/>
  <c r="I277" i="15"/>
  <c r="G277" i="15"/>
  <c r="K276" i="15"/>
  <c r="J276" i="15"/>
  <c r="J275" i="15" s="1"/>
  <c r="J270" i="15" s="1"/>
  <c r="J255" i="15" s="1"/>
  <c r="K275" i="15"/>
  <c r="K270" i="15" s="1"/>
  <c r="K255" i="15" s="1"/>
  <c r="N274" i="15"/>
  <c r="I274" i="15"/>
  <c r="H273" i="15"/>
  <c r="L270" i="15"/>
  <c r="L255" i="15" s="1"/>
  <c r="G270" i="15"/>
  <c r="N269" i="15"/>
  <c r="I269" i="15"/>
  <c r="O269" i="15" s="1"/>
  <c r="O268" i="15"/>
  <c r="N268" i="15"/>
  <c r="I268" i="15"/>
  <c r="I267" i="15"/>
  <c r="O267" i="15" s="1"/>
  <c r="I266" i="15"/>
  <c r="O266" i="15" s="1"/>
  <c r="N264" i="15"/>
  <c r="M264" i="15"/>
  <c r="I264" i="15"/>
  <c r="O264" i="15" s="1"/>
  <c r="N263" i="15"/>
  <c r="M263" i="15"/>
  <c r="I263" i="15"/>
  <c r="O263" i="15" s="1"/>
  <c r="H262" i="15"/>
  <c r="G262" i="15"/>
  <c r="M262" i="15" s="1"/>
  <c r="M261" i="15"/>
  <c r="G261" i="15"/>
  <c r="G256" i="15" s="1"/>
  <c r="O259" i="15"/>
  <c r="N259" i="15"/>
  <c r="I259" i="15"/>
  <c r="N258" i="15"/>
  <c r="N256" i="15" s="1"/>
  <c r="I258" i="15"/>
  <c r="O258" i="15" s="1"/>
  <c r="N257" i="15"/>
  <c r="I257" i="15"/>
  <c r="O257" i="15" s="1"/>
  <c r="M256" i="15"/>
  <c r="G255" i="15"/>
  <c r="O253" i="15"/>
  <c r="O252" i="15" s="1"/>
  <c r="O251" i="15" s="1"/>
  <c r="O250" i="15" s="1"/>
  <c r="N253" i="15"/>
  <c r="M253" i="15"/>
  <c r="I252" i="15"/>
  <c r="I251" i="15" s="1"/>
  <c r="I250" i="15" s="1"/>
  <c r="N252" i="15"/>
  <c r="N251" i="15" s="1"/>
  <c r="N250" i="15" s="1"/>
  <c r="M252" i="15"/>
  <c r="M251" i="15" s="1"/>
  <c r="L252" i="15"/>
  <c r="J252" i="15"/>
  <c r="J251" i="15" s="1"/>
  <c r="J250" i="15" s="1"/>
  <c r="G252" i="15"/>
  <c r="L251" i="15"/>
  <c r="L250" i="15" s="1"/>
  <c r="K251" i="15"/>
  <c r="H251" i="15"/>
  <c r="H250" i="15" s="1"/>
  <c r="G251" i="15"/>
  <c r="G250" i="15" s="1"/>
  <c r="M250" i="15"/>
  <c r="K250" i="15"/>
  <c r="O249" i="15"/>
  <c r="N249" i="15"/>
  <c r="I249" i="15"/>
  <c r="O248" i="15"/>
  <c r="N248" i="15"/>
  <c r="I248" i="15"/>
  <c r="O246" i="15"/>
  <c r="N246" i="15"/>
  <c r="M246" i="15"/>
  <c r="I246" i="15"/>
  <c r="O245" i="15"/>
  <c r="O244" i="15" s="1"/>
  <c r="O243" i="15" s="1"/>
  <c r="N245" i="15"/>
  <c r="M245" i="15"/>
  <c r="L245" i="15"/>
  <c r="L244" i="15" s="1"/>
  <c r="J245" i="15"/>
  <c r="J244" i="15" s="1"/>
  <c r="J243" i="15" s="1"/>
  <c r="I245" i="15"/>
  <c r="I244" i="15" s="1"/>
  <c r="I243" i="15" s="1"/>
  <c r="G245" i="15"/>
  <c r="N244" i="15"/>
  <c r="M244" i="15"/>
  <c r="M243" i="15" s="1"/>
  <c r="K244" i="15"/>
  <c r="H244" i="15"/>
  <c r="G244" i="15"/>
  <c r="G243" i="15" s="1"/>
  <c r="N243" i="15"/>
  <c r="L243" i="15"/>
  <c r="K243" i="15"/>
  <c r="H243" i="15"/>
  <c r="O240" i="15"/>
  <c r="O239" i="15" s="1"/>
  <c r="O238" i="15" s="1"/>
  <c r="N240" i="15"/>
  <c r="M240" i="15"/>
  <c r="M239" i="15" s="1"/>
  <c r="L240" i="15"/>
  <c r="L239" i="15" s="1"/>
  <c r="L238" i="15" s="1"/>
  <c r="L237" i="15" s="1"/>
  <c r="J240" i="15"/>
  <c r="J239" i="15" s="1"/>
  <c r="J238" i="15" s="1"/>
  <c r="J237" i="15" s="1"/>
  <c r="I240" i="15"/>
  <c r="G240" i="15"/>
  <c r="N239" i="15"/>
  <c r="N238" i="15" s="1"/>
  <c r="K239" i="15"/>
  <c r="I239" i="15"/>
  <c r="H239" i="15"/>
  <c r="G239" i="15"/>
  <c r="G238" i="15" s="1"/>
  <c r="G237" i="15" s="1"/>
  <c r="M238" i="15"/>
  <c r="M237" i="15" s="1"/>
  <c r="K238" i="15"/>
  <c r="K237" i="15" s="1"/>
  <c r="I238" i="15"/>
  <c r="I237" i="15" s="1"/>
  <c r="H238" i="15"/>
  <c r="H237" i="15" s="1"/>
  <c r="O236" i="15"/>
  <c r="N236" i="15"/>
  <c r="M236" i="15"/>
  <c r="I236" i="15"/>
  <c r="M235" i="15"/>
  <c r="H235" i="15"/>
  <c r="G235" i="15"/>
  <c r="O234" i="15"/>
  <c r="N234" i="15"/>
  <c r="M234" i="15"/>
  <c r="O233" i="15"/>
  <c r="I233" i="15"/>
  <c r="H233" i="15"/>
  <c r="H232" i="15" s="1"/>
  <c r="N232" i="15" s="1"/>
  <c r="N231" i="15" s="1"/>
  <c r="G233" i="15"/>
  <c r="M233" i="15" s="1"/>
  <c r="L231" i="15"/>
  <c r="K231" i="15"/>
  <c r="J231" i="15"/>
  <c r="O230" i="15"/>
  <c r="N230" i="15"/>
  <c r="M230" i="15"/>
  <c r="I230" i="15"/>
  <c r="I229" i="15" s="1"/>
  <c r="O229" i="15"/>
  <c r="O228" i="15" s="1"/>
  <c r="N229" i="15"/>
  <c r="M229" i="15"/>
  <c r="M228" i="15" s="1"/>
  <c r="L229" i="15"/>
  <c r="L228" i="15" s="1"/>
  <c r="J229" i="15"/>
  <c r="J228" i="15" s="1"/>
  <c r="H229" i="15"/>
  <c r="G229" i="15"/>
  <c r="N228" i="15"/>
  <c r="K228" i="15"/>
  <c r="I228" i="15"/>
  <c r="H228" i="15"/>
  <c r="G228" i="15"/>
  <c r="N227" i="15"/>
  <c r="M227" i="15"/>
  <c r="I227" i="15"/>
  <c r="O227" i="15" s="1"/>
  <c r="N226" i="15"/>
  <c r="M226" i="15"/>
  <c r="I226" i="15"/>
  <c r="O226" i="15" s="1"/>
  <c r="G226" i="15"/>
  <c r="N225" i="15"/>
  <c r="M225" i="15"/>
  <c r="H225" i="15"/>
  <c r="G225" i="15"/>
  <c r="I225" i="15" s="1"/>
  <c r="O225" i="15" s="1"/>
  <c r="O224" i="15"/>
  <c r="N224" i="15"/>
  <c r="M224" i="15"/>
  <c r="I224" i="15"/>
  <c r="O223" i="15"/>
  <c r="O222" i="15" s="1"/>
  <c r="O221" i="15" s="1"/>
  <c r="O220" i="15" s="1"/>
  <c r="N223" i="15"/>
  <c r="M223" i="15"/>
  <c r="I223" i="15"/>
  <c r="I222" i="15" s="1"/>
  <c r="N222" i="15"/>
  <c r="M222" i="15"/>
  <c r="L222" i="15"/>
  <c r="L221" i="15" s="1"/>
  <c r="J222" i="15"/>
  <c r="J221" i="15" s="1"/>
  <c r="J220" i="15" s="1"/>
  <c r="H222" i="15"/>
  <c r="H221" i="15" s="1"/>
  <c r="H220" i="15" s="1"/>
  <c r="N220" i="15" s="1"/>
  <c r="G222" i="15"/>
  <c r="N221" i="15"/>
  <c r="M221" i="15"/>
  <c r="M220" i="15" s="1"/>
  <c r="K221" i="15"/>
  <c r="K220" i="15" s="1"/>
  <c r="I221" i="15"/>
  <c r="I220" i="15" s="1"/>
  <c r="G221" i="15"/>
  <c r="L220" i="15"/>
  <c r="N219" i="15"/>
  <c r="M219" i="15"/>
  <c r="M218" i="15" s="1"/>
  <c r="L219" i="15"/>
  <c r="I219" i="15"/>
  <c r="I218" i="15" s="1"/>
  <c r="I211" i="15" s="1"/>
  <c r="I210" i="15" s="1"/>
  <c r="N218" i="15"/>
  <c r="L218" i="15"/>
  <c r="K218" i="15"/>
  <c r="K211" i="15" s="1"/>
  <c r="K210" i="15" s="1"/>
  <c r="K209" i="15" s="1"/>
  <c r="K208" i="15" s="1"/>
  <c r="J218" i="15"/>
  <c r="H218" i="15"/>
  <c r="G218" i="15"/>
  <c r="G211" i="15" s="1"/>
  <c r="N217" i="15"/>
  <c r="M217" i="15"/>
  <c r="L217" i="15"/>
  <c r="I217" i="15"/>
  <c r="O217" i="15" s="1"/>
  <c r="N216" i="15"/>
  <c r="M216" i="15"/>
  <c r="L216" i="15"/>
  <c r="O216" i="15" s="1"/>
  <c r="I216" i="15"/>
  <c r="O215" i="15"/>
  <c r="N215" i="15"/>
  <c r="M215" i="15"/>
  <c r="L215" i="15"/>
  <c r="N214" i="15"/>
  <c r="J214" i="15"/>
  <c r="I214" i="15"/>
  <c r="N213" i="15"/>
  <c r="M213" i="15"/>
  <c r="O213" i="15" s="1"/>
  <c r="I213" i="15"/>
  <c r="N212" i="15"/>
  <c r="M212" i="15"/>
  <c r="O212" i="15" s="1"/>
  <c r="I212" i="15"/>
  <c r="H212" i="15"/>
  <c r="H211" i="15"/>
  <c r="G210" i="15"/>
  <c r="N207" i="15"/>
  <c r="N206" i="15" s="1"/>
  <c r="N205" i="15" s="1"/>
  <c r="N204" i="15" s="1"/>
  <c r="N203" i="15" s="1"/>
  <c r="N202" i="15" s="1"/>
  <c r="M207" i="15"/>
  <c r="M206" i="15" s="1"/>
  <c r="M205" i="15" s="1"/>
  <c r="M204" i="15" s="1"/>
  <c r="M203" i="15" s="1"/>
  <c r="M202" i="15" s="1"/>
  <c r="I207" i="15"/>
  <c r="L206" i="15"/>
  <c r="L205" i="15" s="1"/>
  <c r="L204" i="15" s="1"/>
  <c r="J206" i="15"/>
  <c r="H206" i="15"/>
  <c r="G206" i="15"/>
  <c r="G205" i="15" s="1"/>
  <c r="G204" i="15" s="1"/>
  <c r="K205" i="15"/>
  <c r="J205" i="15"/>
  <c r="J204" i="15" s="1"/>
  <c r="J203" i="15" s="1"/>
  <c r="J202" i="15" s="1"/>
  <c r="H205" i="15"/>
  <c r="H204" i="15" s="1"/>
  <c r="K204" i="15"/>
  <c r="K203" i="15" s="1"/>
  <c r="L203" i="15"/>
  <c r="L202" i="15" s="1"/>
  <c r="H203" i="15"/>
  <c r="H202" i="15" s="1"/>
  <c r="G203" i="15"/>
  <c r="G202" i="15" s="1"/>
  <c r="K202" i="15"/>
  <c r="N201" i="15"/>
  <c r="M201" i="15"/>
  <c r="I201" i="15"/>
  <c r="O201" i="15" s="1"/>
  <c r="N200" i="15"/>
  <c r="M200" i="15"/>
  <c r="H200" i="15"/>
  <c r="G200" i="15"/>
  <c r="H199" i="15"/>
  <c r="N199" i="15" s="1"/>
  <c r="G199" i="15"/>
  <c r="M199" i="15" s="1"/>
  <c r="N197" i="15"/>
  <c r="M197" i="15"/>
  <c r="M196" i="15" s="1"/>
  <c r="M195" i="15" s="1"/>
  <c r="M194" i="15" s="1"/>
  <c r="M193" i="15" s="1"/>
  <c r="M179" i="15" s="1"/>
  <c r="I197" i="15"/>
  <c r="N196" i="15"/>
  <c r="L196" i="15"/>
  <c r="L195" i="15" s="1"/>
  <c r="L194" i="15" s="1"/>
  <c r="L193" i="15" s="1"/>
  <c r="J196" i="15"/>
  <c r="I196" i="15"/>
  <c r="H196" i="15"/>
  <c r="G196" i="15"/>
  <c r="G195" i="15" s="1"/>
  <c r="N195" i="15"/>
  <c r="K195" i="15"/>
  <c r="J195" i="15"/>
  <c r="J194" i="15" s="1"/>
  <c r="J193" i="15" s="1"/>
  <c r="I195" i="15"/>
  <c r="I194" i="15" s="1"/>
  <c r="I193" i="15" s="1"/>
  <c r="H195" i="15"/>
  <c r="H194" i="15" s="1"/>
  <c r="N194" i="15"/>
  <c r="N193" i="15" s="1"/>
  <c r="K194" i="15"/>
  <c r="G194" i="15"/>
  <c r="G193" i="15" s="1"/>
  <c r="K193" i="15"/>
  <c r="H193" i="15"/>
  <c r="O192" i="15"/>
  <c r="N192" i="15"/>
  <c r="N191" i="15" s="1"/>
  <c r="N190" i="15" s="1"/>
  <c r="M192" i="15"/>
  <c r="I192" i="15"/>
  <c r="I191" i="15" s="1"/>
  <c r="O191" i="15"/>
  <c r="O190" i="15" s="1"/>
  <c r="M191" i="15"/>
  <c r="M190" i="15" s="1"/>
  <c r="L191" i="15"/>
  <c r="L190" i="15" s="1"/>
  <c r="J191" i="15"/>
  <c r="J190" i="15" s="1"/>
  <c r="H191" i="15"/>
  <c r="H190" i="15" s="1"/>
  <c r="G191" i="15"/>
  <c r="K190" i="15"/>
  <c r="I190" i="15"/>
  <c r="G190" i="15"/>
  <c r="N189" i="15"/>
  <c r="K189" i="15"/>
  <c r="O188" i="15"/>
  <c r="N188" i="15"/>
  <c r="M188" i="15"/>
  <c r="L188" i="15"/>
  <c r="J188" i="15"/>
  <c r="I188" i="15"/>
  <c r="H188" i="15"/>
  <c r="G188" i="15"/>
  <c r="G182" i="15" s="1"/>
  <c r="N187" i="15"/>
  <c r="N186" i="15" s="1"/>
  <c r="M187" i="15"/>
  <c r="L187" i="15"/>
  <c r="L186" i="15" s="1"/>
  <c r="I187" i="15"/>
  <c r="M186" i="15"/>
  <c r="K186" i="15"/>
  <c r="J186" i="15"/>
  <c r="I186" i="15"/>
  <c r="H186" i="15"/>
  <c r="G186" i="15"/>
  <c r="N185" i="15"/>
  <c r="M185" i="15"/>
  <c r="L185" i="15"/>
  <c r="I185" i="15"/>
  <c r="N184" i="15"/>
  <c r="N183" i="15" s="1"/>
  <c r="N182" i="15" s="1"/>
  <c r="M184" i="15"/>
  <c r="L184" i="15"/>
  <c r="I184" i="15"/>
  <c r="O184" i="15" s="1"/>
  <c r="M183" i="15"/>
  <c r="M182" i="15" s="1"/>
  <c r="M181" i="15" s="1"/>
  <c r="M180" i="15" s="1"/>
  <c r="J183" i="15"/>
  <c r="I183" i="15"/>
  <c r="I182" i="15" s="1"/>
  <c r="H183" i="15"/>
  <c r="G183" i="15"/>
  <c r="J182" i="15"/>
  <c r="G181" i="15"/>
  <c r="G180" i="15" s="1"/>
  <c r="G179" i="15" s="1"/>
  <c r="O178" i="15"/>
  <c r="N178" i="15"/>
  <c r="M178" i="15"/>
  <c r="I178" i="15"/>
  <c r="N177" i="15"/>
  <c r="N174" i="15" s="1"/>
  <c r="M177" i="15"/>
  <c r="H177" i="15"/>
  <c r="H174" i="15" s="1"/>
  <c r="H173" i="15" s="1"/>
  <c r="H172" i="15" s="1"/>
  <c r="H171" i="15" s="1"/>
  <c r="G177" i="15"/>
  <c r="N176" i="15"/>
  <c r="M176" i="15"/>
  <c r="O176" i="15" s="1"/>
  <c r="O175" i="15" s="1"/>
  <c r="L176" i="15"/>
  <c r="L175" i="15" s="1"/>
  <c r="L174" i="15" s="1"/>
  <c r="L173" i="15" s="1"/>
  <c r="L172" i="15" s="1"/>
  <c r="L171" i="15" s="1"/>
  <c r="I176" i="15"/>
  <c r="N175" i="15"/>
  <c r="M175" i="15"/>
  <c r="K175" i="15"/>
  <c r="J175" i="15"/>
  <c r="I175" i="15"/>
  <c r="G175" i="15"/>
  <c r="K174" i="15"/>
  <c r="J174" i="15"/>
  <c r="N173" i="15"/>
  <c r="N172" i="15" s="1"/>
  <c r="N171" i="15" s="1"/>
  <c r="K173" i="15"/>
  <c r="J173" i="15"/>
  <c r="J172" i="15" s="1"/>
  <c r="J171" i="15" s="1"/>
  <c r="K172" i="15"/>
  <c r="K171" i="15" s="1"/>
  <c r="O168" i="15"/>
  <c r="O167" i="15" s="1"/>
  <c r="O166" i="15" s="1"/>
  <c r="N168" i="15"/>
  <c r="N167" i="15" s="1"/>
  <c r="M168" i="15"/>
  <c r="L168" i="15"/>
  <c r="L167" i="15" s="1"/>
  <c r="L166" i="15" s="1"/>
  <c r="J168" i="15"/>
  <c r="I168" i="15"/>
  <c r="G168" i="15"/>
  <c r="M167" i="15"/>
  <c r="M166" i="15" s="1"/>
  <c r="K167" i="15"/>
  <c r="J167" i="15"/>
  <c r="I167" i="15"/>
  <c r="I166" i="15" s="1"/>
  <c r="H167" i="15"/>
  <c r="G167" i="15"/>
  <c r="N166" i="15"/>
  <c r="K166" i="15"/>
  <c r="J166" i="15"/>
  <c r="H166" i="15"/>
  <c r="G166" i="15"/>
  <c r="O164" i="15"/>
  <c r="O163" i="15" s="1"/>
  <c r="N164" i="15"/>
  <c r="M164" i="15"/>
  <c r="M163" i="15" s="1"/>
  <c r="M162" i="15" s="1"/>
  <c r="L164" i="15"/>
  <c r="L163" i="15" s="1"/>
  <c r="L162" i="15" s="1"/>
  <c r="J164" i="15"/>
  <c r="I164" i="15"/>
  <c r="G164" i="15"/>
  <c r="N163" i="15"/>
  <c r="N162" i="15" s="1"/>
  <c r="K163" i="15"/>
  <c r="J163" i="15"/>
  <c r="J162" i="15" s="1"/>
  <c r="I163" i="15"/>
  <c r="H163" i="15"/>
  <c r="G163" i="15"/>
  <c r="O162" i="15"/>
  <c r="K162" i="15"/>
  <c r="I162" i="15"/>
  <c r="H162" i="15"/>
  <c r="G162" i="15"/>
  <c r="N161" i="15"/>
  <c r="N160" i="15" s="1"/>
  <c r="M161" i="15"/>
  <c r="I161" i="15"/>
  <c r="Q161" i="15" s="1"/>
  <c r="M160" i="15"/>
  <c r="L160" i="15"/>
  <c r="J160" i="15"/>
  <c r="H160" i="15"/>
  <c r="P160" i="15" s="1"/>
  <c r="G160" i="15"/>
  <c r="N159" i="15"/>
  <c r="N158" i="15" s="1"/>
  <c r="M159" i="15"/>
  <c r="I159" i="15"/>
  <c r="Q159" i="15" s="1"/>
  <c r="M158" i="15"/>
  <c r="L158" i="15"/>
  <c r="L157" i="15" s="1"/>
  <c r="L156" i="15" s="1"/>
  <c r="L155" i="15" s="1"/>
  <c r="L154" i="15" s="1"/>
  <c r="J158" i="15"/>
  <c r="H158" i="15"/>
  <c r="G158" i="15"/>
  <c r="M157" i="15"/>
  <c r="K157" i="15"/>
  <c r="J157" i="15"/>
  <c r="M156" i="15"/>
  <c r="K156" i="15"/>
  <c r="J156" i="15"/>
  <c r="K155" i="15"/>
  <c r="J155" i="15"/>
  <c r="J154" i="15" s="1"/>
  <c r="K154" i="15"/>
  <c r="N153" i="15"/>
  <c r="O153" i="15" s="1"/>
  <c r="O152" i="15" s="1"/>
  <c r="O151" i="15" s="1"/>
  <c r="O150" i="15" s="1"/>
  <c r="I153" i="15"/>
  <c r="I152" i="15" s="1"/>
  <c r="I151" i="15" s="1"/>
  <c r="I150" i="15" s="1"/>
  <c r="M152" i="15"/>
  <c r="M151" i="15" s="1"/>
  <c r="M150" i="15" s="1"/>
  <c r="L152" i="15"/>
  <c r="L151" i="15" s="1"/>
  <c r="L150" i="15" s="1"/>
  <c r="J152" i="15"/>
  <c r="G152" i="15"/>
  <c r="K151" i="15"/>
  <c r="J151" i="15"/>
  <c r="J150" i="15" s="1"/>
  <c r="H151" i="15"/>
  <c r="G151" i="15"/>
  <c r="K150" i="15"/>
  <c r="H150" i="15"/>
  <c r="G150" i="15"/>
  <c r="N149" i="15"/>
  <c r="N148" i="15" s="1"/>
  <c r="N147" i="15" s="1"/>
  <c r="N146" i="15" s="1"/>
  <c r="M149" i="15"/>
  <c r="I148" i="15"/>
  <c r="I147" i="15" s="1"/>
  <c r="I146" i="15" s="1"/>
  <c r="M148" i="15"/>
  <c r="L148" i="15"/>
  <c r="J148" i="15"/>
  <c r="H148" i="15"/>
  <c r="P148" i="15" s="1"/>
  <c r="Q148" i="15" s="1"/>
  <c r="G148" i="15"/>
  <c r="G147" i="15" s="1"/>
  <c r="G146" i="15" s="1"/>
  <c r="M147" i="15"/>
  <c r="L147" i="15"/>
  <c r="L146" i="15" s="1"/>
  <c r="K147" i="15"/>
  <c r="J147" i="15"/>
  <c r="H147" i="15"/>
  <c r="M146" i="15"/>
  <c r="K146" i="15"/>
  <c r="J146" i="15"/>
  <c r="O145" i="15"/>
  <c r="N145" i="15"/>
  <c r="M145" i="15"/>
  <c r="I145" i="15"/>
  <c r="O144" i="15"/>
  <c r="N144" i="15"/>
  <c r="M144" i="15"/>
  <c r="I144" i="15"/>
  <c r="O143" i="15"/>
  <c r="N143" i="15"/>
  <c r="M143" i="15"/>
  <c r="I143" i="15"/>
  <c r="O142" i="15"/>
  <c r="N142" i="15"/>
  <c r="M142" i="15"/>
  <c r="I142" i="15"/>
  <c r="N141" i="15"/>
  <c r="M141" i="15"/>
  <c r="I141" i="15"/>
  <c r="G141" i="15"/>
  <c r="G140" i="15" s="1"/>
  <c r="G139" i="15" s="1"/>
  <c r="G126" i="15" s="1"/>
  <c r="M140" i="15"/>
  <c r="M139" i="15" s="1"/>
  <c r="L140" i="15"/>
  <c r="L139" i="15" s="1"/>
  <c r="J140" i="15"/>
  <c r="J139" i="15" s="1"/>
  <c r="J126" i="15" s="1"/>
  <c r="J125" i="15" s="1"/>
  <c r="J124" i="15" s="1"/>
  <c r="J117" i="15" s="1"/>
  <c r="K139" i="15"/>
  <c r="H139" i="15"/>
  <c r="N138" i="15"/>
  <c r="N137" i="15" s="1"/>
  <c r="N136" i="15" s="1"/>
  <c r="M138" i="15"/>
  <c r="K138" i="15"/>
  <c r="I138" i="15"/>
  <c r="G138" i="15"/>
  <c r="M137" i="15"/>
  <c r="M136" i="15" s="1"/>
  <c r="L137" i="15"/>
  <c r="J137" i="15"/>
  <c r="H137" i="15"/>
  <c r="G137" i="15"/>
  <c r="L136" i="15"/>
  <c r="K136" i="15"/>
  <c r="J136" i="15"/>
  <c r="G136" i="15"/>
  <c r="O134" i="15"/>
  <c r="N134" i="15"/>
  <c r="M134" i="15"/>
  <c r="L134" i="15"/>
  <c r="L127" i="15" s="1"/>
  <c r="L126" i="15" s="1"/>
  <c r="J134" i="15"/>
  <c r="I134" i="15"/>
  <c r="G134" i="15"/>
  <c r="M133" i="15"/>
  <c r="M132" i="15" s="1"/>
  <c r="I133" i="15"/>
  <c r="I132" i="15" s="1"/>
  <c r="L132" i="15"/>
  <c r="J132" i="15"/>
  <c r="H132" i="15"/>
  <c r="G132" i="15"/>
  <c r="O130" i="15"/>
  <c r="N130" i="15"/>
  <c r="M130" i="15"/>
  <c r="I130" i="15"/>
  <c r="O129" i="15"/>
  <c r="N129" i="15"/>
  <c r="N128" i="15" s="1"/>
  <c r="M129" i="15"/>
  <c r="I129" i="15"/>
  <c r="M128" i="15"/>
  <c r="M127" i="15" s="1"/>
  <c r="M126" i="15" s="1"/>
  <c r="M125" i="15" s="1"/>
  <c r="M124" i="15" s="1"/>
  <c r="L128" i="15"/>
  <c r="J128" i="15"/>
  <c r="I128" i="15"/>
  <c r="O128" i="15" s="1"/>
  <c r="H128" i="15"/>
  <c r="G128" i="15"/>
  <c r="K127" i="15"/>
  <c r="J127" i="15"/>
  <c r="G127" i="15"/>
  <c r="K126" i="15"/>
  <c r="K125" i="15"/>
  <c r="K124" i="15" s="1"/>
  <c r="K117" i="15" s="1"/>
  <c r="K116" i="15" s="1"/>
  <c r="G125" i="15"/>
  <c r="G124" i="15" s="1"/>
  <c r="O123" i="15"/>
  <c r="N123" i="15"/>
  <c r="M123" i="15"/>
  <c r="I123" i="15"/>
  <c r="O122" i="15"/>
  <c r="N122" i="15"/>
  <c r="M122" i="15"/>
  <c r="I122" i="15"/>
  <c r="I118" i="15" s="1"/>
  <c r="O118" i="15" s="1"/>
  <c r="O121" i="15"/>
  <c r="M121" i="15"/>
  <c r="I121" i="15"/>
  <c r="H121" i="15"/>
  <c r="N121" i="15" s="1"/>
  <c r="O120" i="15"/>
  <c r="N120" i="15"/>
  <c r="N119" i="15" s="1"/>
  <c r="M120" i="15"/>
  <c r="I120" i="15"/>
  <c r="I119" i="15" s="1"/>
  <c r="O119" i="15"/>
  <c r="M119" i="15"/>
  <c r="L119" i="15"/>
  <c r="K119" i="15"/>
  <c r="J119" i="15"/>
  <c r="H119" i="15"/>
  <c r="G119" i="15"/>
  <c r="N118" i="15"/>
  <c r="M118" i="15"/>
  <c r="N116" i="15"/>
  <c r="N115" i="15" s="1"/>
  <c r="N114" i="15" s="1"/>
  <c r="N113" i="15" s="1"/>
  <c r="M116" i="15"/>
  <c r="I116" i="15"/>
  <c r="M115" i="15"/>
  <c r="L115" i="15"/>
  <c r="J115" i="15"/>
  <c r="J114" i="15" s="1"/>
  <c r="J113" i="15" s="1"/>
  <c r="H115" i="15"/>
  <c r="P115" i="15" s="1"/>
  <c r="G115" i="15"/>
  <c r="M114" i="15"/>
  <c r="L114" i="15"/>
  <c r="K114" i="15"/>
  <c r="K113" i="15" s="1"/>
  <c r="K108" i="15" s="1"/>
  <c r="G114" i="15"/>
  <c r="G113" i="15" s="1"/>
  <c r="M113" i="15"/>
  <c r="L113" i="15"/>
  <c r="N112" i="15"/>
  <c r="N111" i="15" s="1"/>
  <c r="N110" i="15" s="1"/>
  <c r="N109" i="15" s="1"/>
  <c r="M112" i="15"/>
  <c r="I112" i="15"/>
  <c r="Q112" i="15" s="1"/>
  <c r="M111" i="15"/>
  <c r="M110" i="15" s="1"/>
  <c r="M109" i="15" s="1"/>
  <c r="L111" i="15"/>
  <c r="K111" i="15"/>
  <c r="J111" i="15"/>
  <c r="H111" i="15"/>
  <c r="G111" i="15"/>
  <c r="L110" i="15"/>
  <c r="K110" i="15"/>
  <c r="J110" i="15"/>
  <c r="J109" i="15" s="1"/>
  <c r="G110" i="15"/>
  <c r="L109" i="15"/>
  <c r="K109" i="15"/>
  <c r="G109" i="15"/>
  <c r="O107" i="15"/>
  <c r="O106" i="15" s="1"/>
  <c r="O105" i="15" s="1"/>
  <c r="N107" i="15"/>
  <c r="N106" i="15" s="1"/>
  <c r="N105" i="15" s="1"/>
  <c r="M107" i="15"/>
  <c r="M106" i="15" s="1"/>
  <c r="M105" i="15" s="1"/>
  <c r="L107" i="15"/>
  <c r="J107" i="15"/>
  <c r="I107" i="15"/>
  <c r="G107" i="15"/>
  <c r="G106" i="15" s="1"/>
  <c r="G105" i="15" s="1"/>
  <c r="L106" i="15"/>
  <c r="L105" i="15" s="1"/>
  <c r="K106" i="15"/>
  <c r="J106" i="15"/>
  <c r="I106" i="15"/>
  <c r="H106" i="15"/>
  <c r="H105" i="15" s="1"/>
  <c r="K105" i="15"/>
  <c r="J105" i="15"/>
  <c r="I105" i="15"/>
  <c r="O104" i="15"/>
  <c r="N104" i="15"/>
  <c r="M104" i="15"/>
  <c r="I104" i="15"/>
  <c r="Q104" i="15" s="1"/>
  <c r="N103" i="15"/>
  <c r="N102" i="15" s="1"/>
  <c r="M103" i="15"/>
  <c r="I103" i="15"/>
  <c r="Q103" i="15" s="1"/>
  <c r="M102" i="15"/>
  <c r="L102" i="15"/>
  <c r="L98" i="15" s="1"/>
  <c r="J102" i="15"/>
  <c r="H102" i="15"/>
  <c r="G102" i="15"/>
  <c r="O101" i="15"/>
  <c r="N101" i="15"/>
  <c r="I101" i="15"/>
  <c r="O100" i="15"/>
  <c r="N100" i="15"/>
  <c r="M100" i="15"/>
  <c r="M99" i="15" s="1"/>
  <c r="M98" i="15" s="1"/>
  <c r="M92" i="15" s="1"/>
  <c r="I100" i="15"/>
  <c r="L99" i="15"/>
  <c r="J99" i="15"/>
  <c r="G99" i="15"/>
  <c r="K98" i="15"/>
  <c r="J98" i="15"/>
  <c r="G98" i="15"/>
  <c r="M96" i="15"/>
  <c r="I96" i="15"/>
  <c r="O96" i="15" s="1"/>
  <c r="N95" i="15"/>
  <c r="M95" i="15"/>
  <c r="I95" i="15"/>
  <c r="M94" i="15"/>
  <c r="L94" i="15"/>
  <c r="J94" i="15"/>
  <c r="J93" i="15" s="1"/>
  <c r="J92" i="15" s="1"/>
  <c r="J91" i="15" s="1"/>
  <c r="G94" i="15"/>
  <c r="M93" i="15"/>
  <c r="L93" i="15"/>
  <c r="K93" i="15"/>
  <c r="K92" i="15" s="1"/>
  <c r="K91" i="15" s="1"/>
  <c r="G93" i="15"/>
  <c r="G92" i="15" s="1"/>
  <c r="G91" i="15" s="1"/>
  <c r="L92" i="15"/>
  <c r="L91" i="15" s="1"/>
  <c r="O90" i="15"/>
  <c r="N90" i="15"/>
  <c r="M90" i="15"/>
  <c r="L90" i="15"/>
  <c r="O89" i="15"/>
  <c r="N89" i="15"/>
  <c r="L89" i="15"/>
  <c r="K89" i="15"/>
  <c r="K88" i="15" s="1"/>
  <c r="N88" i="15" s="1"/>
  <c r="J89" i="15"/>
  <c r="L88" i="15"/>
  <c r="O86" i="15"/>
  <c r="O85" i="15" s="1"/>
  <c r="O84" i="15" s="1"/>
  <c r="N86" i="15"/>
  <c r="N85" i="15" s="1"/>
  <c r="N84" i="15" s="1"/>
  <c r="N83" i="15" s="1"/>
  <c r="M86" i="15"/>
  <c r="I86" i="15"/>
  <c r="M85" i="15"/>
  <c r="L85" i="15"/>
  <c r="J85" i="15"/>
  <c r="I85" i="15"/>
  <c r="I84" i="15" s="1"/>
  <c r="I83" i="15" s="1"/>
  <c r="H85" i="15"/>
  <c r="H84" i="15" s="1"/>
  <c r="H83" i="15" s="1"/>
  <c r="G85" i="15"/>
  <c r="M84" i="15"/>
  <c r="L84" i="15"/>
  <c r="K84" i="15"/>
  <c r="J84" i="15"/>
  <c r="G84" i="15"/>
  <c r="G83" i="15"/>
  <c r="O81" i="15"/>
  <c r="N81" i="15"/>
  <c r="N80" i="15" s="1"/>
  <c r="N79" i="15" s="1"/>
  <c r="M81" i="15"/>
  <c r="M80" i="15" s="1"/>
  <c r="M79" i="15" s="1"/>
  <c r="L81" i="15"/>
  <c r="L80" i="15" s="1"/>
  <c r="L79" i="15" s="1"/>
  <c r="J81" i="15"/>
  <c r="I81" i="15"/>
  <c r="G81" i="15"/>
  <c r="O80" i="15"/>
  <c r="O79" i="15" s="1"/>
  <c r="K80" i="15"/>
  <c r="K79" i="15" s="1"/>
  <c r="J80" i="15"/>
  <c r="I80" i="15"/>
  <c r="H80" i="15"/>
  <c r="G80" i="15"/>
  <c r="G79" i="15" s="1"/>
  <c r="J79" i="15"/>
  <c r="I79" i="15"/>
  <c r="H79" i="15"/>
  <c r="O77" i="15"/>
  <c r="N77" i="15"/>
  <c r="M77" i="15"/>
  <c r="L77" i="15"/>
  <c r="J77" i="15"/>
  <c r="I77" i="15"/>
  <c r="G77" i="15"/>
  <c r="G73" i="15" s="1"/>
  <c r="G72" i="15" s="1"/>
  <c r="G71" i="15" s="1"/>
  <c r="N76" i="15"/>
  <c r="N74" i="15" s="1"/>
  <c r="N73" i="15" s="1"/>
  <c r="N72" i="15" s="1"/>
  <c r="M76" i="15"/>
  <c r="O76" i="15" s="1"/>
  <c r="I76" i="15"/>
  <c r="I74" i="15" s="1"/>
  <c r="I73" i="15" s="1"/>
  <c r="I72" i="15" s="1"/>
  <c r="I71" i="15" s="1"/>
  <c r="M75" i="15"/>
  <c r="I75" i="15"/>
  <c r="O75" i="15" s="1"/>
  <c r="O74" i="15" s="1"/>
  <c r="O73" i="15" s="1"/>
  <c r="O72" i="15" s="1"/>
  <c r="L74" i="15"/>
  <c r="J74" i="15"/>
  <c r="J73" i="15" s="1"/>
  <c r="J72" i="15" s="1"/>
  <c r="H74" i="15"/>
  <c r="G74" i="15"/>
  <c r="L73" i="15"/>
  <c r="K73" i="15"/>
  <c r="K72" i="15" s="1"/>
  <c r="H73" i="15"/>
  <c r="L72" i="15"/>
  <c r="H72" i="15"/>
  <c r="O69" i="15"/>
  <c r="O68" i="15" s="1"/>
  <c r="O67" i="15" s="1"/>
  <c r="O66" i="15" s="1"/>
  <c r="N69" i="15"/>
  <c r="N68" i="15" s="1"/>
  <c r="M69" i="15"/>
  <c r="L69" i="15"/>
  <c r="L68" i="15" s="1"/>
  <c r="L67" i="15" s="1"/>
  <c r="J69" i="15"/>
  <c r="I69" i="15"/>
  <c r="I68" i="15" s="1"/>
  <c r="I67" i="15" s="1"/>
  <c r="I66" i="15" s="1"/>
  <c r="G69" i="15"/>
  <c r="M68" i="15"/>
  <c r="M67" i="15" s="1"/>
  <c r="M66" i="15" s="1"/>
  <c r="K68" i="15"/>
  <c r="J68" i="15"/>
  <c r="H68" i="15"/>
  <c r="G68" i="15"/>
  <c r="N67" i="15"/>
  <c r="N66" i="15" s="1"/>
  <c r="K67" i="15"/>
  <c r="J67" i="15"/>
  <c r="J66" i="15" s="1"/>
  <c r="H67" i="15"/>
  <c r="G67" i="15"/>
  <c r="G66" i="15" s="1"/>
  <c r="L66" i="15"/>
  <c r="K66" i="15"/>
  <c r="H66" i="15"/>
  <c r="O64" i="15"/>
  <c r="N64" i="15"/>
  <c r="N63" i="15" s="1"/>
  <c r="N62" i="15" s="1"/>
  <c r="N61" i="15" s="1"/>
  <c r="M64" i="15"/>
  <c r="M63" i="15" s="1"/>
  <c r="L64" i="15"/>
  <c r="J64" i="15"/>
  <c r="I64" i="15"/>
  <c r="I63" i="15" s="1"/>
  <c r="I62" i="15" s="1"/>
  <c r="I61" i="15" s="1"/>
  <c r="G64" i="15"/>
  <c r="O63" i="15"/>
  <c r="O62" i="15" s="1"/>
  <c r="O61" i="15" s="1"/>
  <c r="L63" i="15"/>
  <c r="L62" i="15" s="1"/>
  <c r="L61" i="15" s="1"/>
  <c r="K63" i="15"/>
  <c r="K62" i="15" s="1"/>
  <c r="K61" i="15" s="1"/>
  <c r="J63" i="15"/>
  <c r="H63" i="15"/>
  <c r="H62" i="15" s="1"/>
  <c r="H61" i="15" s="1"/>
  <c r="G63" i="15"/>
  <c r="G62" i="15" s="1"/>
  <c r="G61" i="15" s="1"/>
  <c r="G60" i="15" s="1"/>
  <c r="M62" i="15"/>
  <c r="J62" i="15"/>
  <c r="M61" i="15"/>
  <c r="J61" i="15"/>
  <c r="N59" i="15"/>
  <c r="N58" i="15" s="1"/>
  <c r="N57" i="15" s="1"/>
  <c r="N56" i="15" s="1"/>
  <c r="N55" i="15" s="1"/>
  <c r="M59" i="15"/>
  <c r="M58" i="15"/>
  <c r="L58" i="15"/>
  <c r="J58" i="15"/>
  <c r="J57" i="15" s="1"/>
  <c r="J56" i="15" s="1"/>
  <c r="H58" i="15"/>
  <c r="G58" i="15"/>
  <c r="M57" i="15"/>
  <c r="L57" i="15"/>
  <c r="K57" i="15"/>
  <c r="K56" i="15" s="1"/>
  <c r="K55" i="15" s="1"/>
  <c r="G57" i="15"/>
  <c r="G56" i="15" s="1"/>
  <c r="G55" i="15" s="1"/>
  <c r="M56" i="15"/>
  <c r="L56" i="15"/>
  <c r="L55" i="15" s="1"/>
  <c r="M55" i="15"/>
  <c r="J55" i="15"/>
  <c r="O53" i="15"/>
  <c r="N53" i="15"/>
  <c r="N48" i="15" s="1"/>
  <c r="M53" i="15"/>
  <c r="L53" i="15"/>
  <c r="J53" i="15"/>
  <c r="I53" i="15"/>
  <c r="I48" i="15" s="1"/>
  <c r="G53" i="15"/>
  <c r="K52" i="15"/>
  <c r="H52" i="15"/>
  <c r="N51" i="15"/>
  <c r="N50" i="15"/>
  <c r="O49" i="15" s="1"/>
  <c r="O48" i="15" s="1"/>
  <c r="M49" i="15"/>
  <c r="M48" i="15" s="1"/>
  <c r="M42" i="15" s="1"/>
  <c r="M41" i="15" s="1"/>
  <c r="J49" i="15"/>
  <c r="J48" i="15" s="1"/>
  <c r="I49" i="15"/>
  <c r="G49" i="15"/>
  <c r="K48" i="15"/>
  <c r="H48" i="15"/>
  <c r="G48" i="15"/>
  <c r="N47" i="15"/>
  <c r="M47" i="15"/>
  <c r="K47" i="15"/>
  <c r="I47" i="15"/>
  <c r="O47" i="15" s="1"/>
  <c r="O44" i="15" s="1"/>
  <c r="O43" i="15" s="1"/>
  <c r="O46" i="15"/>
  <c r="N46" i="15"/>
  <c r="N44" i="15" s="1"/>
  <c r="N43" i="15" s="1"/>
  <c r="M46" i="15"/>
  <c r="M44" i="15" s="1"/>
  <c r="M43" i="15" s="1"/>
  <c r="O45" i="15"/>
  <c r="N45" i="15"/>
  <c r="M45" i="15"/>
  <c r="I45" i="15"/>
  <c r="I44" i="15" s="1"/>
  <c r="I43" i="15" s="1"/>
  <c r="I42" i="15" s="1"/>
  <c r="I41" i="15" s="1"/>
  <c r="L44" i="15"/>
  <c r="J44" i="15"/>
  <c r="J43" i="15" s="1"/>
  <c r="H44" i="15"/>
  <c r="G44" i="15"/>
  <c r="L43" i="15"/>
  <c r="K43" i="15"/>
  <c r="K42" i="15" s="1"/>
  <c r="K41" i="15" s="1"/>
  <c r="H43" i="15"/>
  <c r="G43" i="15"/>
  <c r="G42" i="15" s="1"/>
  <c r="G41" i="15" s="1"/>
  <c r="H42" i="15"/>
  <c r="H41" i="15" s="1"/>
  <c r="O40" i="15"/>
  <c r="O39" i="15" s="1"/>
  <c r="O38" i="15" s="1"/>
  <c r="O37" i="15" s="1"/>
  <c r="O36" i="15" s="1"/>
  <c r="N40" i="15"/>
  <c r="M40" i="15"/>
  <c r="I40" i="15"/>
  <c r="N39" i="15"/>
  <c r="M39" i="15"/>
  <c r="L39" i="15"/>
  <c r="L38" i="15" s="1"/>
  <c r="L37" i="15" s="1"/>
  <c r="L36" i="15" s="1"/>
  <c r="J39" i="15"/>
  <c r="J38" i="15" s="1"/>
  <c r="J37" i="15" s="1"/>
  <c r="J36" i="15" s="1"/>
  <c r="I39" i="15"/>
  <c r="G39" i="15"/>
  <c r="N38" i="15"/>
  <c r="M38" i="15"/>
  <c r="M37" i="15" s="1"/>
  <c r="M36" i="15" s="1"/>
  <c r="K38" i="15"/>
  <c r="I38" i="15"/>
  <c r="I37" i="15" s="1"/>
  <c r="I36" i="15" s="1"/>
  <c r="H38" i="15"/>
  <c r="G38" i="15"/>
  <c r="N37" i="15"/>
  <c r="N36" i="15" s="1"/>
  <c r="K37" i="15"/>
  <c r="K36" i="15" s="1"/>
  <c r="H37" i="15"/>
  <c r="G37" i="15"/>
  <c r="H36" i="15"/>
  <c r="G36" i="15"/>
  <c r="O33" i="15"/>
  <c r="N33" i="15"/>
  <c r="M33" i="15"/>
  <c r="I33" i="15"/>
  <c r="O32" i="15"/>
  <c r="N32" i="15"/>
  <c r="M32" i="15"/>
  <c r="L32" i="15"/>
  <c r="J32" i="15"/>
  <c r="J31" i="15" s="1"/>
  <c r="J30" i="15" s="1"/>
  <c r="J29" i="15" s="1"/>
  <c r="I32" i="15"/>
  <c r="I31" i="15" s="1"/>
  <c r="I30" i="15" s="1"/>
  <c r="H32" i="15"/>
  <c r="G32" i="15"/>
  <c r="O31" i="15"/>
  <c r="N31" i="15"/>
  <c r="N30" i="15" s="1"/>
  <c r="N29" i="15" s="1"/>
  <c r="M31" i="15"/>
  <c r="L31" i="15"/>
  <c r="K31" i="15"/>
  <c r="H31" i="15"/>
  <c r="G31" i="15"/>
  <c r="G30" i="15" s="1"/>
  <c r="G29" i="15" s="1"/>
  <c r="O30" i="15"/>
  <c r="O29" i="15" s="1"/>
  <c r="M30" i="15"/>
  <c r="L30" i="15"/>
  <c r="K30" i="15"/>
  <c r="K29" i="15" s="1"/>
  <c r="H30" i="15"/>
  <c r="H29" i="15" s="1"/>
  <c r="M29" i="15"/>
  <c r="L29" i="15"/>
  <c r="L23" i="15" s="1"/>
  <c r="L22" i="15" s="1"/>
  <c r="I29" i="15"/>
  <c r="O28" i="15"/>
  <c r="M28" i="15"/>
  <c r="M27" i="15" s="1"/>
  <c r="M26" i="15" s="1"/>
  <c r="M25" i="15" s="1"/>
  <c r="M24" i="15" s="1"/>
  <c r="M23" i="15" s="1"/>
  <c r="M22" i="15" s="1"/>
  <c r="I28" i="15"/>
  <c r="G28" i="15"/>
  <c r="O27" i="15"/>
  <c r="O26" i="15" s="1"/>
  <c r="O25" i="15" s="1"/>
  <c r="O24" i="15" s="1"/>
  <c r="O23" i="15" s="1"/>
  <c r="O22" i="15" s="1"/>
  <c r="N27" i="15"/>
  <c r="N26" i="15" s="1"/>
  <c r="L27" i="15"/>
  <c r="J27" i="15"/>
  <c r="I27" i="15"/>
  <c r="I26" i="15" s="1"/>
  <c r="I25" i="15" s="1"/>
  <c r="I24" i="15" s="1"/>
  <c r="I23" i="15" s="1"/>
  <c r="I22" i="15" s="1"/>
  <c r="G27" i="15"/>
  <c r="G26" i="15" s="1"/>
  <c r="G25" i="15" s="1"/>
  <c r="L26" i="15"/>
  <c r="L25" i="15" s="1"/>
  <c r="L24" i="15" s="1"/>
  <c r="K26" i="15"/>
  <c r="J26" i="15"/>
  <c r="H26" i="15"/>
  <c r="H25" i="15" s="1"/>
  <c r="H24" i="15" s="1"/>
  <c r="H23" i="15" s="1"/>
  <c r="N25" i="15"/>
  <c r="N24" i="15" s="1"/>
  <c r="N23" i="15" s="1"/>
  <c r="N22" i="15" s="1"/>
  <c r="K25" i="15"/>
  <c r="J25" i="15"/>
  <c r="K24" i="15"/>
  <c r="J24" i="15"/>
  <c r="G24" i="15"/>
  <c r="G23" i="15" s="1"/>
  <c r="G22" i="15" s="1"/>
  <c r="K23" i="15"/>
  <c r="K22" i="15" s="1"/>
  <c r="O274" i="15" l="1"/>
  <c r="Q274" i="15"/>
  <c r="N273" i="15"/>
  <c r="P273" i="15"/>
  <c r="H114" i="15"/>
  <c r="P114" i="15" s="1"/>
  <c r="P102" i="15"/>
  <c r="H98" i="15"/>
  <c r="P98" i="15" s="1"/>
  <c r="H113" i="15"/>
  <c r="P113" i="15" s="1"/>
  <c r="I115" i="15"/>
  <c r="I114" i="15" s="1"/>
  <c r="I113" i="15" s="1"/>
  <c r="Q116" i="15"/>
  <c r="I279" i="15"/>
  <c r="Q280" i="15"/>
  <c r="N276" i="15"/>
  <c r="N275" i="15" s="1"/>
  <c r="O276" i="15"/>
  <c r="O275" i="15" s="1"/>
  <c r="H276" i="15"/>
  <c r="P279" i="15"/>
  <c r="O103" i="15"/>
  <c r="O102" i="15" s="1"/>
  <c r="I111" i="15"/>
  <c r="I110" i="15" s="1"/>
  <c r="I109" i="15" s="1"/>
  <c r="H110" i="15"/>
  <c r="P111" i="15"/>
  <c r="Q111" i="15" s="1"/>
  <c r="H57" i="15"/>
  <c r="P58" i="15"/>
  <c r="N98" i="15"/>
  <c r="O98" i="15"/>
  <c r="I102" i="15"/>
  <c r="I94" i="15"/>
  <c r="I93" i="15" s="1"/>
  <c r="Q95" i="15"/>
  <c r="O95" i="15"/>
  <c r="O94" i="15" s="1"/>
  <c r="O93" i="15" s="1"/>
  <c r="N94" i="15"/>
  <c r="N93" i="15" s="1"/>
  <c r="O298" i="15"/>
  <c r="Q298" i="15"/>
  <c r="Q297" i="15"/>
  <c r="I288" i="15"/>
  <c r="I284" i="15" s="1"/>
  <c r="I283" i="15" s="1"/>
  <c r="Q289" i="15"/>
  <c r="H146" i="15"/>
  <c r="P146" i="15" s="1"/>
  <c r="Q146" i="15" s="1"/>
  <c r="P147" i="15"/>
  <c r="Q147" i="15" s="1"/>
  <c r="O149" i="15"/>
  <c r="O148" i="15" s="1"/>
  <c r="O147" i="15" s="1"/>
  <c r="O146" i="15" s="1"/>
  <c r="I137" i="15"/>
  <c r="I136" i="15" s="1"/>
  <c r="Q138" i="15"/>
  <c r="O138" i="15"/>
  <c r="O137" i="15" s="1"/>
  <c r="O136" i="15" s="1"/>
  <c r="H136" i="15"/>
  <c r="P137" i="15"/>
  <c r="Q137" i="15" s="1"/>
  <c r="I140" i="15"/>
  <c r="Q141" i="15"/>
  <c r="N157" i="15"/>
  <c r="N156" i="15" s="1"/>
  <c r="N155" i="15" s="1"/>
  <c r="N154" i="15" s="1"/>
  <c r="P158" i="15"/>
  <c r="H157" i="15"/>
  <c r="H156" i="15" s="1"/>
  <c r="L49" i="15"/>
  <c r="L48" i="15" s="1"/>
  <c r="L42" i="15" s="1"/>
  <c r="L41" i="15" s="1"/>
  <c r="O42" i="15"/>
  <c r="O41" i="15" s="1"/>
  <c r="J42" i="15"/>
  <c r="J41" i="15" s="1"/>
  <c r="O500" i="15"/>
  <c r="O499" i="15" s="1"/>
  <c r="O498" i="15" s="1"/>
  <c r="O497" i="15" s="1"/>
  <c r="O496" i="15" s="1"/>
  <c r="O495" i="15" s="1"/>
  <c r="O528" i="15"/>
  <c r="O527" i="15" s="1"/>
  <c r="I482" i="15"/>
  <c r="O483" i="15"/>
  <c r="O482" i="15" s="1"/>
  <c r="O473" i="15"/>
  <c r="L416" i="15"/>
  <c r="I400" i="15"/>
  <c r="I396" i="15" s="1"/>
  <c r="I395" i="15" s="1"/>
  <c r="I394" i="15" s="1"/>
  <c r="I393" i="15" s="1"/>
  <c r="O401" i="15"/>
  <c r="O400" i="15" s="1"/>
  <c r="O338" i="15"/>
  <c r="H322" i="15"/>
  <c r="I335" i="15"/>
  <c r="I325" i="15"/>
  <c r="I322" i="15" s="1"/>
  <c r="I321" i="15" s="1"/>
  <c r="H321" i="15"/>
  <c r="H323" i="15"/>
  <c r="N322" i="15"/>
  <c r="N321" i="15" s="1"/>
  <c r="O324" i="15"/>
  <c r="O323" i="15" s="1"/>
  <c r="N302" i="15"/>
  <c r="N301" i="15"/>
  <c r="N300" i="15" s="1"/>
  <c r="N299" i="15" s="1"/>
  <c r="H284" i="15"/>
  <c r="N237" i="15"/>
  <c r="I181" i="15"/>
  <c r="I180" i="15" s="1"/>
  <c r="N181" i="15"/>
  <c r="N180" i="15" s="1"/>
  <c r="N179" i="15" s="1"/>
  <c r="L183" i="15"/>
  <c r="L182" i="15" s="1"/>
  <c r="L181" i="15" s="1"/>
  <c r="L180" i="15" s="1"/>
  <c r="L179" i="15" s="1"/>
  <c r="L170" i="15" s="1"/>
  <c r="H182" i="15"/>
  <c r="H181" i="15" s="1"/>
  <c r="H180" i="15" s="1"/>
  <c r="H179" i="15" s="1"/>
  <c r="I127" i="15"/>
  <c r="H71" i="15"/>
  <c r="O112" i="15"/>
  <c r="O111" i="15" s="1"/>
  <c r="O110" i="15" s="1"/>
  <c r="O109" i="15" s="1"/>
  <c r="I58" i="15"/>
  <c r="I57" i="15" s="1"/>
  <c r="I56" i="15" s="1"/>
  <c r="I55" i="15" s="1"/>
  <c r="O59" i="15"/>
  <c r="O58" i="15" s="1"/>
  <c r="O57" i="15" s="1"/>
  <c r="O56" i="15" s="1"/>
  <c r="O55" i="15" s="1"/>
  <c r="M117" i="15"/>
  <c r="M91" i="15"/>
  <c r="J23" i="15"/>
  <c r="J22" i="15" s="1"/>
  <c r="G35" i="15"/>
  <c r="I177" i="15"/>
  <c r="O177" i="15" s="1"/>
  <c r="G174" i="15"/>
  <c r="H210" i="15"/>
  <c r="H209" i="15" s="1"/>
  <c r="N211" i="15"/>
  <c r="N210" i="15" s="1"/>
  <c r="N209" i="15" s="1"/>
  <c r="K170" i="15"/>
  <c r="K83" i="15"/>
  <c r="K71" i="15" s="1"/>
  <c r="K60" i="15" s="1"/>
  <c r="K35" i="15" s="1"/>
  <c r="O88" i="15"/>
  <c r="O83" i="15" s="1"/>
  <c r="O71" i="15" s="1"/>
  <c r="L83" i="15"/>
  <c r="O133" i="15"/>
  <c r="O132" i="15" s="1"/>
  <c r="L125" i="15"/>
  <c r="L124" i="15" s="1"/>
  <c r="L117" i="15" s="1"/>
  <c r="M155" i="15"/>
  <c r="M154" i="15" s="1"/>
  <c r="G157" i="15"/>
  <c r="G156" i="15" s="1"/>
  <c r="G155" i="15" s="1"/>
  <c r="G154" i="15" s="1"/>
  <c r="G117" i="15" s="1"/>
  <c r="L214" i="15"/>
  <c r="L211" i="15" s="1"/>
  <c r="L210" i="15" s="1"/>
  <c r="L209" i="15" s="1"/>
  <c r="L208" i="15" s="1"/>
  <c r="J211" i="15"/>
  <c r="J210" i="15" s="1"/>
  <c r="M214" i="15"/>
  <c r="L281" i="15"/>
  <c r="G295" i="15"/>
  <c r="G294" i="15" s="1"/>
  <c r="M296" i="15"/>
  <c r="M295" i="15" s="1"/>
  <c r="M294" i="15" s="1"/>
  <c r="M309" i="15"/>
  <c r="M308" i="15" s="1"/>
  <c r="M307" i="15" s="1"/>
  <c r="G308" i="15"/>
  <c r="G307" i="15" s="1"/>
  <c r="I309" i="15"/>
  <c r="O521" i="15"/>
  <c r="I518" i="15"/>
  <c r="I517" i="15" s="1"/>
  <c r="I516" i="15" s="1"/>
  <c r="N42" i="15"/>
  <c r="N41" i="15" s="1"/>
  <c r="L71" i="15"/>
  <c r="L60" i="15" s="1"/>
  <c r="N140" i="15"/>
  <c r="N139" i="15" s="1"/>
  <c r="O141" i="15"/>
  <c r="O140" i="15" s="1"/>
  <c r="O139" i="15" s="1"/>
  <c r="O159" i="15"/>
  <c r="O158" i="15" s="1"/>
  <c r="I158" i="15"/>
  <c r="Q158" i="15" s="1"/>
  <c r="O367" i="15"/>
  <c r="L366" i="15"/>
  <c r="O127" i="15"/>
  <c r="O161" i="15"/>
  <c r="O160" i="15" s="1"/>
  <c r="I160" i="15"/>
  <c r="Q160" i="15" s="1"/>
  <c r="M282" i="15"/>
  <c r="I296" i="15"/>
  <c r="O297" i="15"/>
  <c r="K355" i="15"/>
  <c r="K354" i="15" s="1"/>
  <c r="J319" i="15"/>
  <c r="N71" i="15"/>
  <c r="M89" i="15"/>
  <c r="J88" i="15"/>
  <c r="M88" i="15" s="1"/>
  <c r="M83" i="15" s="1"/>
  <c r="N127" i="15"/>
  <c r="J181" i="15"/>
  <c r="J180" i="15" s="1"/>
  <c r="J179" i="15" s="1"/>
  <c r="O187" i="15"/>
  <c r="O186" i="15" s="1"/>
  <c r="O207" i="15"/>
  <c r="O206" i="15" s="1"/>
  <c r="O205" i="15" s="1"/>
  <c r="O204" i="15" s="1"/>
  <c r="O203" i="15" s="1"/>
  <c r="O202" i="15" s="1"/>
  <c r="I206" i="15"/>
  <c r="I205" i="15" s="1"/>
  <c r="I204" i="15" s="1"/>
  <c r="I203" i="15" s="1"/>
  <c r="I202" i="15" s="1"/>
  <c r="I209" i="15"/>
  <c r="O219" i="15"/>
  <c r="O218" i="15" s="1"/>
  <c r="G232" i="15"/>
  <c r="O237" i="15"/>
  <c r="H261" i="15"/>
  <c r="N262" i="15"/>
  <c r="I262" i="15"/>
  <c r="O262" i="15" s="1"/>
  <c r="M320" i="15"/>
  <c r="G319" i="15"/>
  <c r="G254" i="15" s="1"/>
  <c r="O356" i="15"/>
  <c r="O355" i="15" s="1"/>
  <c r="O354" i="15" s="1"/>
  <c r="O116" i="15"/>
  <c r="O115" i="15" s="1"/>
  <c r="O114" i="15" s="1"/>
  <c r="O113" i="15" s="1"/>
  <c r="I232" i="15"/>
  <c r="I235" i="15"/>
  <c r="O235" i="15" s="1"/>
  <c r="M276" i="15"/>
  <c r="M275" i="15" s="1"/>
  <c r="M270" i="15" s="1"/>
  <c r="M255" i="15" s="1"/>
  <c r="O289" i="15"/>
  <c r="O288" i="15" s="1"/>
  <c r="O284" i="15" s="1"/>
  <c r="O283" i="15" s="1"/>
  <c r="N309" i="15"/>
  <c r="N308" i="15" s="1"/>
  <c r="N307" i="15" s="1"/>
  <c r="H308" i="15"/>
  <c r="H307" i="15" s="1"/>
  <c r="I416" i="15"/>
  <c r="L522" i="15"/>
  <c r="O544" i="15"/>
  <c r="O543" i="15" s="1"/>
  <c r="O542" i="15" s="1"/>
  <c r="O541" i="15" s="1"/>
  <c r="O540" i="15" s="1"/>
  <c r="O539" i="15" s="1"/>
  <c r="O538" i="15" s="1"/>
  <c r="I543" i="15"/>
  <c r="I542" i="15" s="1"/>
  <c r="I541" i="15" s="1"/>
  <c r="I540" i="15" s="1"/>
  <c r="I539" i="15" s="1"/>
  <c r="I538" i="15" s="1"/>
  <c r="M74" i="15"/>
  <c r="M73" i="15" s="1"/>
  <c r="M72" i="15" s="1"/>
  <c r="H94" i="15"/>
  <c r="O185" i="15"/>
  <c r="O183" i="15" s="1"/>
  <c r="O182" i="15" s="1"/>
  <c r="O181" i="15" s="1"/>
  <c r="O180" i="15" s="1"/>
  <c r="H231" i="15"/>
  <c r="H272" i="15"/>
  <c r="P272" i="15" s="1"/>
  <c r="I273" i="15"/>
  <c r="H312" i="15"/>
  <c r="N312" i="15" s="1"/>
  <c r="N313" i="15"/>
  <c r="M389" i="15"/>
  <c r="I389" i="15"/>
  <c r="O389" i="15" s="1"/>
  <c r="O397" i="15"/>
  <c r="G416" i="15"/>
  <c r="O501" i="15"/>
  <c r="I498" i="15"/>
  <c r="I497" i="15" s="1"/>
  <c r="I496" i="15" s="1"/>
  <c r="I495" i="15" s="1"/>
  <c r="J522" i="15"/>
  <c r="O303" i="15"/>
  <c r="O302" i="15" s="1"/>
  <c r="O301" i="15" s="1"/>
  <c r="O300" i="15" s="1"/>
  <c r="H356" i="15"/>
  <c r="H355" i="15" s="1"/>
  <c r="H354" i="15" s="1"/>
  <c r="I359" i="15"/>
  <c r="O359" i="15" s="1"/>
  <c r="I391" i="15"/>
  <c r="M391" i="15"/>
  <c r="M386" i="15" s="1"/>
  <c r="M382" i="15" s="1"/>
  <c r="M381" i="15" s="1"/>
  <c r="M380" i="15" s="1"/>
  <c r="N152" i="15"/>
  <c r="N151" i="15" s="1"/>
  <c r="N150" i="15" s="1"/>
  <c r="O197" i="15"/>
  <c r="O196" i="15" s="1"/>
  <c r="O195" i="15" s="1"/>
  <c r="O194" i="15" s="1"/>
  <c r="O193" i="15" s="1"/>
  <c r="I200" i="15"/>
  <c r="G220" i="15"/>
  <c r="G209" i="15" s="1"/>
  <c r="G208" i="15" s="1"/>
  <c r="N233" i="15"/>
  <c r="N235" i="15"/>
  <c r="N297" i="15"/>
  <c r="H296" i="15"/>
  <c r="P296" i="15" s="1"/>
  <c r="Q296" i="15" s="1"/>
  <c r="M299" i="15"/>
  <c r="O306" i="15"/>
  <c r="O305" i="15" s="1"/>
  <c r="N359" i="15"/>
  <c r="L382" i="15"/>
  <c r="L381" i="15" s="1"/>
  <c r="L380" i="15" s="1"/>
  <c r="J416" i="15"/>
  <c r="O422" i="15"/>
  <c r="O421" i="15" s="1"/>
  <c r="O420" i="15" s="1"/>
  <c r="O419" i="15" s="1"/>
  <c r="O418" i="15" s="1"/>
  <c r="O417" i="15" s="1"/>
  <c r="O416" i="15" s="1"/>
  <c r="N290" i="15"/>
  <c r="N284" i="15" s="1"/>
  <c r="N283" i="15" s="1"/>
  <c r="O291" i="15"/>
  <c r="O290" i="15" s="1"/>
  <c r="G313" i="15"/>
  <c r="G312" i="15" s="1"/>
  <c r="G299" i="15" s="1"/>
  <c r="I314" i="15"/>
  <c r="O347" i="15"/>
  <c r="O322" i="15" s="1"/>
  <c r="O321" i="15" s="1"/>
  <c r="O320" i="15" s="1"/>
  <c r="O319" i="15" s="1"/>
  <c r="M356" i="15"/>
  <c r="M355" i="15" s="1"/>
  <c r="M354" i="15" s="1"/>
  <c r="O362" i="15"/>
  <c r="O361" i="15" s="1"/>
  <c r="H394" i="15"/>
  <c r="H393" i="15" s="1"/>
  <c r="N397" i="15"/>
  <c r="N396" i="15" s="1"/>
  <c r="N395" i="15" s="1"/>
  <c r="N394" i="15" s="1"/>
  <c r="N393" i="15" s="1"/>
  <c r="O408" i="15"/>
  <c r="O407" i="15" s="1"/>
  <c r="O442" i="15"/>
  <c r="O441" i="15" s="1"/>
  <c r="J442" i="15"/>
  <c r="J441" i="15" s="1"/>
  <c r="L442" i="15"/>
  <c r="L441" i="15" s="1"/>
  <c r="H463" i="15"/>
  <c r="H462" i="15" s="1"/>
  <c r="I464" i="15"/>
  <c r="I463" i="15" s="1"/>
  <c r="O464" i="15"/>
  <c r="O463" i="15" s="1"/>
  <c r="N486" i="15"/>
  <c r="N472" i="15" s="1"/>
  <c r="N471" i="15" s="1"/>
  <c r="N462" i="15" s="1"/>
  <c r="O486" i="15"/>
  <c r="N493" i="15"/>
  <c r="H492" i="15"/>
  <c r="O508" i="15"/>
  <c r="O507" i="15" s="1"/>
  <c r="O506" i="15" s="1"/>
  <c r="O505" i="15" s="1"/>
  <c r="O504" i="15" s="1"/>
  <c r="O503" i="15" s="1"/>
  <c r="L507" i="15"/>
  <c r="L506" i="15" s="1"/>
  <c r="L505" i="15" s="1"/>
  <c r="L504" i="15" s="1"/>
  <c r="L503" i="15" s="1"/>
  <c r="I504" i="15"/>
  <c r="I503" i="15" s="1"/>
  <c r="G284" i="15"/>
  <c r="G283" i="15" s="1"/>
  <c r="G282" i="15" s="1"/>
  <c r="G281" i="15" s="1"/>
  <c r="J284" i="15"/>
  <c r="J283" i="15" s="1"/>
  <c r="J282" i="15" s="1"/>
  <c r="J281" i="15" s="1"/>
  <c r="J254" i="15" s="1"/>
  <c r="M322" i="15"/>
  <c r="M321" i="15" s="1"/>
  <c r="N350" i="15"/>
  <c r="H349" i="15"/>
  <c r="N349" i="15" s="1"/>
  <c r="I349" i="15"/>
  <c r="O349" i="15" s="1"/>
  <c r="O352" i="15"/>
  <c r="I356" i="15"/>
  <c r="I355" i="15" s="1"/>
  <c r="I354" i="15" s="1"/>
  <c r="G382" i="15"/>
  <c r="G381" i="15" s="1"/>
  <c r="G380" i="15" s="1"/>
  <c r="M395" i="15"/>
  <c r="M394" i="15" s="1"/>
  <c r="M393" i="15" s="1"/>
  <c r="O403" i="15"/>
  <c r="J460" i="15"/>
  <c r="J459" i="15" s="1"/>
  <c r="L472" i="15"/>
  <c r="L471" i="15" s="1"/>
  <c r="L462" i="15" s="1"/>
  <c r="L461" i="15" s="1"/>
  <c r="O518" i="15"/>
  <c r="O517" i="15" s="1"/>
  <c r="O516" i="15" s="1"/>
  <c r="K462" i="15"/>
  <c r="K461" i="15" s="1"/>
  <c r="K460" i="15" s="1"/>
  <c r="K459" i="15" s="1"/>
  <c r="H522" i="15"/>
  <c r="O533" i="15"/>
  <c r="O532" i="15" s="1"/>
  <c r="O531" i="15" s="1"/>
  <c r="O526" i="15" s="1"/>
  <c r="O525" i="15" s="1"/>
  <c r="O524" i="15" s="1"/>
  <c r="O523" i="15" s="1"/>
  <c r="O522" i="15" s="1"/>
  <c r="I532" i="15"/>
  <c r="I531" i="15" s="1"/>
  <c r="I526" i="15" s="1"/>
  <c r="I525" i="15" s="1"/>
  <c r="I524" i="15" s="1"/>
  <c r="I523" i="15" s="1"/>
  <c r="I522" i="15" s="1"/>
  <c r="N531" i="15"/>
  <c r="N526" i="15" s="1"/>
  <c r="N525" i="15" s="1"/>
  <c r="N524" i="15" s="1"/>
  <c r="N523" i="15" s="1"/>
  <c r="N522" i="15" s="1"/>
  <c r="N442" i="15"/>
  <c r="N441" i="15" s="1"/>
  <c r="M476" i="15"/>
  <c r="M473" i="15" s="1"/>
  <c r="G473" i="15"/>
  <c r="G462" i="15" s="1"/>
  <c r="G461" i="15" s="1"/>
  <c r="G460" i="15" s="1"/>
  <c r="O458" i="15"/>
  <c r="O457" i="15" s="1"/>
  <c r="O456" i="15" s="1"/>
  <c r="O455" i="15" s="1"/>
  <c r="O454" i="15" s="1"/>
  <c r="O453" i="15" s="1"/>
  <c r="O452" i="15" s="1"/>
  <c r="L480" i="15"/>
  <c r="H505" i="15"/>
  <c r="O466" i="15"/>
  <c r="O465" i="15" s="1"/>
  <c r="M480" i="15"/>
  <c r="I480" i="15"/>
  <c r="O485" i="15"/>
  <c r="O484" i="15" s="1"/>
  <c r="H336" i="14"/>
  <c r="O273" i="15" l="1"/>
  <c r="Q273" i="15"/>
  <c r="Q272" i="15"/>
  <c r="Q114" i="15"/>
  <c r="Q115" i="15"/>
  <c r="Q98" i="15"/>
  <c r="I98" i="15"/>
  <c r="Q288" i="15"/>
  <c r="I92" i="15"/>
  <c r="I91" i="15" s="1"/>
  <c r="Q113" i="15"/>
  <c r="H275" i="15"/>
  <c r="P275" i="15" s="1"/>
  <c r="P276" i="15"/>
  <c r="Q279" i="15"/>
  <c r="I276" i="15"/>
  <c r="I275" i="15" s="1"/>
  <c r="Q102" i="15"/>
  <c r="I60" i="15"/>
  <c r="I35" i="15" s="1"/>
  <c r="H109" i="15"/>
  <c r="P109" i="15" s="1"/>
  <c r="Q109" i="15" s="1"/>
  <c r="P110" i="15"/>
  <c r="Q110" i="15" s="1"/>
  <c r="Q58" i="15"/>
  <c r="H56" i="15"/>
  <c r="P57" i="15"/>
  <c r="Q57" i="15" s="1"/>
  <c r="N92" i="15"/>
  <c r="N91" i="15" s="1"/>
  <c r="N60" i="15" s="1"/>
  <c r="N35" i="15" s="1"/>
  <c r="O92" i="15"/>
  <c r="O91" i="15" s="1"/>
  <c r="O60" i="15" s="1"/>
  <c r="O35" i="15" s="1"/>
  <c r="H93" i="15"/>
  <c r="P94" i="15"/>
  <c r="Q94" i="15" s="1"/>
  <c r="I282" i="15"/>
  <c r="H283" i="15"/>
  <c r="P283" i="15" s="1"/>
  <c r="Q283" i="15" s="1"/>
  <c r="P284" i="15"/>
  <c r="Q284" i="15" s="1"/>
  <c r="H126" i="15"/>
  <c r="P136" i="15"/>
  <c r="Q136" i="15" s="1"/>
  <c r="I126" i="15"/>
  <c r="I139" i="15"/>
  <c r="Q139" i="15" s="1"/>
  <c r="Q140" i="15"/>
  <c r="O472" i="15"/>
  <c r="M472" i="15"/>
  <c r="M471" i="15" s="1"/>
  <c r="M462" i="15" s="1"/>
  <c r="P157" i="15"/>
  <c r="O157" i="15"/>
  <c r="O156" i="15" s="1"/>
  <c r="O155" i="15" s="1"/>
  <c r="O154" i="15" s="1"/>
  <c r="H155" i="15"/>
  <c r="H154" i="15" s="1"/>
  <c r="P156" i="15"/>
  <c r="L35" i="15"/>
  <c r="H504" i="15"/>
  <c r="P505" i="15"/>
  <c r="Q505" i="15" s="1"/>
  <c r="L460" i="15"/>
  <c r="L459" i="15" s="1"/>
  <c r="O396" i="15"/>
  <c r="N320" i="15"/>
  <c r="N319" i="15" s="1"/>
  <c r="G459" i="15"/>
  <c r="O200" i="15"/>
  <c r="I199" i="15"/>
  <c r="H256" i="15"/>
  <c r="N261" i="15"/>
  <c r="I261" i="15"/>
  <c r="O314" i="15"/>
  <c r="O313" i="15" s="1"/>
  <c r="O312" i="15" s="1"/>
  <c r="O299" i="15" s="1"/>
  <c r="I313" i="15"/>
  <c r="I312" i="15" s="1"/>
  <c r="I299" i="15" s="1"/>
  <c r="I320" i="15"/>
  <c r="I319" i="15" s="1"/>
  <c r="M254" i="15"/>
  <c r="G231" i="15"/>
  <c r="M232" i="15"/>
  <c r="M231" i="15" s="1"/>
  <c r="M281" i="15"/>
  <c r="O366" i="15"/>
  <c r="L363" i="15"/>
  <c r="O309" i="15"/>
  <c r="O308" i="15" s="1"/>
  <c r="O307" i="15" s="1"/>
  <c r="I308" i="15"/>
  <c r="I307" i="15" s="1"/>
  <c r="G173" i="15"/>
  <c r="G172" i="15" s="1"/>
  <c r="G171" i="15" s="1"/>
  <c r="G170" i="15" s="1"/>
  <c r="M174" i="15"/>
  <c r="M173" i="15" s="1"/>
  <c r="M172" i="15" s="1"/>
  <c r="M171" i="15" s="1"/>
  <c r="N492" i="15"/>
  <c r="I491" i="15"/>
  <c r="O491" i="15" s="1"/>
  <c r="H491" i="15"/>
  <c r="N491" i="15" s="1"/>
  <c r="N461" i="15" s="1"/>
  <c r="N460" i="15" s="1"/>
  <c r="N459" i="15" s="1"/>
  <c r="I462" i="15"/>
  <c r="I461" i="15" s="1"/>
  <c r="I460" i="15" s="1"/>
  <c r="N272" i="15"/>
  <c r="I272" i="15"/>
  <c r="O272" i="15" s="1"/>
  <c r="H271" i="15"/>
  <c r="P271" i="15" s="1"/>
  <c r="M71" i="15"/>
  <c r="M60" i="15" s="1"/>
  <c r="M35" i="15" s="1"/>
  <c r="N126" i="15"/>
  <c r="N125" i="15" s="1"/>
  <c r="H299" i="15"/>
  <c r="O126" i="15"/>
  <c r="O125" i="15" s="1"/>
  <c r="O124" i="15" s="1"/>
  <c r="I157" i="15"/>
  <c r="I156" i="15" s="1"/>
  <c r="I155" i="15" s="1"/>
  <c r="I154" i="15" s="1"/>
  <c r="J83" i="15"/>
  <c r="J71" i="15" s="1"/>
  <c r="J60" i="15" s="1"/>
  <c r="J35" i="15" s="1"/>
  <c r="O214" i="15"/>
  <c r="N208" i="15"/>
  <c r="N170" i="15" s="1"/>
  <c r="I174" i="15"/>
  <c r="H461" i="15"/>
  <c r="O232" i="15"/>
  <c r="O231" i="15" s="1"/>
  <c r="I231" i="15"/>
  <c r="I208" i="15"/>
  <c r="N356" i="15"/>
  <c r="N355" i="15" s="1"/>
  <c r="N354" i="15" s="1"/>
  <c r="O480" i="15"/>
  <c r="O471" i="15" s="1"/>
  <c r="O462" i="15" s="1"/>
  <c r="O461" i="15" s="1"/>
  <c r="O402" i="15"/>
  <c r="H295" i="15"/>
  <c r="N296" i="15"/>
  <c r="N295" i="15" s="1"/>
  <c r="N294" i="15" s="1"/>
  <c r="O391" i="15"/>
  <c r="O386" i="15" s="1"/>
  <c r="O382" i="15" s="1"/>
  <c r="O381" i="15" s="1"/>
  <c r="O380" i="15" s="1"/>
  <c r="I386" i="15"/>
  <c r="I382" i="15" s="1"/>
  <c r="I381" i="15" s="1"/>
  <c r="I380" i="15" s="1"/>
  <c r="K319" i="15"/>
  <c r="K254" i="15" s="1"/>
  <c r="K34" i="15" s="1"/>
  <c r="K21" i="15" s="1"/>
  <c r="M319" i="15"/>
  <c r="O211" i="15"/>
  <c r="O210" i="15" s="1"/>
  <c r="O209" i="15" s="1"/>
  <c r="O208" i="15" s="1"/>
  <c r="O296" i="15"/>
  <c r="O295" i="15" s="1"/>
  <c r="O294" i="15" s="1"/>
  <c r="I295" i="15"/>
  <c r="M211" i="15"/>
  <c r="M210" i="15" s="1"/>
  <c r="M209" i="15" s="1"/>
  <c r="M208" i="15" s="1"/>
  <c r="J209" i="15"/>
  <c r="J208" i="15" s="1"/>
  <c r="J170" i="15" s="1"/>
  <c r="H320" i="15"/>
  <c r="H319" i="15" s="1"/>
  <c r="G34" i="15"/>
  <c r="G21" i="15" s="1"/>
  <c r="H96" i="14"/>
  <c r="Q275" i="15" l="1"/>
  <c r="Q276" i="15"/>
  <c r="H55" i="15"/>
  <c r="P55" i="15" s="1"/>
  <c r="Q55" i="15" s="1"/>
  <c r="P56" i="15"/>
  <c r="Q56" i="15" s="1"/>
  <c r="H92" i="15"/>
  <c r="P93" i="15"/>
  <c r="Q93" i="15" s="1"/>
  <c r="O282" i="15"/>
  <c r="O281" i="15" s="1"/>
  <c r="I294" i="15"/>
  <c r="H294" i="15"/>
  <c r="P294" i="15" s="1"/>
  <c r="P295" i="15"/>
  <c r="Q295" i="15" s="1"/>
  <c r="H282" i="15"/>
  <c r="P282" i="15" s="1"/>
  <c r="Q282" i="15" s="1"/>
  <c r="I281" i="15"/>
  <c r="H125" i="15"/>
  <c r="P126" i="15"/>
  <c r="Q126" i="15" s="1"/>
  <c r="I125" i="15"/>
  <c r="O117" i="15"/>
  <c r="P155" i="15"/>
  <c r="Q155" i="15" s="1"/>
  <c r="Q157" i="15"/>
  <c r="Q156" i="15"/>
  <c r="H503" i="15"/>
  <c r="P504" i="15"/>
  <c r="Q504" i="15" s="1"/>
  <c r="M461" i="15"/>
  <c r="M459" i="15"/>
  <c r="O395" i="15"/>
  <c r="O394" i="15" s="1"/>
  <c r="O393" i="15" s="1"/>
  <c r="N271" i="15"/>
  <c r="N270" i="15" s="1"/>
  <c r="I271" i="15"/>
  <c r="Q271" i="15" s="1"/>
  <c r="H270" i="15"/>
  <c r="M170" i="15"/>
  <c r="M34" i="15" s="1"/>
  <c r="O261" i="15"/>
  <c r="O256" i="15" s="1"/>
  <c r="I256" i="15"/>
  <c r="N282" i="15"/>
  <c r="N281" i="15" s="1"/>
  <c r="L362" i="15"/>
  <c r="L361" i="15" s="1"/>
  <c r="L319" i="15" s="1"/>
  <c r="L254" i="15" s="1"/>
  <c r="L34" i="15" s="1"/>
  <c r="L21" i="15" s="1"/>
  <c r="O363" i="15"/>
  <c r="J34" i="15"/>
  <c r="J21" i="15" s="1"/>
  <c r="I173" i="15"/>
  <c r="I172" i="15" s="1"/>
  <c r="I171" i="15" s="1"/>
  <c r="O174" i="15"/>
  <c r="O173" i="15" s="1"/>
  <c r="O172" i="15" s="1"/>
  <c r="O171" i="15" s="1"/>
  <c r="I459" i="15"/>
  <c r="O460" i="15"/>
  <c r="I179" i="15"/>
  <c r="O199" i="15"/>
  <c r="O179" i="15" s="1"/>
  <c r="H394" i="14"/>
  <c r="H396" i="14"/>
  <c r="I401" i="14"/>
  <c r="H400" i="14"/>
  <c r="Q294" i="15" l="1"/>
  <c r="H255" i="15"/>
  <c r="P255" i="15" s="1"/>
  <c r="P270" i="15"/>
  <c r="H91" i="15"/>
  <c r="P92" i="15"/>
  <c r="Q92" i="15" s="1"/>
  <c r="H281" i="15"/>
  <c r="P281" i="15" s="1"/>
  <c r="Q281" i="15" s="1"/>
  <c r="P125" i="15"/>
  <c r="Q125" i="15" s="1"/>
  <c r="H124" i="15"/>
  <c r="H117" i="15" s="1"/>
  <c r="I124" i="15"/>
  <c r="P154" i="15"/>
  <c r="Q154" i="15" s="1"/>
  <c r="P503" i="15"/>
  <c r="Q503" i="15" s="1"/>
  <c r="H460" i="15"/>
  <c r="M21" i="15"/>
  <c r="O459" i="15"/>
  <c r="I170" i="15"/>
  <c r="O271" i="15"/>
  <c r="O270" i="15" s="1"/>
  <c r="O255" i="15" s="1"/>
  <c r="O254" i="15" s="1"/>
  <c r="I270" i="15"/>
  <c r="I255" i="15" s="1"/>
  <c r="O170" i="15"/>
  <c r="O316" i="14"/>
  <c r="M316" i="14"/>
  <c r="O224" i="14"/>
  <c r="I224" i="14"/>
  <c r="N255" i="15" l="1"/>
  <c r="N254" i="15" s="1"/>
  <c r="H254" i="15"/>
  <c r="P254" i="15" s="1"/>
  <c r="I254" i="15"/>
  <c r="Q255" i="15"/>
  <c r="Q270" i="15"/>
  <c r="H60" i="15"/>
  <c r="P91" i="15"/>
  <c r="Q91" i="15" s="1"/>
  <c r="P124" i="15"/>
  <c r="Q124" i="15" s="1"/>
  <c r="I117" i="15"/>
  <c r="P117" i="15"/>
  <c r="N117" i="15"/>
  <c r="N34" i="15" s="1"/>
  <c r="N21" i="15" s="1"/>
  <c r="P460" i="15"/>
  <c r="Q460" i="15" s="1"/>
  <c r="H459" i="15"/>
  <c r="O34" i="15"/>
  <c r="O21" i="15" s="1"/>
  <c r="I289" i="13"/>
  <c r="I34" i="15" l="1"/>
  <c r="I21" i="15" s="1"/>
  <c r="Q254" i="15"/>
  <c r="P60" i="15"/>
  <c r="Q60" i="15" s="1"/>
  <c r="H35" i="15"/>
  <c r="Q117" i="15"/>
  <c r="P459" i="15"/>
  <c r="Q459" i="15" s="1"/>
  <c r="M21" i="14"/>
  <c r="H284" i="14"/>
  <c r="N289" i="14"/>
  <c r="I289" i="14"/>
  <c r="P35" i="15" l="1"/>
  <c r="Q35" i="15" s="1"/>
  <c r="H34" i="15"/>
  <c r="L313" i="14"/>
  <c r="J313" i="14"/>
  <c r="L314" i="14"/>
  <c r="L315" i="14"/>
  <c r="N313" i="14"/>
  <c r="O317" i="14"/>
  <c r="O318" i="14"/>
  <c r="P34" i="15" l="1"/>
  <c r="Q34" i="15" s="1"/>
  <c r="H21" i="15"/>
  <c r="P21" i="15" s="1"/>
  <c r="Q21" i="15" s="1"/>
  <c r="I161" i="14"/>
  <c r="O153" i="14"/>
  <c r="N153" i="14"/>
  <c r="I153" i="14"/>
  <c r="O141" i="14"/>
  <c r="N141" i="14"/>
  <c r="I141" i="14"/>
  <c r="I188" i="14"/>
  <c r="O138" i="14"/>
  <c r="N138" i="14"/>
  <c r="H137" i="14"/>
  <c r="I138" i="14"/>
  <c r="I458" i="14" l="1"/>
  <c r="M314" i="14" l="1"/>
  <c r="M313" i="14" s="1"/>
  <c r="M315" i="14"/>
  <c r="O434" i="14"/>
  <c r="M434" i="14"/>
  <c r="M433" i="14" s="1"/>
  <c r="M432" i="14" s="1"/>
  <c r="M431" i="14" s="1"/>
  <c r="M430" i="14" s="1"/>
  <c r="M429" i="14" s="1"/>
  <c r="O33" i="14"/>
  <c r="M33" i="14"/>
  <c r="J312" i="14"/>
  <c r="J299" i="14" s="1"/>
  <c r="M531" i="14"/>
  <c r="G531" i="14"/>
  <c r="I349" i="14"/>
  <c r="I350" i="14"/>
  <c r="G471" i="14"/>
  <c r="G462" i="14" s="1"/>
  <c r="G507" i="14"/>
  <c r="M536" i="14"/>
  <c r="I536" i="14"/>
  <c r="M537" i="14"/>
  <c r="I537" i="14"/>
  <c r="O537" i="14" s="1"/>
  <c r="M510" i="14"/>
  <c r="M478" i="14"/>
  <c r="M479" i="14"/>
  <c r="I478" i="14"/>
  <c r="I479" i="14"/>
  <c r="O479" i="14" s="1"/>
  <c r="I343" i="14"/>
  <c r="I344" i="14"/>
  <c r="I328" i="14"/>
  <c r="L293" i="14"/>
  <c r="O161" i="14"/>
  <c r="M161" i="14"/>
  <c r="I33" i="14"/>
  <c r="O544" i="14"/>
  <c r="N544" i="14"/>
  <c r="M544" i="14"/>
  <c r="I544" i="14"/>
  <c r="O543" i="14"/>
  <c r="N543" i="14"/>
  <c r="M543" i="14"/>
  <c r="L543" i="14"/>
  <c r="J543" i="14"/>
  <c r="I543" i="14"/>
  <c r="H543" i="14"/>
  <c r="H542" i="14" s="1"/>
  <c r="H541" i="14" s="1"/>
  <c r="H540" i="14" s="1"/>
  <c r="H539" i="14" s="1"/>
  <c r="H538" i="14" s="1"/>
  <c r="G543" i="14"/>
  <c r="O542" i="14"/>
  <c r="N542" i="14"/>
  <c r="M542" i="14"/>
  <c r="M541" i="14" s="1"/>
  <c r="M540" i="14" s="1"/>
  <c r="M539" i="14" s="1"/>
  <c r="M538" i="14" s="1"/>
  <c r="L542" i="14"/>
  <c r="K542" i="14"/>
  <c r="K541" i="14" s="1"/>
  <c r="K540" i="14" s="1"/>
  <c r="K539" i="14" s="1"/>
  <c r="K538" i="14" s="1"/>
  <c r="K534" i="14" s="1"/>
  <c r="J542" i="14"/>
  <c r="I542" i="14"/>
  <c r="I541" i="14" s="1"/>
  <c r="I540" i="14" s="1"/>
  <c r="I539" i="14" s="1"/>
  <c r="I538" i="14" s="1"/>
  <c r="G542" i="14"/>
  <c r="O541" i="14"/>
  <c r="N541" i="14"/>
  <c r="N540" i="14" s="1"/>
  <c r="N539" i="14" s="1"/>
  <c r="N538" i="14" s="1"/>
  <c r="L541" i="14"/>
  <c r="J541" i="14"/>
  <c r="J540" i="14" s="1"/>
  <c r="J539" i="14" s="1"/>
  <c r="J538" i="14" s="1"/>
  <c r="G541" i="14"/>
  <c r="O540" i="14"/>
  <c r="O539" i="14" s="1"/>
  <c r="O538" i="14" s="1"/>
  <c r="L540" i="14"/>
  <c r="G540" i="14"/>
  <c r="G539" i="14" s="1"/>
  <c r="G538" i="14" s="1"/>
  <c r="L539" i="14"/>
  <c r="L538" i="14" s="1"/>
  <c r="N537" i="14"/>
  <c r="O536" i="14"/>
  <c r="H536" i="14"/>
  <c r="N536" i="14" s="1"/>
  <c r="N534" i="14"/>
  <c r="M533" i="14"/>
  <c r="M532" i="14" s="1"/>
  <c r="I533" i="14"/>
  <c r="L532" i="14"/>
  <c r="J532" i="14"/>
  <c r="G532" i="14"/>
  <c r="L531" i="14"/>
  <c r="L526" i="14" s="1"/>
  <c r="L525" i="14" s="1"/>
  <c r="L524" i="14" s="1"/>
  <c r="L523" i="14" s="1"/>
  <c r="K531" i="14"/>
  <c r="J531" i="14"/>
  <c r="N530" i="14"/>
  <c r="M530" i="14"/>
  <c r="M528" i="14" s="1"/>
  <c r="M527" i="14" s="1"/>
  <c r="K530" i="14"/>
  <c r="I530" i="14"/>
  <c r="O530" i="14" s="1"/>
  <c r="N529" i="14"/>
  <c r="M529" i="14"/>
  <c r="I529" i="14"/>
  <c r="O529" i="14" s="1"/>
  <c r="O528" i="14" s="1"/>
  <c r="O527" i="14" s="1"/>
  <c r="N528" i="14"/>
  <c r="L528" i="14"/>
  <c r="J528" i="14"/>
  <c r="I528" i="14"/>
  <c r="H528" i="14"/>
  <c r="G528" i="14"/>
  <c r="N527" i="14"/>
  <c r="L527" i="14"/>
  <c r="J527" i="14"/>
  <c r="I527" i="14"/>
  <c r="H527" i="14"/>
  <c r="G527" i="14"/>
  <c r="K526" i="14"/>
  <c r="J526" i="14"/>
  <c r="J525" i="14" s="1"/>
  <c r="J524" i="14" s="1"/>
  <c r="J523" i="14" s="1"/>
  <c r="J522" i="14" s="1"/>
  <c r="K525" i="14"/>
  <c r="K524" i="14" s="1"/>
  <c r="K523" i="14" s="1"/>
  <c r="K522" i="14" s="1"/>
  <c r="N521" i="14"/>
  <c r="M521" i="14"/>
  <c r="I521" i="14"/>
  <c r="O521" i="14" s="1"/>
  <c r="O520" i="14"/>
  <c r="N520" i="14"/>
  <c r="M520" i="14"/>
  <c r="I520" i="14"/>
  <c r="N519" i="14"/>
  <c r="M519" i="14"/>
  <c r="I519" i="14"/>
  <c r="O519" i="14" s="1"/>
  <c r="L518" i="14"/>
  <c r="L517" i="14" s="1"/>
  <c r="L516" i="14" s="1"/>
  <c r="J518" i="14"/>
  <c r="I518" i="14"/>
  <c r="G518" i="14"/>
  <c r="G517" i="14" s="1"/>
  <c r="G516" i="14" s="1"/>
  <c r="K517" i="14"/>
  <c r="K516" i="14" s="1"/>
  <c r="J517" i="14"/>
  <c r="I517" i="14"/>
  <c r="I516" i="14" s="1"/>
  <c r="H517" i="14"/>
  <c r="N517" i="14" s="1"/>
  <c r="N516" i="14" s="1"/>
  <c r="J516" i="14"/>
  <c r="H516" i="14"/>
  <c r="O515" i="14"/>
  <c r="M515" i="14"/>
  <c r="I515" i="14"/>
  <c r="G515" i="14"/>
  <c r="O514" i="14"/>
  <c r="N514" i="14"/>
  <c r="M514" i="14"/>
  <c r="I514" i="14"/>
  <c r="O513" i="14"/>
  <c r="N513" i="14"/>
  <c r="M513" i="14"/>
  <c r="I513" i="14"/>
  <c r="O512" i="14"/>
  <c r="O511" i="14" s="1"/>
  <c r="N512" i="14"/>
  <c r="N511" i="14" s="1"/>
  <c r="M512" i="14"/>
  <c r="L512" i="14"/>
  <c r="J512" i="14"/>
  <c r="J511" i="14" s="1"/>
  <c r="H512" i="14"/>
  <c r="H511" i="14" s="1"/>
  <c r="G512" i="14"/>
  <c r="M511" i="14"/>
  <c r="L511" i="14"/>
  <c r="K511" i="14"/>
  <c r="G511" i="14"/>
  <c r="N510" i="14"/>
  <c r="O510" i="14"/>
  <c r="N509" i="14"/>
  <c r="M509" i="14"/>
  <c r="I509" i="14"/>
  <c r="L508" i="14"/>
  <c r="O508" i="14"/>
  <c r="N508" i="14"/>
  <c r="M508" i="14"/>
  <c r="L507" i="14"/>
  <c r="L506" i="14" s="1"/>
  <c r="L505" i="14" s="1"/>
  <c r="L504" i="14" s="1"/>
  <c r="L503" i="14" s="1"/>
  <c r="J507" i="14"/>
  <c r="J506" i="14"/>
  <c r="J505" i="14" s="1"/>
  <c r="J504" i="14" s="1"/>
  <c r="J503" i="14" s="1"/>
  <c r="H506" i="14"/>
  <c r="H505" i="14" s="1"/>
  <c r="H504" i="14" s="1"/>
  <c r="H503" i="14" s="1"/>
  <c r="K505" i="14"/>
  <c r="K504" i="14" s="1"/>
  <c r="K503" i="14"/>
  <c r="N502" i="14"/>
  <c r="M502" i="14"/>
  <c r="I502" i="14"/>
  <c r="O502" i="14" s="1"/>
  <c r="N501" i="14"/>
  <c r="I501" i="14"/>
  <c r="O501" i="14" s="1"/>
  <c r="G501" i="14"/>
  <c r="M501" i="14" s="1"/>
  <c r="O500" i="14"/>
  <c r="O499" i="14" s="1"/>
  <c r="N500" i="14"/>
  <c r="M500" i="14"/>
  <c r="M499" i="14" s="1"/>
  <c r="M498" i="14" s="1"/>
  <c r="M497" i="14" s="1"/>
  <c r="M496" i="14" s="1"/>
  <c r="M495" i="14" s="1"/>
  <c r="I500" i="14"/>
  <c r="G500" i="14"/>
  <c r="G499" i="14" s="1"/>
  <c r="G498" i="14" s="1"/>
  <c r="G497" i="14" s="1"/>
  <c r="G496" i="14" s="1"/>
  <c r="G495" i="14" s="1"/>
  <c r="N499" i="14"/>
  <c r="L499" i="14"/>
  <c r="L498" i="14" s="1"/>
  <c r="L497" i="14" s="1"/>
  <c r="L496" i="14" s="1"/>
  <c r="J499" i="14"/>
  <c r="I499" i="14"/>
  <c r="K498" i="14"/>
  <c r="N498" i="14" s="1"/>
  <c r="J498" i="14"/>
  <c r="I498" i="14"/>
  <c r="I497" i="14" s="1"/>
  <c r="I496" i="14" s="1"/>
  <c r="I495" i="14" s="1"/>
  <c r="H498" i="14"/>
  <c r="N497" i="14"/>
  <c r="N496" i="14" s="1"/>
  <c r="N495" i="14" s="1"/>
  <c r="J497" i="14"/>
  <c r="J496" i="14" s="1"/>
  <c r="J495" i="14" s="1"/>
  <c r="H497" i="14"/>
  <c r="H496" i="14" s="1"/>
  <c r="H495" i="14" s="1"/>
  <c r="L495" i="14"/>
  <c r="N494" i="14"/>
  <c r="I494" i="14"/>
  <c r="O494" i="14" s="1"/>
  <c r="O493" i="14"/>
  <c r="I493" i="14"/>
  <c r="H493" i="14"/>
  <c r="O490" i="14"/>
  <c r="M490" i="14"/>
  <c r="O489" i="14"/>
  <c r="M489" i="14"/>
  <c r="O488" i="14"/>
  <c r="M488" i="14"/>
  <c r="N487" i="14"/>
  <c r="O487" i="14" s="1"/>
  <c r="O486" i="14" s="1"/>
  <c r="M487" i="14"/>
  <c r="I486" i="14"/>
  <c r="M486" i="14"/>
  <c r="L486" i="14"/>
  <c r="J486" i="14"/>
  <c r="H486" i="14"/>
  <c r="G486" i="14"/>
  <c r="N485" i="14"/>
  <c r="M485" i="14"/>
  <c r="O485" i="14" s="1"/>
  <c r="O484" i="14" s="1"/>
  <c r="L485" i="14"/>
  <c r="N484" i="14"/>
  <c r="M484" i="14"/>
  <c r="L484" i="14"/>
  <c r="K484" i="14"/>
  <c r="J484" i="14"/>
  <c r="J472" i="14" s="1"/>
  <c r="J471" i="14" s="1"/>
  <c r="J462" i="14" s="1"/>
  <c r="J461" i="14" s="1"/>
  <c r="J460" i="14" s="1"/>
  <c r="J459" i="14" s="1"/>
  <c r="N483" i="14"/>
  <c r="O483" i="14" s="1"/>
  <c r="O482" i="14" s="1"/>
  <c r="M483" i="14"/>
  <c r="L483" i="14"/>
  <c r="L482" i="14" s="1"/>
  <c r="I483" i="14"/>
  <c r="N482" i="14"/>
  <c r="M482" i="14"/>
  <c r="K482" i="14"/>
  <c r="J482" i="14"/>
  <c r="H482" i="14"/>
  <c r="I482" i="14" s="1"/>
  <c r="G482" i="14"/>
  <c r="N481" i="14"/>
  <c r="M481" i="14"/>
  <c r="L481" i="14"/>
  <c r="I481" i="14"/>
  <c r="K480" i="14"/>
  <c r="J480" i="14"/>
  <c r="H480" i="14"/>
  <c r="H472" i="14" s="1"/>
  <c r="H471" i="14" s="1"/>
  <c r="G480" i="14"/>
  <c r="M480" i="14" s="1"/>
  <c r="N479" i="14"/>
  <c r="N478" i="14"/>
  <c r="O478" i="14"/>
  <c r="N477" i="14"/>
  <c r="O477" i="14" s="1"/>
  <c r="M477" i="14"/>
  <c r="I473" i="14"/>
  <c r="O476" i="14"/>
  <c r="N476" i="14"/>
  <c r="I476" i="14"/>
  <c r="G476" i="14"/>
  <c r="M475" i="14"/>
  <c r="I475" i="14"/>
  <c r="O475" i="14" s="1"/>
  <c r="N475" i="14"/>
  <c r="N474" i="14"/>
  <c r="M474" i="14"/>
  <c r="O474" i="14"/>
  <c r="L473" i="14"/>
  <c r="J473" i="14"/>
  <c r="H473" i="14"/>
  <c r="O469" i="14"/>
  <c r="N469" i="14"/>
  <c r="M469" i="14"/>
  <c r="L469" i="14"/>
  <c r="J469" i="14"/>
  <c r="I469" i="14"/>
  <c r="G469" i="14"/>
  <c r="N468" i="14"/>
  <c r="N467" i="14" s="1"/>
  <c r="M468" i="14"/>
  <c r="M467" i="14" s="1"/>
  <c r="G467" i="14"/>
  <c r="L467" i="14"/>
  <c r="J467" i="14"/>
  <c r="I467" i="14"/>
  <c r="M466" i="14"/>
  <c r="M465" i="14" s="1"/>
  <c r="M464" i="14" s="1"/>
  <c r="M463" i="14" s="1"/>
  <c r="L465" i="14"/>
  <c r="L464" i="14" s="1"/>
  <c r="L463" i="14" s="1"/>
  <c r="J465" i="14"/>
  <c r="J464" i="14" s="1"/>
  <c r="J463" i="14" s="1"/>
  <c r="G465" i="14"/>
  <c r="G464" i="14" s="1"/>
  <c r="K464" i="14"/>
  <c r="K463" i="14" s="1"/>
  <c r="O458" i="14"/>
  <c r="O457" i="14" s="1"/>
  <c r="O456" i="14" s="1"/>
  <c r="O455" i="14" s="1"/>
  <c r="O454" i="14" s="1"/>
  <c r="O453" i="14" s="1"/>
  <c r="O452" i="14" s="1"/>
  <c r="N458" i="14"/>
  <c r="N457" i="14" s="1"/>
  <c r="N456" i="14" s="1"/>
  <c r="N455" i="14" s="1"/>
  <c r="N454" i="14" s="1"/>
  <c r="N453" i="14" s="1"/>
  <c r="N452" i="14" s="1"/>
  <c r="M458" i="14"/>
  <c r="M457" i="14" s="1"/>
  <c r="M456" i="14" s="1"/>
  <c r="M455" i="14" s="1"/>
  <c r="M454" i="14" s="1"/>
  <c r="M453" i="14" s="1"/>
  <c r="M452" i="14" s="1"/>
  <c r="L457" i="14"/>
  <c r="L456" i="14" s="1"/>
  <c r="L455" i="14" s="1"/>
  <c r="L454" i="14" s="1"/>
  <c r="L453" i="14" s="1"/>
  <c r="L452" i="14" s="1"/>
  <c r="J457" i="14"/>
  <c r="I457" i="14"/>
  <c r="I456" i="14" s="1"/>
  <c r="I455" i="14" s="1"/>
  <c r="I454" i="14" s="1"/>
  <c r="I453" i="14" s="1"/>
  <c r="I452" i="14" s="1"/>
  <c r="H457" i="14"/>
  <c r="G457" i="14"/>
  <c r="G456" i="14" s="1"/>
  <c r="G455" i="14" s="1"/>
  <c r="G454" i="14" s="1"/>
  <c r="G453" i="14" s="1"/>
  <c r="G452" i="14" s="1"/>
  <c r="K456" i="14"/>
  <c r="J456" i="14"/>
  <c r="J455" i="14" s="1"/>
  <c r="J454" i="14" s="1"/>
  <c r="J453" i="14" s="1"/>
  <c r="J452" i="14" s="1"/>
  <c r="H456" i="14"/>
  <c r="H455" i="14" s="1"/>
  <c r="H454" i="14" s="1"/>
  <c r="H453" i="14" s="1"/>
  <c r="H452" i="14" s="1"/>
  <c r="K455" i="14"/>
  <c r="K454" i="14" s="1"/>
  <c r="K453" i="14" s="1"/>
  <c r="K452" i="14" s="1"/>
  <c r="K451" i="14" s="1"/>
  <c r="O450" i="14"/>
  <c r="N450" i="14"/>
  <c r="N449" i="14" s="1"/>
  <c r="N448" i="14" s="1"/>
  <c r="M450" i="14"/>
  <c r="L450" i="14"/>
  <c r="L449" i="14" s="1"/>
  <c r="J450" i="14"/>
  <c r="I450" i="14"/>
  <c r="G450" i="14"/>
  <c r="O449" i="14"/>
  <c r="O448" i="14" s="1"/>
  <c r="M449" i="14"/>
  <c r="M448" i="14" s="1"/>
  <c r="K449" i="14"/>
  <c r="K448" i="14" s="1"/>
  <c r="J449" i="14"/>
  <c r="I449" i="14"/>
  <c r="I448" i="14" s="1"/>
  <c r="H449" i="14"/>
  <c r="G449" i="14"/>
  <c r="G448" i="14" s="1"/>
  <c r="L448" i="14"/>
  <c r="L442" i="14" s="1"/>
  <c r="L441" i="14" s="1"/>
  <c r="J448" i="14"/>
  <c r="H448" i="14"/>
  <c r="O445" i="14"/>
  <c r="O444" i="14" s="1"/>
  <c r="N445" i="14"/>
  <c r="M445" i="14"/>
  <c r="M444" i="14" s="1"/>
  <c r="L445" i="14"/>
  <c r="J445" i="14"/>
  <c r="J444" i="14" s="1"/>
  <c r="J443" i="14" s="1"/>
  <c r="J442" i="14" s="1"/>
  <c r="J441" i="14" s="1"/>
  <c r="I445" i="14"/>
  <c r="G445" i="14"/>
  <c r="G444" i="14" s="1"/>
  <c r="N444" i="14"/>
  <c r="N443" i="14" s="1"/>
  <c r="L444" i="14"/>
  <c r="L443" i="14" s="1"/>
  <c r="K444" i="14"/>
  <c r="I444" i="14"/>
  <c r="H444" i="14"/>
  <c r="H443" i="14" s="1"/>
  <c r="O443" i="14"/>
  <c r="O442" i="14" s="1"/>
  <c r="O441" i="14" s="1"/>
  <c r="M443" i="14"/>
  <c r="M442" i="14" s="1"/>
  <c r="K443" i="14"/>
  <c r="K442" i="14" s="1"/>
  <c r="K441" i="14" s="1"/>
  <c r="I443" i="14"/>
  <c r="G443" i="14"/>
  <c r="G442" i="14" s="1"/>
  <c r="G441" i="14" s="1"/>
  <c r="H442" i="14"/>
  <c r="H441" i="14" s="1"/>
  <c r="M441" i="14"/>
  <c r="O439" i="14"/>
  <c r="N439" i="14"/>
  <c r="N438" i="14" s="1"/>
  <c r="M439" i="14"/>
  <c r="L439" i="14"/>
  <c r="L438" i="14" s="1"/>
  <c r="J439" i="14"/>
  <c r="I439" i="14"/>
  <c r="I438" i="14" s="1"/>
  <c r="I437" i="14" s="1"/>
  <c r="I436" i="14" s="1"/>
  <c r="I435" i="14" s="1"/>
  <c r="G439" i="14"/>
  <c r="O438" i="14"/>
  <c r="O437" i="14" s="1"/>
  <c r="M438" i="14"/>
  <c r="M437" i="14" s="1"/>
  <c r="M436" i="14" s="1"/>
  <c r="M435" i="14" s="1"/>
  <c r="K438" i="14"/>
  <c r="K437" i="14" s="1"/>
  <c r="J438" i="14"/>
  <c r="H438" i="14"/>
  <c r="G438" i="14"/>
  <c r="G437" i="14" s="1"/>
  <c r="N437" i="14"/>
  <c r="N436" i="14" s="1"/>
  <c r="N435" i="14" s="1"/>
  <c r="L437" i="14"/>
  <c r="L436" i="14" s="1"/>
  <c r="J437" i="14"/>
  <c r="J436" i="14" s="1"/>
  <c r="J435" i="14" s="1"/>
  <c r="H437" i="14"/>
  <c r="H436" i="14" s="1"/>
  <c r="O436" i="14"/>
  <c r="O435" i="14" s="1"/>
  <c r="K436" i="14"/>
  <c r="K435" i="14" s="1"/>
  <c r="G436" i="14"/>
  <c r="G435" i="14" s="1"/>
  <c r="L435" i="14"/>
  <c r="H435" i="14"/>
  <c r="N434" i="14"/>
  <c r="O433" i="14" s="1"/>
  <c r="O432" i="14" s="1"/>
  <c r="O431" i="14" s="1"/>
  <c r="O430" i="14" s="1"/>
  <c r="O429" i="14" s="1"/>
  <c r="N433" i="14"/>
  <c r="N432" i="14" s="1"/>
  <c r="N431" i="14" s="1"/>
  <c r="N430" i="14" s="1"/>
  <c r="N429" i="14" s="1"/>
  <c r="L433" i="14"/>
  <c r="J433" i="14"/>
  <c r="I433" i="14"/>
  <c r="G433" i="14"/>
  <c r="G432" i="14" s="1"/>
  <c r="G431" i="14" s="1"/>
  <c r="G430" i="14" s="1"/>
  <c r="G429" i="14" s="1"/>
  <c r="L432" i="14"/>
  <c r="L431" i="14" s="1"/>
  <c r="K432" i="14"/>
  <c r="J432" i="14"/>
  <c r="J431" i="14" s="1"/>
  <c r="J430" i="14" s="1"/>
  <c r="J429" i="14" s="1"/>
  <c r="I432" i="14"/>
  <c r="I431" i="14" s="1"/>
  <c r="I430" i="14" s="1"/>
  <c r="I429" i="14" s="1"/>
  <c r="H432" i="14"/>
  <c r="H431" i="14" s="1"/>
  <c r="K431" i="14"/>
  <c r="K430" i="14" s="1"/>
  <c r="K429" i="14" s="1"/>
  <c r="L430" i="14"/>
  <c r="L429" i="14" s="1"/>
  <c r="H430" i="14"/>
  <c r="H429" i="14" s="1"/>
  <c r="N428" i="14"/>
  <c r="O428" i="14" s="1"/>
  <c r="O427" i="14" s="1"/>
  <c r="O426" i="14" s="1"/>
  <c r="O425" i="14" s="1"/>
  <c r="O424" i="14" s="1"/>
  <c r="O423" i="14" s="1"/>
  <c r="M428" i="14"/>
  <c r="I428" i="14"/>
  <c r="I427" i="14" s="1"/>
  <c r="I426" i="14" s="1"/>
  <c r="I425" i="14" s="1"/>
  <c r="I424" i="14" s="1"/>
  <c r="I423" i="14" s="1"/>
  <c r="M427" i="14"/>
  <c r="L427" i="14"/>
  <c r="L426" i="14" s="1"/>
  <c r="J427" i="14"/>
  <c r="G427" i="14"/>
  <c r="M426" i="14"/>
  <c r="M425" i="14" s="1"/>
  <c r="M424" i="14" s="1"/>
  <c r="M423" i="14" s="1"/>
  <c r="K426" i="14"/>
  <c r="K425" i="14" s="1"/>
  <c r="J426" i="14"/>
  <c r="H426" i="14"/>
  <c r="G426" i="14"/>
  <c r="G425" i="14" s="1"/>
  <c r="L425" i="14"/>
  <c r="L424" i="14" s="1"/>
  <c r="J425" i="14"/>
  <c r="J424" i="14" s="1"/>
  <c r="J423" i="14" s="1"/>
  <c r="H425" i="14"/>
  <c r="H424" i="14" s="1"/>
  <c r="K424" i="14"/>
  <c r="K423" i="14" s="1"/>
  <c r="G424" i="14"/>
  <c r="G423" i="14" s="1"/>
  <c r="L423" i="14"/>
  <c r="H423" i="14"/>
  <c r="N422" i="14"/>
  <c r="N421" i="14" s="1"/>
  <c r="N420" i="14" s="1"/>
  <c r="N419" i="14" s="1"/>
  <c r="N418" i="14" s="1"/>
  <c r="N417" i="14" s="1"/>
  <c r="M422" i="14"/>
  <c r="I422" i="14"/>
  <c r="M421" i="14"/>
  <c r="L421" i="14"/>
  <c r="J421" i="14"/>
  <c r="J420" i="14" s="1"/>
  <c r="I421" i="14"/>
  <c r="I420" i="14" s="1"/>
  <c r="I419" i="14" s="1"/>
  <c r="I418" i="14" s="1"/>
  <c r="I417" i="14" s="1"/>
  <c r="H421" i="14"/>
  <c r="H420" i="14" s="1"/>
  <c r="G421" i="14"/>
  <c r="M420" i="14"/>
  <c r="M419" i="14" s="1"/>
  <c r="M418" i="14" s="1"/>
  <c r="M417" i="14" s="1"/>
  <c r="L420" i="14"/>
  <c r="K420" i="14"/>
  <c r="K419" i="14" s="1"/>
  <c r="G420" i="14"/>
  <c r="G419" i="14" s="1"/>
  <c r="L419" i="14"/>
  <c r="L418" i="14" s="1"/>
  <c r="J419" i="14"/>
  <c r="J418" i="14" s="1"/>
  <c r="J417" i="14" s="1"/>
  <c r="J416" i="14" s="1"/>
  <c r="H419" i="14"/>
  <c r="H418" i="14" s="1"/>
  <c r="K418" i="14"/>
  <c r="K417" i="14" s="1"/>
  <c r="K416" i="14" s="1"/>
  <c r="G418" i="14"/>
  <c r="G417" i="14" s="1"/>
  <c r="L417" i="14"/>
  <c r="L416" i="14" s="1"/>
  <c r="H417" i="14"/>
  <c r="H416" i="14" s="1"/>
  <c r="O414" i="14"/>
  <c r="N414" i="14"/>
  <c r="N413" i="14" s="1"/>
  <c r="M414" i="14"/>
  <c r="L414" i="14"/>
  <c r="L413" i="14" s="1"/>
  <c r="J414" i="14"/>
  <c r="I414" i="14"/>
  <c r="I413" i="14" s="1"/>
  <c r="I412" i="14" s="1"/>
  <c r="I411" i="14" s="1"/>
  <c r="G414" i="14"/>
  <c r="O413" i="14"/>
  <c r="O412" i="14" s="1"/>
  <c r="M413" i="14"/>
  <c r="M412" i="14" s="1"/>
  <c r="M411" i="14" s="1"/>
  <c r="K413" i="14"/>
  <c r="K412" i="14" s="1"/>
  <c r="J413" i="14"/>
  <c r="H413" i="14"/>
  <c r="G413" i="14"/>
  <c r="G412" i="14" s="1"/>
  <c r="N412" i="14"/>
  <c r="N411" i="14" s="1"/>
  <c r="L412" i="14"/>
  <c r="L411" i="14" s="1"/>
  <c r="J412" i="14"/>
  <c r="J411" i="14" s="1"/>
  <c r="H412" i="14"/>
  <c r="H411" i="14" s="1"/>
  <c r="O411" i="14"/>
  <c r="K411" i="14"/>
  <c r="G411" i="14"/>
  <c r="N410" i="14"/>
  <c r="M410" i="14"/>
  <c r="L410" i="14"/>
  <c r="O410" i="14" s="1"/>
  <c r="N409" i="14"/>
  <c r="M409" i="14"/>
  <c r="L409" i="14"/>
  <c r="O409" i="14" s="1"/>
  <c r="N408" i="14"/>
  <c r="O408" i="14" s="1"/>
  <c r="O407" i="14" s="1"/>
  <c r="M408" i="14"/>
  <c r="I408" i="14"/>
  <c r="N407" i="14"/>
  <c r="M407" i="14"/>
  <c r="L407" i="14"/>
  <c r="L402" i="14" s="1"/>
  <c r="J407" i="14"/>
  <c r="I407" i="14"/>
  <c r="G407" i="14"/>
  <c r="N405" i="14"/>
  <c r="M405" i="14"/>
  <c r="M403" i="14" s="1"/>
  <c r="L405" i="14"/>
  <c r="I405" i="14"/>
  <c r="O405" i="14" s="1"/>
  <c r="N404" i="14"/>
  <c r="M404" i="14"/>
  <c r="I404" i="14"/>
  <c r="N403" i="14"/>
  <c r="N402" i="14" s="1"/>
  <c r="L403" i="14"/>
  <c r="K403" i="14"/>
  <c r="J403" i="14"/>
  <c r="H403" i="14"/>
  <c r="H402" i="14" s="1"/>
  <c r="G403" i="14"/>
  <c r="M402" i="14"/>
  <c r="K402" i="14"/>
  <c r="J402" i="14"/>
  <c r="G402" i="14"/>
  <c r="N401" i="14"/>
  <c r="N400" i="14" s="1"/>
  <c r="M401" i="14"/>
  <c r="O401" i="14"/>
  <c r="O400" i="14" s="1"/>
  <c r="M400" i="14"/>
  <c r="L400" i="14"/>
  <c r="J400" i="14"/>
  <c r="I400" i="14"/>
  <c r="G400" i="14"/>
  <c r="N399" i="14"/>
  <c r="M399" i="14"/>
  <c r="O399" i="14" s="1"/>
  <c r="L399" i="14"/>
  <c r="I399" i="14"/>
  <c r="N398" i="14"/>
  <c r="M398" i="14"/>
  <c r="M397" i="14" s="1"/>
  <c r="M396" i="14" s="1"/>
  <c r="M395" i="14" s="1"/>
  <c r="M394" i="14" s="1"/>
  <c r="M393" i="14" s="1"/>
  <c r="L398" i="14"/>
  <c r="L397" i="14" s="1"/>
  <c r="L396" i="14" s="1"/>
  <c r="L395" i="14" s="1"/>
  <c r="L394" i="14" s="1"/>
  <c r="L393" i="14" s="1"/>
  <c r="I398" i="14"/>
  <c r="I397" i="14" s="1"/>
  <c r="K397" i="14"/>
  <c r="K396" i="14" s="1"/>
  <c r="K395" i="14" s="1"/>
  <c r="K394" i="14" s="1"/>
  <c r="K393" i="14" s="1"/>
  <c r="J397" i="14"/>
  <c r="H397" i="14"/>
  <c r="N397" i="14" s="1"/>
  <c r="G397" i="14"/>
  <c r="G396" i="14" s="1"/>
  <c r="G395" i="14" s="1"/>
  <c r="G394" i="14" s="1"/>
  <c r="G393" i="14" s="1"/>
  <c r="J396" i="14"/>
  <c r="J395" i="14" s="1"/>
  <c r="J394" i="14" s="1"/>
  <c r="J393" i="14" s="1"/>
  <c r="N392" i="14"/>
  <c r="M392" i="14"/>
  <c r="I392" i="14"/>
  <c r="O392" i="14" s="1"/>
  <c r="N391" i="14"/>
  <c r="H391" i="14"/>
  <c r="G391" i="14"/>
  <c r="I391" i="14" s="1"/>
  <c r="O391" i="14" s="1"/>
  <c r="N390" i="14"/>
  <c r="M390" i="14"/>
  <c r="I390" i="14"/>
  <c r="O390" i="14" s="1"/>
  <c r="N389" i="14"/>
  <c r="I389" i="14"/>
  <c r="O389" i="14" s="1"/>
  <c r="G389" i="14"/>
  <c r="M389" i="14" s="1"/>
  <c r="M388" i="14"/>
  <c r="M387" i="14" s="1"/>
  <c r="N388" i="14"/>
  <c r="L387" i="14"/>
  <c r="J387" i="14"/>
  <c r="G387" i="14"/>
  <c r="G386" i="14" s="1"/>
  <c r="L386" i="14"/>
  <c r="K386" i="14"/>
  <c r="J386" i="14"/>
  <c r="O385" i="14"/>
  <c r="N385" i="14"/>
  <c r="M385" i="14"/>
  <c r="I385" i="14"/>
  <c r="O384" i="14"/>
  <c r="O383" i="14" s="1"/>
  <c r="N384" i="14"/>
  <c r="M384" i="14"/>
  <c r="M383" i="14" s="1"/>
  <c r="L384" i="14"/>
  <c r="J384" i="14"/>
  <c r="I384" i="14"/>
  <c r="G384" i="14"/>
  <c r="G383" i="14" s="1"/>
  <c r="N383" i="14"/>
  <c r="L383" i="14"/>
  <c r="L382" i="14" s="1"/>
  <c r="L381" i="14" s="1"/>
  <c r="L380" i="14" s="1"/>
  <c r="K383" i="14"/>
  <c r="J383" i="14"/>
  <c r="J382" i="14" s="1"/>
  <c r="J381" i="14" s="1"/>
  <c r="J380" i="14" s="1"/>
  <c r="I383" i="14"/>
  <c r="H383" i="14"/>
  <c r="K382" i="14"/>
  <c r="K381" i="14" s="1"/>
  <c r="K380" i="14" s="1"/>
  <c r="N378" i="14"/>
  <c r="M378" i="14"/>
  <c r="I378" i="14"/>
  <c r="O378" i="14" s="1"/>
  <c r="N377" i="14"/>
  <c r="M377" i="14"/>
  <c r="I377" i="14"/>
  <c r="O377" i="14" s="1"/>
  <c r="H377" i="14"/>
  <c r="O376" i="14"/>
  <c r="M376" i="14"/>
  <c r="I376" i="14"/>
  <c r="H376" i="14"/>
  <c r="N376" i="14" s="1"/>
  <c r="I375" i="14"/>
  <c r="O375" i="14" s="1"/>
  <c r="H375" i="14"/>
  <c r="N375" i="14" s="1"/>
  <c r="N374" i="14"/>
  <c r="M374" i="14"/>
  <c r="I374" i="14"/>
  <c r="O374" i="14" s="1"/>
  <c r="N373" i="14"/>
  <c r="M373" i="14"/>
  <c r="I373" i="14"/>
  <c r="O373" i="14" s="1"/>
  <c r="N372" i="14"/>
  <c r="M372" i="14"/>
  <c r="I372" i="14"/>
  <c r="O372" i="14" s="1"/>
  <c r="N371" i="14"/>
  <c r="N370" i="14" s="1"/>
  <c r="N369" i="14" s="1"/>
  <c r="N368" i="14" s="1"/>
  <c r="M371" i="14"/>
  <c r="M370" i="14" s="1"/>
  <c r="M369" i="14" s="1"/>
  <c r="M368" i="14" s="1"/>
  <c r="I371" i="14"/>
  <c r="O371" i="14" s="1"/>
  <c r="O370" i="14" s="1"/>
  <c r="O369" i="14" s="1"/>
  <c r="O368" i="14" s="1"/>
  <c r="L370" i="14"/>
  <c r="J370" i="14"/>
  <c r="I370" i="14"/>
  <c r="I369" i="14" s="1"/>
  <c r="I368" i="14" s="1"/>
  <c r="H370" i="14"/>
  <c r="G370" i="14"/>
  <c r="G369" i="14" s="1"/>
  <c r="G368" i="14" s="1"/>
  <c r="L369" i="14"/>
  <c r="L368" i="14" s="1"/>
  <c r="K369" i="14"/>
  <c r="J369" i="14"/>
  <c r="J368" i="14" s="1"/>
  <c r="H369" i="14"/>
  <c r="H368" i="14" s="1"/>
  <c r="K368" i="14"/>
  <c r="N367" i="14"/>
  <c r="M367" i="14"/>
  <c r="L367" i="14"/>
  <c r="O367" i="14" s="1"/>
  <c r="N366" i="14"/>
  <c r="M366" i="14"/>
  <c r="L366" i="14"/>
  <c r="O366" i="14" s="1"/>
  <c r="K366" i="14"/>
  <c r="O364" i="14"/>
  <c r="O363" i="14" s="1"/>
  <c r="N364" i="14"/>
  <c r="M364" i="14"/>
  <c r="M363" i="14" s="1"/>
  <c r="M362" i="14" s="1"/>
  <c r="M361" i="14" s="1"/>
  <c r="L364" i="14"/>
  <c r="J364" i="14"/>
  <c r="I364" i="14"/>
  <c r="G364" i="14"/>
  <c r="G363" i="14" s="1"/>
  <c r="G362" i="14" s="1"/>
  <c r="G361" i="14" s="1"/>
  <c r="N363" i="14"/>
  <c r="N362" i="14" s="1"/>
  <c r="O362" i="14" s="1"/>
  <c r="O361" i="14" s="1"/>
  <c r="L363" i="14"/>
  <c r="L362" i="14" s="1"/>
  <c r="L361" i="14" s="1"/>
  <c r="K363" i="14"/>
  <c r="J363" i="14"/>
  <c r="J362" i="14" s="1"/>
  <c r="J361" i="14" s="1"/>
  <c r="I363" i="14"/>
  <c r="H363" i="14"/>
  <c r="H362" i="14" s="1"/>
  <c r="K362" i="14"/>
  <c r="K361" i="14" s="1"/>
  <c r="N361" i="14" s="1"/>
  <c r="I362" i="14"/>
  <c r="I361" i="14" s="1"/>
  <c r="N360" i="14"/>
  <c r="M360" i="14"/>
  <c r="I360" i="14"/>
  <c r="O360" i="14" s="1"/>
  <c r="J359" i="14"/>
  <c r="H359" i="14"/>
  <c r="N359" i="14" s="1"/>
  <c r="G359" i="14"/>
  <c r="M359" i="14" s="1"/>
  <c r="N358" i="14"/>
  <c r="M358" i="14"/>
  <c r="M357" i="14" s="1"/>
  <c r="L358" i="14"/>
  <c r="I358" i="14"/>
  <c r="O358" i="14" s="1"/>
  <c r="O357" i="14" s="1"/>
  <c r="N357" i="14"/>
  <c r="L357" i="14"/>
  <c r="J357" i="14"/>
  <c r="I357" i="14"/>
  <c r="H357" i="14"/>
  <c r="G357" i="14"/>
  <c r="G356" i="14" s="1"/>
  <c r="G355" i="14" s="1"/>
  <c r="G354" i="14" s="1"/>
  <c r="L356" i="14"/>
  <c r="L355" i="14" s="1"/>
  <c r="L354" i="14" s="1"/>
  <c r="K356" i="14"/>
  <c r="J356" i="14"/>
  <c r="J355" i="14" s="1"/>
  <c r="J354" i="14" s="1"/>
  <c r="H356" i="14"/>
  <c r="N356" i="14" s="1"/>
  <c r="N355" i="14" s="1"/>
  <c r="N354" i="14" s="1"/>
  <c r="K355" i="14"/>
  <c r="K354" i="14" s="1"/>
  <c r="M353" i="14"/>
  <c r="I353" i="14"/>
  <c r="O353" i="14" s="1"/>
  <c r="G352" i="14"/>
  <c r="M352" i="14" s="1"/>
  <c r="G349" i="14"/>
  <c r="M349" i="14" s="1"/>
  <c r="M348" i="14"/>
  <c r="L348" i="14"/>
  <c r="I348" i="14"/>
  <c r="O348" i="14" s="1"/>
  <c r="H348" i="14"/>
  <c r="N348" i="14" s="1"/>
  <c r="L347" i="14"/>
  <c r="K347" i="14"/>
  <c r="J347" i="14"/>
  <c r="H347" i="14"/>
  <c r="N347" i="14" s="1"/>
  <c r="G347" i="14"/>
  <c r="M347" i="14" s="1"/>
  <c r="N346" i="14"/>
  <c r="M346" i="14"/>
  <c r="L346" i="14"/>
  <c r="I346" i="14"/>
  <c r="O346" i="14" s="1"/>
  <c r="N345" i="14"/>
  <c r="M345" i="14"/>
  <c r="L345" i="14"/>
  <c r="I345" i="14"/>
  <c r="O345" i="14" s="1"/>
  <c r="N344" i="14"/>
  <c r="M344" i="14"/>
  <c r="O344" i="14"/>
  <c r="N343" i="14"/>
  <c r="M343" i="14"/>
  <c r="L343" i="14"/>
  <c r="O343" i="14" s="1"/>
  <c r="H343" i="14"/>
  <c r="N342" i="14"/>
  <c r="L342" i="14"/>
  <c r="O342" i="14" s="1"/>
  <c r="N341" i="14"/>
  <c r="L341" i="14"/>
  <c r="O341" i="14" s="1"/>
  <c r="O340" i="14"/>
  <c r="N340" i="14"/>
  <c r="L340" i="14"/>
  <c r="N339" i="14"/>
  <c r="L339" i="14"/>
  <c r="O339" i="14" s="1"/>
  <c r="M338" i="14"/>
  <c r="M337" i="14" s="1"/>
  <c r="L338" i="14"/>
  <c r="I338" i="14"/>
  <c r="O338" i="14" s="1"/>
  <c r="N338" i="14"/>
  <c r="N337" i="14" s="1"/>
  <c r="L337" i="14"/>
  <c r="K337" i="14"/>
  <c r="J337" i="14"/>
  <c r="I337" i="14"/>
  <c r="H337" i="14"/>
  <c r="G337" i="14"/>
  <c r="N336" i="14"/>
  <c r="N335" i="14" s="1"/>
  <c r="M336" i="14"/>
  <c r="I336" i="14"/>
  <c r="O336" i="14" s="1"/>
  <c r="O335" i="14" s="1"/>
  <c r="M335" i="14"/>
  <c r="L335" i="14"/>
  <c r="J335" i="14"/>
  <c r="H335" i="14"/>
  <c r="G335" i="14"/>
  <c r="N334" i="14"/>
  <c r="N333" i="14" s="1"/>
  <c r="M334" i="14"/>
  <c r="L334" i="14"/>
  <c r="L333" i="14" s="1"/>
  <c r="I334" i="14"/>
  <c r="O334" i="14" s="1"/>
  <c r="O333" i="14" s="1"/>
  <c r="M333" i="14"/>
  <c r="K333" i="14"/>
  <c r="J333" i="14"/>
  <c r="I333" i="14"/>
  <c r="H333" i="14"/>
  <c r="O332" i="14"/>
  <c r="N332" i="14"/>
  <c r="M332" i="14"/>
  <c r="I332" i="14"/>
  <c r="O331" i="14"/>
  <c r="N331" i="14"/>
  <c r="M331" i="14"/>
  <c r="I331" i="14"/>
  <c r="M330" i="14"/>
  <c r="M329" i="14" s="1"/>
  <c r="I330" i="14"/>
  <c r="L329" i="14"/>
  <c r="J329" i="14"/>
  <c r="G329" i="14"/>
  <c r="N328" i="14"/>
  <c r="M328" i="14"/>
  <c r="M327" i="14" s="1"/>
  <c r="O328" i="14"/>
  <c r="O327" i="14" s="1"/>
  <c r="N327" i="14"/>
  <c r="L327" i="14"/>
  <c r="J327" i="14"/>
  <c r="I327" i="14"/>
  <c r="G327" i="14"/>
  <c r="M326" i="14"/>
  <c r="M325" i="14" s="1"/>
  <c r="L326" i="14"/>
  <c r="I326" i="14"/>
  <c r="O326" i="14" s="1"/>
  <c r="O325" i="14" s="1"/>
  <c r="N326" i="14"/>
  <c r="N325" i="14" s="1"/>
  <c r="L325" i="14"/>
  <c r="K325" i="14"/>
  <c r="J325" i="14"/>
  <c r="H325" i="14"/>
  <c r="G325" i="14"/>
  <c r="N324" i="14"/>
  <c r="N323" i="14" s="1"/>
  <c r="M324" i="14"/>
  <c r="M323" i="14" s="1"/>
  <c r="I324" i="14"/>
  <c r="O324" i="14" s="1"/>
  <c r="O323" i="14" s="1"/>
  <c r="L323" i="14"/>
  <c r="J323" i="14"/>
  <c r="J322" i="14" s="1"/>
  <c r="J321" i="14" s="1"/>
  <c r="J320" i="14" s="1"/>
  <c r="J319" i="14" s="1"/>
  <c r="H323" i="14"/>
  <c r="G323" i="14"/>
  <c r="K322" i="14"/>
  <c r="K321" i="14" s="1"/>
  <c r="K320" i="14" s="1"/>
  <c r="N316" i="14"/>
  <c r="I315" i="14"/>
  <c r="N315" i="14"/>
  <c r="N314" i="14" s="1"/>
  <c r="L312" i="14"/>
  <c r="G314" i="14"/>
  <c r="K313" i="14"/>
  <c r="K312" i="14" s="1"/>
  <c r="N311" i="14"/>
  <c r="M311" i="14"/>
  <c r="I311" i="14"/>
  <c r="O311" i="14" s="1"/>
  <c r="H310" i="14"/>
  <c r="N309" i="14"/>
  <c r="N308" i="14" s="1"/>
  <c r="N307" i="14" s="1"/>
  <c r="H309" i="14"/>
  <c r="G309" i="14"/>
  <c r="L308" i="14"/>
  <c r="L307" i="14" s="1"/>
  <c r="K308" i="14"/>
  <c r="J308" i="14"/>
  <c r="J307" i="14" s="1"/>
  <c r="H308" i="14"/>
  <c r="H307" i="14" s="1"/>
  <c r="K307" i="14"/>
  <c r="N306" i="14"/>
  <c r="N305" i="14" s="1"/>
  <c r="M306" i="14"/>
  <c r="L306" i="14"/>
  <c r="L305" i="14" s="1"/>
  <c r="I306" i="14"/>
  <c r="O306" i="14" s="1"/>
  <c r="O305" i="14" s="1"/>
  <c r="M305" i="14"/>
  <c r="J305" i="14"/>
  <c r="I305" i="14"/>
  <c r="H305" i="14"/>
  <c r="G305" i="14"/>
  <c r="N304" i="14"/>
  <c r="M304" i="14"/>
  <c r="O304" i="14" s="1"/>
  <c r="I304" i="14"/>
  <c r="N303" i="14"/>
  <c r="M303" i="14"/>
  <c r="K303" i="14"/>
  <c r="I303" i="14"/>
  <c r="O303" i="14" s="1"/>
  <c r="N302" i="14"/>
  <c r="L302" i="14"/>
  <c r="L301" i="14" s="1"/>
  <c r="L300" i="14" s="1"/>
  <c r="J302" i="14"/>
  <c r="I302" i="14"/>
  <c r="H302" i="14"/>
  <c r="G302" i="14"/>
  <c r="G301" i="14" s="1"/>
  <c r="G300" i="14" s="1"/>
  <c r="N301" i="14"/>
  <c r="N300" i="14" s="1"/>
  <c r="K301" i="14"/>
  <c r="K300" i="14" s="1"/>
  <c r="J301" i="14"/>
  <c r="J300" i="14" s="1"/>
  <c r="N298" i="14"/>
  <c r="M298" i="14"/>
  <c r="I298" i="14"/>
  <c r="O298" i="14" s="1"/>
  <c r="H297" i="14"/>
  <c r="N297" i="14" s="1"/>
  <c r="G297" i="14"/>
  <c r="M297" i="14" s="1"/>
  <c r="L295" i="14"/>
  <c r="L294" i="14" s="1"/>
  <c r="K295" i="14"/>
  <c r="K294" i="14" s="1"/>
  <c r="J295" i="14"/>
  <c r="J294" i="14" s="1"/>
  <c r="M293" i="14"/>
  <c r="M292" i="14" s="1"/>
  <c r="I293" i="14"/>
  <c r="I292" i="14" s="1"/>
  <c r="J292" i="14"/>
  <c r="G292" i="14"/>
  <c r="N291" i="14"/>
  <c r="M291" i="14"/>
  <c r="M290" i="14" s="1"/>
  <c r="L291" i="14"/>
  <c r="J291" i="14"/>
  <c r="I291" i="14"/>
  <c r="N290" i="14"/>
  <c r="L290" i="14"/>
  <c r="J290" i="14"/>
  <c r="I290" i="14"/>
  <c r="H290" i="14"/>
  <c r="G290" i="14"/>
  <c r="N288" i="14"/>
  <c r="M289" i="14"/>
  <c r="L289" i="14"/>
  <c r="M288" i="14"/>
  <c r="J288" i="14"/>
  <c r="I288" i="14"/>
  <c r="G288" i="14"/>
  <c r="M287" i="14"/>
  <c r="M285" i="14" s="1"/>
  <c r="N286" i="14"/>
  <c r="M286" i="14"/>
  <c r="L286" i="14"/>
  <c r="O286" i="14" s="1"/>
  <c r="L285" i="14"/>
  <c r="K285" i="14"/>
  <c r="J285" i="14"/>
  <c r="H285" i="14"/>
  <c r="H283" i="14" s="1"/>
  <c r="G285" i="14"/>
  <c r="K284" i="14"/>
  <c r="K283" i="14" s="1"/>
  <c r="K282" i="14" s="1"/>
  <c r="M280" i="14"/>
  <c r="M279" i="14" s="1"/>
  <c r="L279" i="14"/>
  <c r="J279" i="14"/>
  <c r="G279" i="14"/>
  <c r="G276" i="14" s="1"/>
  <c r="G275" i="14" s="1"/>
  <c r="G270" i="14" s="1"/>
  <c r="O277" i="14"/>
  <c r="N277" i="14"/>
  <c r="M277" i="14"/>
  <c r="L277" i="14"/>
  <c r="J277" i="14"/>
  <c r="I277" i="14"/>
  <c r="G277" i="14"/>
  <c r="M276" i="14"/>
  <c r="M275" i="14" s="1"/>
  <c r="M270" i="14" s="1"/>
  <c r="K276" i="14"/>
  <c r="K275" i="14" s="1"/>
  <c r="K270" i="14" s="1"/>
  <c r="J276" i="14"/>
  <c r="J275" i="14"/>
  <c r="J270" i="14" s="1"/>
  <c r="J255" i="14" s="1"/>
  <c r="O274" i="14"/>
  <c r="N274" i="14"/>
  <c r="I274" i="14"/>
  <c r="I273" i="14"/>
  <c r="O273" i="14" s="1"/>
  <c r="H273" i="14"/>
  <c r="N273" i="14" s="1"/>
  <c r="H272" i="14"/>
  <c r="N269" i="14"/>
  <c r="I269" i="14"/>
  <c r="O269" i="14" s="1"/>
  <c r="N268" i="14"/>
  <c r="I268" i="14"/>
  <c r="O268" i="14" s="1"/>
  <c r="O267" i="14"/>
  <c r="I267" i="14"/>
  <c r="O266" i="14"/>
  <c r="I266" i="14"/>
  <c r="O264" i="14"/>
  <c r="N264" i="14"/>
  <c r="M264" i="14"/>
  <c r="I264" i="14"/>
  <c r="O263" i="14"/>
  <c r="N263" i="14"/>
  <c r="M263" i="14"/>
  <c r="I263" i="14"/>
  <c r="H262" i="14"/>
  <c r="N262" i="14" s="1"/>
  <c r="G262" i="14"/>
  <c r="O259" i="14"/>
  <c r="N259" i="14"/>
  <c r="I259" i="14"/>
  <c r="O258" i="14"/>
  <c r="N258" i="14"/>
  <c r="N256" i="14" s="1"/>
  <c r="I258" i="14"/>
  <c r="N257" i="14"/>
  <c r="I257" i="14"/>
  <c r="O257" i="14" s="1"/>
  <c r="K255" i="14"/>
  <c r="O253" i="14"/>
  <c r="N253" i="14"/>
  <c r="M253" i="14"/>
  <c r="I253" i="14"/>
  <c r="O252" i="14"/>
  <c r="O251" i="14" s="1"/>
  <c r="O250" i="14" s="1"/>
  <c r="N252" i="14"/>
  <c r="N251" i="14" s="1"/>
  <c r="N250" i="14" s="1"/>
  <c r="M252" i="14"/>
  <c r="M251" i="14" s="1"/>
  <c r="M250" i="14" s="1"/>
  <c r="L252" i="14"/>
  <c r="J252" i="14"/>
  <c r="I252" i="14"/>
  <c r="I251" i="14" s="1"/>
  <c r="I250" i="14" s="1"/>
  <c r="G252" i="14"/>
  <c r="G251" i="14" s="1"/>
  <c r="G250" i="14" s="1"/>
  <c r="L251" i="14"/>
  <c r="L250" i="14" s="1"/>
  <c r="K251" i="14"/>
  <c r="J251" i="14"/>
  <c r="H251" i="14"/>
  <c r="H250" i="14" s="1"/>
  <c r="K250" i="14"/>
  <c r="J250" i="14"/>
  <c r="O249" i="14"/>
  <c r="N249" i="14"/>
  <c r="I249" i="14"/>
  <c r="O248" i="14"/>
  <c r="N248" i="14"/>
  <c r="I248" i="14"/>
  <c r="N246" i="14"/>
  <c r="M246" i="14"/>
  <c r="M245" i="14" s="1"/>
  <c r="M244" i="14" s="1"/>
  <c r="M243" i="14" s="1"/>
  <c r="I246" i="14"/>
  <c r="N245" i="14"/>
  <c r="L245" i="14"/>
  <c r="J245" i="14"/>
  <c r="G245" i="14"/>
  <c r="L244" i="14"/>
  <c r="L243" i="14" s="1"/>
  <c r="K244" i="14"/>
  <c r="K243" i="14" s="1"/>
  <c r="J244" i="14"/>
  <c r="J243" i="14" s="1"/>
  <c r="H244" i="14"/>
  <c r="N244" i="14" s="1"/>
  <c r="N243" i="14" s="1"/>
  <c r="G244" i="14"/>
  <c r="G243" i="14" s="1"/>
  <c r="O240" i="14"/>
  <c r="O239" i="14" s="1"/>
  <c r="O238" i="14" s="1"/>
  <c r="N240" i="14"/>
  <c r="N239" i="14" s="1"/>
  <c r="M240" i="14"/>
  <c r="L240" i="14"/>
  <c r="J240" i="14"/>
  <c r="I240" i="14"/>
  <c r="G240" i="14"/>
  <c r="G239" i="14" s="1"/>
  <c r="G238" i="14" s="1"/>
  <c r="M239" i="14"/>
  <c r="M238" i="14" s="1"/>
  <c r="L239" i="14"/>
  <c r="L238" i="14" s="1"/>
  <c r="K239" i="14"/>
  <c r="J239" i="14"/>
  <c r="J238" i="14" s="1"/>
  <c r="J237" i="14" s="1"/>
  <c r="I239" i="14"/>
  <c r="I238" i="14" s="1"/>
  <c r="H239" i="14"/>
  <c r="H238" i="14" s="1"/>
  <c r="N238" i="14"/>
  <c r="K238" i="14"/>
  <c r="K237" i="14"/>
  <c r="N236" i="14"/>
  <c r="M236" i="14"/>
  <c r="I236" i="14"/>
  <c r="O236" i="14" s="1"/>
  <c r="M235" i="14"/>
  <c r="H235" i="14"/>
  <c r="N235" i="14" s="1"/>
  <c r="G235" i="14"/>
  <c r="O234" i="14"/>
  <c r="N234" i="14"/>
  <c r="M234" i="14"/>
  <c r="N233" i="14"/>
  <c r="M233" i="14"/>
  <c r="I233" i="14"/>
  <c r="O233" i="14" s="1"/>
  <c r="H233" i="14"/>
  <c r="G233" i="14"/>
  <c r="H232" i="14"/>
  <c r="I232" i="14" s="1"/>
  <c r="O232" i="14" s="1"/>
  <c r="O231" i="14" s="1"/>
  <c r="G232" i="14"/>
  <c r="L231" i="14"/>
  <c r="K231" i="14"/>
  <c r="J231" i="14"/>
  <c r="N230" i="14"/>
  <c r="N229" i="14" s="1"/>
  <c r="N228" i="14" s="1"/>
  <c r="M230" i="14"/>
  <c r="O230" i="14" s="1"/>
  <c r="O229" i="14" s="1"/>
  <c r="O228" i="14" s="1"/>
  <c r="I230" i="14"/>
  <c r="M229" i="14"/>
  <c r="M228" i="14" s="1"/>
  <c r="L229" i="14"/>
  <c r="J229" i="14"/>
  <c r="J228" i="14" s="1"/>
  <c r="J220" i="14" s="1"/>
  <c r="I229" i="14"/>
  <c r="H229" i="14"/>
  <c r="H228" i="14" s="1"/>
  <c r="G229" i="14"/>
  <c r="L228" i="14"/>
  <c r="L220" i="14" s="1"/>
  <c r="K228" i="14"/>
  <c r="I228" i="14"/>
  <c r="G228" i="14"/>
  <c r="G220" i="14" s="1"/>
  <c r="N227" i="14"/>
  <c r="M227" i="14"/>
  <c r="I227" i="14"/>
  <c r="O227" i="14" s="1"/>
  <c r="N226" i="14"/>
  <c r="G226" i="14"/>
  <c r="H225" i="14"/>
  <c r="N225" i="14" s="1"/>
  <c r="G225" i="14"/>
  <c r="M225" i="14" s="1"/>
  <c r="N224" i="14"/>
  <c r="M224" i="14"/>
  <c r="N223" i="14"/>
  <c r="M223" i="14"/>
  <c r="O223" i="14" s="1"/>
  <c r="I223" i="14"/>
  <c r="L222" i="14"/>
  <c r="J222" i="14"/>
  <c r="I222" i="14"/>
  <c r="I221" i="14" s="1"/>
  <c r="H222" i="14"/>
  <c r="H221" i="14" s="1"/>
  <c r="G222" i="14"/>
  <c r="L221" i="14"/>
  <c r="K221" i="14"/>
  <c r="J221" i="14"/>
  <c r="G221" i="14"/>
  <c r="K220" i="14"/>
  <c r="N219" i="14"/>
  <c r="M219" i="14"/>
  <c r="L219" i="14"/>
  <c r="I219" i="14"/>
  <c r="O219" i="14" s="1"/>
  <c r="O218" i="14" s="1"/>
  <c r="N218" i="14"/>
  <c r="M218" i="14"/>
  <c r="L218" i="14"/>
  <c r="K218" i="14"/>
  <c r="J218" i="14"/>
  <c r="I218" i="14"/>
  <c r="H218" i="14"/>
  <c r="H211" i="14" s="1"/>
  <c r="G218" i="14"/>
  <c r="N217" i="14"/>
  <c r="M217" i="14"/>
  <c r="L217" i="14"/>
  <c r="I217" i="14"/>
  <c r="O217" i="14" s="1"/>
  <c r="N216" i="14"/>
  <c r="M216" i="14"/>
  <c r="L216" i="14"/>
  <c r="I216" i="14"/>
  <c r="O216" i="14" s="1"/>
  <c r="O215" i="14"/>
  <c r="N215" i="14"/>
  <c r="M215" i="14"/>
  <c r="L215" i="14"/>
  <c r="N214" i="14"/>
  <c r="J214" i="14"/>
  <c r="M214" i="14" s="1"/>
  <c r="I214" i="14"/>
  <c r="N213" i="14"/>
  <c r="M213" i="14"/>
  <c r="O213" i="14" s="1"/>
  <c r="I213" i="14"/>
  <c r="N212" i="14"/>
  <c r="M212" i="14"/>
  <c r="O212" i="14" s="1"/>
  <c r="I212" i="14"/>
  <c r="H212" i="14"/>
  <c r="K211" i="14"/>
  <c r="N211" i="14" s="1"/>
  <c r="N210" i="14" s="1"/>
  <c r="J211" i="14"/>
  <c r="J210" i="14" s="1"/>
  <c r="G211" i="14"/>
  <c r="G210" i="14" s="1"/>
  <c r="K210" i="14"/>
  <c r="K209" i="14" s="1"/>
  <c r="K208" i="14" s="1"/>
  <c r="H210" i="14"/>
  <c r="O207" i="14"/>
  <c r="N207" i="14"/>
  <c r="M207" i="14"/>
  <c r="I207" i="14"/>
  <c r="I206" i="14" s="1"/>
  <c r="I205" i="14" s="1"/>
  <c r="I204" i="14" s="1"/>
  <c r="I203" i="14" s="1"/>
  <c r="I202" i="14" s="1"/>
  <c r="O206" i="14"/>
  <c r="O205" i="14" s="1"/>
  <c r="O204" i="14" s="1"/>
  <c r="O203" i="14" s="1"/>
  <c r="O202" i="14" s="1"/>
  <c r="N206" i="14"/>
  <c r="M206" i="14"/>
  <c r="M205" i="14" s="1"/>
  <c r="M204" i="14" s="1"/>
  <c r="M203" i="14" s="1"/>
  <c r="M202" i="14" s="1"/>
  <c r="L206" i="14"/>
  <c r="L205" i="14" s="1"/>
  <c r="L204" i="14" s="1"/>
  <c r="L203" i="14" s="1"/>
  <c r="L202" i="14" s="1"/>
  <c r="J206" i="14"/>
  <c r="H206" i="14"/>
  <c r="G206" i="14"/>
  <c r="N205" i="14"/>
  <c r="N204" i="14" s="1"/>
  <c r="N203" i="14" s="1"/>
  <c r="N202" i="14" s="1"/>
  <c r="K205" i="14"/>
  <c r="K204" i="14" s="1"/>
  <c r="K203" i="14" s="1"/>
  <c r="K202" i="14" s="1"/>
  <c r="J205" i="14"/>
  <c r="J204" i="14" s="1"/>
  <c r="J203" i="14" s="1"/>
  <c r="J202" i="14" s="1"/>
  <c r="H205" i="14"/>
  <c r="H204" i="14" s="1"/>
  <c r="H203" i="14" s="1"/>
  <c r="H202" i="14" s="1"/>
  <c r="G205" i="14"/>
  <c r="G204" i="14" s="1"/>
  <c r="G203" i="14" s="1"/>
  <c r="G202" i="14" s="1"/>
  <c r="N201" i="14"/>
  <c r="M201" i="14"/>
  <c r="I201" i="14"/>
  <c r="O201" i="14" s="1"/>
  <c r="M200" i="14"/>
  <c r="I200" i="14"/>
  <c r="O200" i="14" s="1"/>
  <c r="H200" i="14"/>
  <c r="N200" i="14" s="1"/>
  <c r="G200" i="14"/>
  <c r="G199" i="14"/>
  <c r="M199" i="14" s="1"/>
  <c r="N197" i="14"/>
  <c r="O197" i="14" s="1"/>
  <c r="O196" i="14" s="1"/>
  <c r="O195" i="14" s="1"/>
  <c r="O194" i="14" s="1"/>
  <c r="O193" i="14" s="1"/>
  <c r="M197" i="14"/>
  <c r="I197" i="14"/>
  <c r="I196" i="14" s="1"/>
  <c r="I195" i="14" s="1"/>
  <c r="I194" i="14" s="1"/>
  <c r="I193" i="14" s="1"/>
  <c r="N196" i="14"/>
  <c r="M196" i="14"/>
  <c r="M195" i="14" s="1"/>
  <c r="M194" i="14" s="1"/>
  <c r="M193" i="14" s="1"/>
  <c r="L196" i="14"/>
  <c r="J196" i="14"/>
  <c r="J195" i="14" s="1"/>
  <c r="J194" i="14" s="1"/>
  <c r="J193" i="14" s="1"/>
  <c r="H196" i="14"/>
  <c r="H195" i="14" s="1"/>
  <c r="G196" i="14"/>
  <c r="G195" i="14" s="1"/>
  <c r="G194" i="14" s="1"/>
  <c r="G193" i="14" s="1"/>
  <c r="L195" i="14"/>
  <c r="L194" i="14" s="1"/>
  <c r="L193" i="14" s="1"/>
  <c r="K195" i="14"/>
  <c r="K194" i="14"/>
  <c r="K193" i="14"/>
  <c r="M192" i="14"/>
  <c r="I192" i="14"/>
  <c r="O192" i="14" s="1"/>
  <c r="O191" i="14" s="1"/>
  <c r="O190" i="14" s="1"/>
  <c r="N192" i="14"/>
  <c r="N191" i="14" s="1"/>
  <c r="N190" i="14" s="1"/>
  <c r="M191" i="14"/>
  <c r="M190" i="14" s="1"/>
  <c r="L191" i="14"/>
  <c r="J191" i="14"/>
  <c r="H191" i="14"/>
  <c r="H190" i="14" s="1"/>
  <c r="G191" i="14"/>
  <c r="G190" i="14" s="1"/>
  <c r="L190" i="14"/>
  <c r="K190" i="14"/>
  <c r="K189" i="14" s="1"/>
  <c r="J190" i="14"/>
  <c r="N189" i="14"/>
  <c r="O188" i="14" s="1"/>
  <c r="N188" i="14"/>
  <c r="M188" i="14"/>
  <c r="L188" i="14"/>
  <c r="J188" i="14"/>
  <c r="H188" i="14"/>
  <c r="G188" i="14"/>
  <c r="N187" i="14"/>
  <c r="N186" i="14" s="1"/>
  <c r="M187" i="14"/>
  <c r="M186" i="14" s="1"/>
  <c r="L187" i="14"/>
  <c r="I187" i="14"/>
  <c r="O187" i="14" s="1"/>
  <c r="O186" i="14" s="1"/>
  <c r="L186" i="14"/>
  <c r="K186" i="14"/>
  <c r="J186" i="14"/>
  <c r="J182" i="14" s="1"/>
  <c r="I186" i="14"/>
  <c r="H186" i="14"/>
  <c r="G186" i="14"/>
  <c r="O185" i="14"/>
  <c r="N185" i="14"/>
  <c r="M185" i="14"/>
  <c r="L185" i="14"/>
  <c r="I185" i="14"/>
  <c r="M184" i="14"/>
  <c r="M183" i="14" s="1"/>
  <c r="L184" i="14"/>
  <c r="K184" i="14"/>
  <c r="N184" i="14"/>
  <c r="N183" i="14" s="1"/>
  <c r="L183" i="14"/>
  <c r="L182" i="14" s="1"/>
  <c r="L181" i="14" s="1"/>
  <c r="L180" i="14" s="1"/>
  <c r="L179" i="14" s="1"/>
  <c r="K183" i="14"/>
  <c r="K182" i="14" s="1"/>
  <c r="K181" i="14" s="1"/>
  <c r="J183" i="14"/>
  <c r="H183" i="14"/>
  <c r="H182" i="14" s="1"/>
  <c r="G183" i="14"/>
  <c r="G182" i="14" s="1"/>
  <c r="N178" i="14"/>
  <c r="M178" i="14"/>
  <c r="I178" i="14"/>
  <c r="O178" i="14" s="1"/>
  <c r="M177" i="14"/>
  <c r="I177" i="14"/>
  <c r="O177" i="14" s="1"/>
  <c r="H177" i="14"/>
  <c r="N177" i="14" s="1"/>
  <c r="G177" i="14"/>
  <c r="N176" i="14"/>
  <c r="O176" i="14" s="1"/>
  <c r="O175" i="14" s="1"/>
  <c r="M176" i="14"/>
  <c r="M175" i="14" s="1"/>
  <c r="L176" i="14"/>
  <c r="I176" i="14"/>
  <c r="I175" i="14" s="1"/>
  <c r="I174" i="14" s="1"/>
  <c r="L175" i="14"/>
  <c r="K175" i="14"/>
  <c r="J175" i="14"/>
  <c r="G175" i="14"/>
  <c r="L174" i="14"/>
  <c r="K174" i="14"/>
  <c r="K173" i="14" s="1"/>
  <c r="K172" i="14" s="1"/>
  <c r="K171" i="14" s="1"/>
  <c r="J174" i="14"/>
  <c r="H174" i="14"/>
  <c r="G174" i="14"/>
  <c r="G173" i="14" s="1"/>
  <c r="G172" i="14" s="1"/>
  <c r="G171" i="14" s="1"/>
  <c r="L173" i="14"/>
  <c r="L172" i="14" s="1"/>
  <c r="L171" i="14" s="1"/>
  <c r="J173" i="14"/>
  <c r="H173" i="14"/>
  <c r="H172" i="14" s="1"/>
  <c r="H171" i="14" s="1"/>
  <c r="J172" i="14"/>
  <c r="J171" i="14"/>
  <c r="O168" i="14"/>
  <c r="N168" i="14"/>
  <c r="N167" i="14" s="1"/>
  <c r="N166" i="14" s="1"/>
  <c r="M168" i="14"/>
  <c r="M167" i="14" s="1"/>
  <c r="M166" i="14" s="1"/>
  <c r="L168" i="14"/>
  <c r="L167" i="14" s="1"/>
  <c r="L166" i="14" s="1"/>
  <c r="J168" i="14"/>
  <c r="I168" i="14"/>
  <c r="G168" i="14"/>
  <c r="O167" i="14"/>
  <c r="O166" i="14" s="1"/>
  <c r="K167" i="14"/>
  <c r="K166" i="14" s="1"/>
  <c r="J167" i="14"/>
  <c r="J166" i="14" s="1"/>
  <c r="I167" i="14"/>
  <c r="H167" i="14"/>
  <c r="G167" i="14"/>
  <c r="G166" i="14" s="1"/>
  <c r="I166" i="14"/>
  <c r="H166" i="14"/>
  <c r="O164" i="14"/>
  <c r="O163" i="14" s="1"/>
  <c r="O162" i="14" s="1"/>
  <c r="N164" i="14"/>
  <c r="N163" i="14" s="1"/>
  <c r="N162" i="14" s="1"/>
  <c r="M164" i="14"/>
  <c r="M163" i="14" s="1"/>
  <c r="M162" i="14" s="1"/>
  <c r="L164" i="14"/>
  <c r="L163" i="14" s="1"/>
  <c r="L162" i="14" s="1"/>
  <c r="J164" i="14"/>
  <c r="I164" i="14"/>
  <c r="G164" i="14"/>
  <c r="G163" i="14" s="1"/>
  <c r="G162" i="14" s="1"/>
  <c r="K163" i="14"/>
  <c r="J163" i="14"/>
  <c r="J162" i="14" s="1"/>
  <c r="I163" i="14"/>
  <c r="H163" i="14"/>
  <c r="H162" i="14" s="1"/>
  <c r="K162" i="14"/>
  <c r="I162" i="14"/>
  <c r="N161" i="14"/>
  <c r="O160" i="14" s="1"/>
  <c r="I160" i="14"/>
  <c r="M160" i="14"/>
  <c r="L160" i="14"/>
  <c r="J160" i="14"/>
  <c r="H160" i="14"/>
  <c r="G160" i="14"/>
  <c r="G157" i="14" s="1"/>
  <c r="G156" i="14" s="1"/>
  <c r="G155" i="14" s="1"/>
  <c r="G154" i="14" s="1"/>
  <c r="N159" i="14"/>
  <c r="N158" i="14" s="1"/>
  <c r="M159" i="14"/>
  <c r="M158" i="14" s="1"/>
  <c r="I159" i="14"/>
  <c r="O159" i="14" s="1"/>
  <c r="O158" i="14" s="1"/>
  <c r="L158" i="14"/>
  <c r="J158" i="14"/>
  <c r="I158" i="14"/>
  <c r="H158" i="14"/>
  <c r="H157" i="14" s="1"/>
  <c r="H156" i="14" s="1"/>
  <c r="H155" i="14" s="1"/>
  <c r="H154" i="14" s="1"/>
  <c r="G158" i="14"/>
  <c r="L157" i="14"/>
  <c r="K157" i="14"/>
  <c r="J157" i="14"/>
  <c r="J156" i="14" s="1"/>
  <c r="L156" i="14"/>
  <c r="K156" i="14"/>
  <c r="K155" i="14"/>
  <c r="K154" i="14" s="1"/>
  <c r="O152" i="14"/>
  <c r="O151" i="14" s="1"/>
  <c r="O150" i="14" s="1"/>
  <c r="N152" i="14"/>
  <c r="N151" i="14" s="1"/>
  <c r="N150" i="14" s="1"/>
  <c r="M152" i="14"/>
  <c r="M151" i="14" s="1"/>
  <c r="M150" i="14" s="1"/>
  <c r="L152" i="14"/>
  <c r="J152" i="14"/>
  <c r="I152" i="14"/>
  <c r="I151" i="14" s="1"/>
  <c r="I150" i="14" s="1"/>
  <c r="G152" i="14"/>
  <c r="G151" i="14" s="1"/>
  <c r="G150" i="14" s="1"/>
  <c r="L151" i="14"/>
  <c r="L150" i="14" s="1"/>
  <c r="K151" i="14"/>
  <c r="J151" i="14"/>
  <c r="H151" i="14"/>
  <c r="H150" i="14" s="1"/>
  <c r="K150" i="14"/>
  <c r="J150" i="14"/>
  <c r="O149" i="14"/>
  <c r="N149" i="14"/>
  <c r="M149" i="14"/>
  <c r="I149" i="14"/>
  <c r="O148" i="14"/>
  <c r="N148" i="14"/>
  <c r="M148" i="14"/>
  <c r="L148" i="14"/>
  <c r="J148" i="14"/>
  <c r="I148" i="14"/>
  <c r="I147" i="14" s="1"/>
  <c r="I146" i="14" s="1"/>
  <c r="H148" i="14"/>
  <c r="G148" i="14"/>
  <c r="O147" i="14"/>
  <c r="N147" i="14"/>
  <c r="N146" i="14" s="1"/>
  <c r="M147" i="14"/>
  <c r="M146" i="14" s="1"/>
  <c r="L147" i="14"/>
  <c r="L146" i="14" s="1"/>
  <c r="K147" i="14"/>
  <c r="J147" i="14"/>
  <c r="J146" i="14" s="1"/>
  <c r="H147" i="14"/>
  <c r="H146" i="14" s="1"/>
  <c r="H125" i="14" s="1"/>
  <c r="G147" i="14"/>
  <c r="G146" i="14" s="1"/>
  <c r="O146" i="14"/>
  <c r="K146" i="14"/>
  <c r="N145" i="14"/>
  <c r="M145" i="14"/>
  <c r="I145" i="14"/>
  <c r="O145" i="14" s="1"/>
  <c r="N144" i="14"/>
  <c r="M144" i="14"/>
  <c r="I144" i="14"/>
  <c r="O144" i="14" s="1"/>
  <c r="N143" i="14"/>
  <c r="M143" i="14"/>
  <c r="I143" i="14"/>
  <c r="O143" i="14" s="1"/>
  <c r="N142" i="14"/>
  <c r="M142" i="14"/>
  <c r="I142" i="14"/>
  <c r="O142" i="14" s="1"/>
  <c r="M141" i="14"/>
  <c r="I140" i="14"/>
  <c r="I139" i="14" s="1"/>
  <c r="G141" i="14"/>
  <c r="O140" i="14"/>
  <c r="O139" i="14" s="1"/>
  <c r="N140" i="14"/>
  <c r="N139" i="14" s="1"/>
  <c r="M140" i="14"/>
  <c r="M139" i="14" s="1"/>
  <c r="L140" i="14"/>
  <c r="L139" i="14" s="1"/>
  <c r="J140" i="14"/>
  <c r="G140" i="14"/>
  <c r="G139" i="14" s="1"/>
  <c r="K139" i="14"/>
  <c r="K138" i="14" s="1"/>
  <c r="K125" i="14" s="1"/>
  <c r="K124" i="14" s="1"/>
  <c r="K117" i="14" s="1"/>
  <c r="K116" i="14" s="1"/>
  <c r="J139" i="14"/>
  <c r="H139" i="14"/>
  <c r="M138" i="14"/>
  <c r="I137" i="14"/>
  <c r="I136" i="14" s="1"/>
  <c r="G138" i="14"/>
  <c r="O137" i="14"/>
  <c r="O136" i="14" s="1"/>
  <c r="N137" i="14"/>
  <c r="N136" i="14" s="1"/>
  <c r="M137" i="14"/>
  <c r="L137" i="14"/>
  <c r="J137" i="14"/>
  <c r="G137" i="14"/>
  <c r="G136" i="14" s="1"/>
  <c r="M136" i="14"/>
  <c r="L136" i="14"/>
  <c r="K136" i="14"/>
  <c r="J136" i="14"/>
  <c r="H136" i="14"/>
  <c r="O134" i="14"/>
  <c r="N134" i="14"/>
  <c r="M134" i="14"/>
  <c r="L134" i="14"/>
  <c r="J134" i="14"/>
  <c r="J127" i="14" s="1"/>
  <c r="I134" i="14"/>
  <c r="G134" i="14"/>
  <c r="N133" i="14"/>
  <c r="N132" i="14" s="1"/>
  <c r="M133" i="14"/>
  <c r="M132" i="14" s="1"/>
  <c r="I133" i="14"/>
  <c r="L132" i="14"/>
  <c r="J132" i="14"/>
  <c r="I132" i="14"/>
  <c r="I127" i="14" s="1"/>
  <c r="H132" i="14"/>
  <c r="G132" i="14"/>
  <c r="G127" i="14" s="1"/>
  <c r="N130" i="14"/>
  <c r="M130" i="14"/>
  <c r="I130" i="14"/>
  <c r="O130" i="14" s="1"/>
  <c r="N129" i="14"/>
  <c r="N128" i="14" s="1"/>
  <c r="M129" i="14"/>
  <c r="I129" i="14"/>
  <c r="O129" i="14" s="1"/>
  <c r="M128" i="14"/>
  <c r="L128" i="14"/>
  <c r="J128" i="14"/>
  <c r="I128" i="14"/>
  <c r="O128" i="14" s="1"/>
  <c r="H128" i="14"/>
  <c r="H127" i="14" s="1"/>
  <c r="H126" i="14" s="1"/>
  <c r="G128" i="14"/>
  <c r="L127" i="14"/>
  <c r="K127" i="14"/>
  <c r="K126" i="14"/>
  <c r="N123" i="14"/>
  <c r="M123" i="14"/>
  <c r="I123" i="14"/>
  <c r="O123" i="14" s="1"/>
  <c r="N122" i="14"/>
  <c r="M122" i="14"/>
  <c r="I122" i="14"/>
  <c r="O122" i="14" s="1"/>
  <c r="N121" i="14"/>
  <c r="M121" i="14"/>
  <c r="I121" i="14"/>
  <c r="O121" i="14" s="1"/>
  <c r="H121" i="14"/>
  <c r="O120" i="14"/>
  <c r="N120" i="14"/>
  <c r="N119" i="14" s="1"/>
  <c r="M120" i="14"/>
  <c r="I120" i="14"/>
  <c r="H120" i="14"/>
  <c r="O119" i="14"/>
  <c r="M119" i="14"/>
  <c r="L119" i="14"/>
  <c r="K119" i="14"/>
  <c r="J119" i="14"/>
  <c r="I119" i="14"/>
  <c r="H119" i="14"/>
  <c r="G119" i="14"/>
  <c r="M118" i="14"/>
  <c r="I118" i="14"/>
  <c r="O118" i="14" s="1"/>
  <c r="H118" i="14"/>
  <c r="N118" i="14" s="1"/>
  <c r="N116" i="14"/>
  <c r="N115" i="14" s="1"/>
  <c r="N114" i="14" s="1"/>
  <c r="N113" i="14" s="1"/>
  <c r="M116" i="14"/>
  <c r="I116" i="14"/>
  <c r="I115" i="14" s="1"/>
  <c r="I114" i="14" s="1"/>
  <c r="I113" i="14" s="1"/>
  <c r="M115" i="14"/>
  <c r="M114" i="14" s="1"/>
  <c r="M113" i="14" s="1"/>
  <c r="L115" i="14"/>
  <c r="J115" i="14"/>
  <c r="J114" i="14" s="1"/>
  <c r="J113" i="14" s="1"/>
  <c r="H115" i="14"/>
  <c r="H114" i="14" s="1"/>
  <c r="H113" i="14" s="1"/>
  <c r="G115" i="14"/>
  <c r="G114" i="14" s="1"/>
  <c r="G113" i="14" s="1"/>
  <c r="L114" i="14"/>
  <c r="L113" i="14" s="1"/>
  <c r="K114" i="14"/>
  <c r="K113" i="14"/>
  <c r="N112" i="14"/>
  <c r="O112" i="14" s="1"/>
  <c r="O111" i="14" s="1"/>
  <c r="O110" i="14" s="1"/>
  <c r="O109" i="14" s="1"/>
  <c r="M112" i="14"/>
  <c r="I112" i="14"/>
  <c r="I111" i="14" s="1"/>
  <c r="I110" i="14" s="1"/>
  <c r="I109" i="14" s="1"/>
  <c r="M111" i="14"/>
  <c r="M110" i="14" s="1"/>
  <c r="M109" i="14" s="1"/>
  <c r="L111" i="14"/>
  <c r="L110" i="14" s="1"/>
  <c r="L109" i="14" s="1"/>
  <c r="K111" i="14"/>
  <c r="J111" i="14"/>
  <c r="J110" i="14" s="1"/>
  <c r="J109" i="14" s="1"/>
  <c r="H111" i="14"/>
  <c r="H110" i="14" s="1"/>
  <c r="H109" i="14" s="1"/>
  <c r="G111" i="14"/>
  <c r="G110" i="14" s="1"/>
  <c r="G109" i="14" s="1"/>
  <c r="K110" i="14"/>
  <c r="K109" i="14" s="1"/>
  <c r="K108" i="14"/>
  <c r="O107" i="14"/>
  <c r="O106" i="14" s="1"/>
  <c r="O105" i="14" s="1"/>
  <c r="N107" i="14"/>
  <c r="N106" i="14" s="1"/>
  <c r="N105" i="14" s="1"/>
  <c r="M107" i="14"/>
  <c r="M106" i="14" s="1"/>
  <c r="M105" i="14" s="1"/>
  <c r="L107" i="14"/>
  <c r="J107" i="14"/>
  <c r="J106" i="14" s="1"/>
  <c r="J105" i="14" s="1"/>
  <c r="I107" i="14"/>
  <c r="I106" i="14" s="1"/>
  <c r="I105" i="14" s="1"/>
  <c r="G107" i="14"/>
  <c r="L106" i="14"/>
  <c r="K106" i="14"/>
  <c r="H106" i="14"/>
  <c r="G106" i="14"/>
  <c r="L105" i="14"/>
  <c r="K105" i="14"/>
  <c r="H105" i="14"/>
  <c r="G105" i="14"/>
  <c r="N104" i="14"/>
  <c r="M104" i="14"/>
  <c r="I104" i="14"/>
  <c r="O104" i="14" s="1"/>
  <c r="M103" i="14"/>
  <c r="M102" i="14" s="1"/>
  <c r="M98" i="14" s="1"/>
  <c r="N103" i="14"/>
  <c r="N102" i="14" s="1"/>
  <c r="N98" i="14" s="1"/>
  <c r="L102" i="14"/>
  <c r="J102" i="14"/>
  <c r="H102" i="14"/>
  <c r="H98" i="14" s="1"/>
  <c r="G102" i="14"/>
  <c r="N101" i="14"/>
  <c r="I101" i="14"/>
  <c r="O101" i="14" s="1"/>
  <c r="O100" i="14"/>
  <c r="N100" i="14"/>
  <c r="M100" i="14"/>
  <c r="I100" i="14"/>
  <c r="I99" i="14" s="1"/>
  <c r="O99" i="14"/>
  <c r="N99" i="14"/>
  <c r="M99" i="14"/>
  <c r="L99" i="14"/>
  <c r="J99" i="14"/>
  <c r="J98" i="14" s="1"/>
  <c r="H99" i="14"/>
  <c r="G99" i="14"/>
  <c r="L98" i="14"/>
  <c r="L92" i="14" s="1"/>
  <c r="K98" i="14"/>
  <c r="G98" i="14"/>
  <c r="M96" i="14"/>
  <c r="I96" i="14"/>
  <c r="O96" i="14" s="1"/>
  <c r="N96" i="14"/>
  <c r="N95" i="14"/>
  <c r="M95" i="14"/>
  <c r="M94" i="14" s="1"/>
  <c r="M93" i="14" s="1"/>
  <c r="I95" i="14"/>
  <c r="O95" i="14" s="1"/>
  <c r="O94" i="14" s="1"/>
  <c r="O93" i="14" s="1"/>
  <c r="L94" i="14"/>
  <c r="J94" i="14"/>
  <c r="H94" i="14"/>
  <c r="H93" i="14" s="1"/>
  <c r="G94" i="14"/>
  <c r="L93" i="14"/>
  <c r="K93" i="14"/>
  <c r="K92" i="14" s="1"/>
  <c r="K91" i="14" s="1"/>
  <c r="J93" i="14"/>
  <c r="G93" i="14"/>
  <c r="G92" i="14" s="1"/>
  <c r="G91" i="14" s="1"/>
  <c r="N90" i="14"/>
  <c r="M90" i="14"/>
  <c r="L90" i="14"/>
  <c r="O90" i="14" s="1"/>
  <c r="L89" i="14"/>
  <c r="O89" i="14" s="1"/>
  <c r="K89" i="14"/>
  <c r="N89" i="14" s="1"/>
  <c r="J89" i="14"/>
  <c r="J88" i="14" s="1"/>
  <c r="M88" i="14" s="1"/>
  <c r="N86" i="14"/>
  <c r="M86" i="14"/>
  <c r="M85" i="14" s="1"/>
  <c r="M84" i="14" s="1"/>
  <c r="I86" i="14"/>
  <c r="O86" i="14" s="1"/>
  <c r="O85" i="14" s="1"/>
  <c r="O84" i="14" s="1"/>
  <c r="N85" i="14"/>
  <c r="N84" i="14" s="1"/>
  <c r="L85" i="14"/>
  <c r="J85" i="14"/>
  <c r="I85" i="14"/>
  <c r="I84" i="14" s="1"/>
  <c r="I83" i="14" s="1"/>
  <c r="H85" i="14"/>
  <c r="H84" i="14" s="1"/>
  <c r="H83" i="14" s="1"/>
  <c r="G85" i="14"/>
  <c r="G84" i="14" s="1"/>
  <c r="G83" i="14" s="1"/>
  <c r="L84" i="14"/>
  <c r="K84" i="14"/>
  <c r="J84" i="14"/>
  <c r="O81" i="14"/>
  <c r="O80" i="14" s="1"/>
  <c r="O79" i="14" s="1"/>
  <c r="N81" i="14"/>
  <c r="M81" i="14"/>
  <c r="M80" i="14" s="1"/>
  <c r="M79" i="14" s="1"/>
  <c r="L81" i="14"/>
  <c r="J81" i="14"/>
  <c r="J80" i="14" s="1"/>
  <c r="J79" i="14" s="1"/>
  <c r="I81" i="14"/>
  <c r="G81" i="14"/>
  <c r="N80" i="14"/>
  <c r="N79" i="14" s="1"/>
  <c r="L80" i="14"/>
  <c r="L79" i="14" s="1"/>
  <c r="K80" i="14"/>
  <c r="K79" i="14" s="1"/>
  <c r="I80" i="14"/>
  <c r="H80" i="14"/>
  <c r="H79" i="14" s="1"/>
  <c r="G80" i="14"/>
  <c r="G79" i="14" s="1"/>
  <c r="I79" i="14"/>
  <c r="O77" i="14"/>
  <c r="N77" i="14"/>
  <c r="N73" i="14" s="1"/>
  <c r="N72" i="14" s="1"/>
  <c r="M77" i="14"/>
  <c r="L77" i="14"/>
  <c r="J77" i="14"/>
  <c r="I77" i="14"/>
  <c r="G77" i="14"/>
  <c r="N76" i="14"/>
  <c r="M76" i="14"/>
  <c r="I76" i="14"/>
  <c r="I74" i="14" s="1"/>
  <c r="I73" i="14" s="1"/>
  <c r="M75" i="14"/>
  <c r="I75" i="14"/>
  <c r="O75" i="14" s="1"/>
  <c r="N74" i="14"/>
  <c r="L74" i="14"/>
  <c r="J74" i="14"/>
  <c r="J73" i="14" s="1"/>
  <c r="J72" i="14" s="1"/>
  <c r="H74" i="14"/>
  <c r="G74" i="14"/>
  <c r="G73" i="14" s="1"/>
  <c r="G72" i="14" s="1"/>
  <c r="L73" i="14"/>
  <c r="K73" i="14"/>
  <c r="K72" i="14" s="1"/>
  <c r="H73" i="14"/>
  <c r="H72" i="14" s="1"/>
  <c r="L72" i="14"/>
  <c r="I72" i="14"/>
  <c r="O69" i="14"/>
  <c r="O68" i="14" s="1"/>
  <c r="O67" i="14" s="1"/>
  <c r="O66" i="14" s="1"/>
  <c r="N69" i="14"/>
  <c r="N68" i="14" s="1"/>
  <c r="N67" i="14" s="1"/>
  <c r="N66" i="14" s="1"/>
  <c r="M69" i="14"/>
  <c r="L69" i="14"/>
  <c r="L68" i="14" s="1"/>
  <c r="L67" i="14" s="1"/>
  <c r="L66" i="14" s="1"/>
  <c r="J69" i="14"/>
  <c r="J68" i="14" s="1"/>
  <c r="J67" i="14" s="1"/>
  <c r="J66" i="14" s="1"/>
  <c r="I69" i="14"/>
  <c r="I68" i="14" s="1"/>
  <c r="I67" i="14" s="1"/>
  <c r="I66" i="14" s="1"/>
  <c r="G69" i="14"/>
  <c r="M68" i="14"/>
  <c r="M67" i="14" s="1"/>
  <c r="M66" i="14" s="1"/>
  <c r="K68" i="14"/>
  <c r="H68" i="14"/>
  <c r="H67" i="14" s="1"/>
  <c r="H66" i="14" s="1"/>
  <c r="G68" i="14"/>
  <c r="G67" i="14" s="1"/>
  <c r="G66" i="14" s="1"/>
  <c r="K67" i="14"/>
  <c r="K66" i="14" s="1"/>
  <c r="O64" i="14"/>
  <c r="O63" i="14" s="1"/>
  <c r="O62" i="14" s="1"/>
  <c r="O61" i="14" s="1"/>
  <c r="N64" i="14"/>
  <c r="M64" i="14"/>
  <c r="M63" i="14" s="1"/>
  <c r="M62" i="14" s="1"/>
  <c r="M61" i="14" s="1"/>
  <c r="L64" i="14"/>
  <c r="L63" i="14" s="1"/>
  <c r="L62" i="14" s="1"/>
  <c r="L61" i="14" s="1"/>
  <c r="J64" i="14"/>
  <c r="J63" i="14" s="1"/>
  <c r="J62" i="14" s="1"/>
  <c r="J61" i="14" s="1"/>
  <c r="I64" i="14"/>
  <c r="G64" i="14"/>
  <c r="N63" i="14"/>
  <c r="N62" i="14" s="1"/>
  <c r="N61" i="14" s="1"/>
  <c r="K63" i="14"/>
  <c r="K62" i="14" s="1"/>
  <c r="K61" i="14" s="1"/>
  <c r="I63" i="14"/>
  <c r="H63" i="14"/>
  <c r="H62" i="14" s="1"/>
  <c r="H61" i="14" s="1"/>
  <c r="G63" i="14"/>
  <c r="G62" i="14" s="1"/>
  <c r="G61" i="14" s="1"/>
  <c r="I62" i="14"/>
  <c r="I61" i="14" s="1"/>
  <c r="N59" i="14"/>
  <c r="M59" i="14"/>
  <c r="I59" i="14"/>
  <c r="I58" i="14" s="1"/>
  <c r="I57" i="14" s="1"/>
  <c r="I56" i="14" s="1"/>
  <c r="I55" i="14" s="1"/>
  <c r="N58" i="14"/>
  <c r="N57" i="14" s="1"/>
  <c r="N56" i="14" s="1"/>
  <c r="N55" i="14" s="1"/>
  <c r="M58" i="14"/>
  <c r="M57" i="14" s="1"/>
  <c r="M56" i="14" s="1"/>
  <c r="M55" i="14" s="1"/>
  <c r="L58" i="14"/>
  <c r="L57" i="14" s="1"/>
  <c r="L56" i="14" s="1"/>
  <c r="L55" i="14" s="1"/>
  <c r="J58" i="14"/>
  <c r="J57" i="14" s="1"/>
  <c r="J56" i="14" s="1"/>
  <c r="J55" i="14" s="1"/>
  <c r="H58" i="14"/>
  <c r="G58" i="14"/>
  <c r="G57" i="14" s="1"/>
  <c r="G56" i="14" s="1"/>
  <c r="G55" i="14" s="1"/>
  <c r="K57" i="14"/>
  <c r="K56" i="14" s="1"/>
  <c r="K55" i="14" s="1"/>
  <c r="H57" i="14"/>
  <c r="H56" i="14" s="1"/>
  <c r="H55" i="14" s="1"/>
  <c r="O53" i="14"/>
  <c r="N53" i="14"/>
  <c r="M53" i="14"/>
  <c r="L53" i="14"/>
  <c r="J53" i="14"/>
  <c r="J48" i="14" s="1"/>
  <c r="J42" i="14" s="1"/>
  <c r="J41" i="14" s="1"/>
  <c r="I53" i="14"/>
  <c r="I48" i="14" s="1"/>
  <c r="G53" i="14"/>
  <c r="G48" i="14" s="1"/>
  <c r="K52" i="14"/>
  <c r="K47" i="14" s="1"/>
  <c r="K41" i="14" s="1"/>
  <c r="H52" i="14"/>
  <c r="N51" i="14"/>
  <c r="L51" i="14"/>
  <c r="N50" i="14"/>
  <c r="O50" i="14" s="1"/>
  <c r="O49" i="14" s="1"/>
  <c r="L50" i="14"/>
  <c r="L49" i="14" s="1"/>
  <c r="M49" i="14"/>
  <c r="J49" i="14"/>
  <c r="I49" i="14"/>
  <c r="G49" i="14"/>
  <c r="N48" i="14"/>
  <c r="K48" i="14"/>
  <c r="H48" i="14"/>
  <c r="N47" i="14"/>
  <c r="M47" i="14"/>
  <c r="I47" i="14"/>
  <c r="O47" i="14" s="1"/>
  <c r="O46" i="14"/>
  <c r="N46" i="14"/>
  <c r="M46" i="14"/>
  <c r="M45" i="14"/>
  <c r="I45" i="14"/>
  <c r="I44" i="14" s="1"/>
  <c r="I43" i="14" s="1"/>
  <c r="L44" i="14"/>
  <c r="L43" i="14" s="1"/>
  <c r="J44" i="14"/>
  <c r="G44" i="14"/>
  <c r="G43" i="14" s="1"/>
  <c r="K43" i="14"/>
  <c r="J43" i="14"/>
  <c r="K42" i="14"/>
  <c r="O40" i="14"/>
  <c r="O39" i="14" s="1"/>
  <c r="O38" i="14" s="1"/>
  <c r="O37" i="14" s="1"/>
  <c r="O36" i="14" s="1"/>
  <c r="N40" i="14"/>
  <c r="M40" i="14"/>
  <c r="I40" i="14"/>
  <c r="I39" i="14" s="1"/>
  <c r="I38" i="14" s="1"/>
  <c r="I37" i="14" s="1"/>
  <c r="I36" i="14" s="1"/>
  <c r="N39" i="14"/>
  <c r="M39" i="14"/>
  <c r="M38" i="14" s="1"/>
  <c r="M37" i="14" s="1"/>
  <c r="M36" i="14" s="1"/>
  <c r="L39" i="14"/>
  <c r="L38" i="14" s="1"/>
  <c r="L37" i="14" s="1"/>
  <c r="L36" i="14" s="1"/>
  <c r="J39" i="14"/>
  <c r="G39" i="14"/>
  <c r="N38" i="14"/>
  <c r="N37" i="14" s="1"/>
  <c r="N36" i="14" s="1"/>
  <c r="K38" i="14"/>
  <c r="J38" i="14"/>
  <c r="J37" i="14" s="1"/>
  <c r="J36" i="14" s="1"/>
  <c r="H38" i="14"/>
  <c r="H37" i="14" s="1"/>
  <c r="H36" i="14" s="1"/>
  <c r="G38" i="14"/>
  <c r="G37" i="14" s="1"/>
  <c r="G36" i="14" s="1"/>
  <c r="K37" i="14"/>
  <c r="K36" i="14" s="1"/>
  <c r="O32" i="14"/>
  <c r="O31" i="14" s="1"/>
  <c r="O30" i="14" s="1"/>
  <c r="O29" i="14" s="1"/>
  <c r="N33" i="14"/>
  <c r="I32" i="14"/>
  <c r="I31" i="14" s="1"/>
  <c r="I30" i="14" s="1"/>
  <c r="I29" i="14" s="1"/>
  <c r="N32" i="14"/>
  <c r="N31" i="14" s="1"/>
  <c r="N30" i="14" s="1"/>
  <c r="N29" i="14" s="1"/>
  <c r="M32" i="14"/>
  <c r="M31" i="14" s="1"/>
  <c r="M30" i="14" s="1"/>
  <c r="M29" i="14" s="1"/>
  <c r="L32" i="14"/>
  <c r="L31" i="14" s="1"/>
  <c r="L30" i="14" s="1"/>
  <c r="L29" i="14" s="1"/>
  <c r="J32" i="14"/>
  <c r="H32" i="14"/>
  <c r="H31" i="14" s="1"/>
  <c r="H30" i="14" s="1"/>
  <c r="H29" i="14" s="1"/>
  <c r="G32" i="14"/>
  <c r="G31" i="14" s="1"/>
  <c r="G30" i="14" s="1"/>
  <c r="G29" i="14" s="1"/>
  <c r="K31" i="14"/>
  <c r="J31" i="14"/>
  <c r="J30" i="14" s="1"/>
  <c r="J29" i="14" s="1"/>
  <c r="K30" i="14"/>
  <c r="K29" i="14"/>
  <c r="O28" i="14"/>
  <c r="O27" i="14" s="1"/>
  <c r="O26" i="14" s="1"/>
  <c r="O25" i="14" s="1"/>
  <c r="O24" i="14" s="1"/>
  <c r="M28" i="14"/>
  <c r="I28" i="14"/>
  <c r="I27" i="14" s="1"/>
  <c r="I26" i="14" s="1"/>
  <c r="I25" i="14" s="1"/>
  <c r="I24" i="14" s="1"/>
  <c r="G28" i="14"/>
  <c r="G27" i="14" s="1"/>
  <c r="G26" i="14" s="1"/>
  <c r="G25" i="14" s="1"/>
  <c r="G24" i="14" s="1"/>
  <c r="N27" i="14"/>
  <c r="M27" i="14"/>
  <c r="M26" i="14" s="1"/>
  <c r="M25" i="14" s="1"/>
  <c r="M24" i="14" s="1"/>
  <c r="L27" i="14"/>
  <c r="L26" i="14" s="1"/>
  <c r="L25" i="14" s="1"/>
  <c r="L24" i="14" s="1"/>
  <c r="J27" i="14"/>
  <c r="J26" i="14" s="1"/>
  <c r="J25" i="14" s="1"/>
  <c r="J24" i="14" s="1"/>
  <c r="N26" i="14"/>
  <c r="N25" i="14" s="1"/>
  <c r="N24" i="14" s="1"/>
  <c r="K26" i="14"/>
  <c r="H26" i="14"/>
  <c r="K25" i="14"/>
  <c r="K24" i="14" s="1"/>
  <c r="K23" i="14" s="1"/>
  <c r="K22" i="14" s="1"/>
  <c r="H25" i="14"/>
  <c r="H24" i="14"/>
  <c r="H23" i="14" s="1"/>
  <c r="H22" i="14" s="1"/>
  <c r="I301" i="14" l="1"/>
  <c r="I300" i="14" s="1"/>
  <c r="O302" i="14"/>
  <c r="O301" i="14" s="1"/>
  <c r="O300" i="14" s="1"/>
  <c r="H301" i="14"/>
  <c r="H300" i="14" s="1"/>
  <c r="I396" i="14"/>
  <c r="N396" i="14"/>
  <c r="N395" i="14" s="1"/>
  <c r="N394" i="14" s="1"/>
  <c r="N393" i="14" s="1"/>
  <c r="I512" i="14"/>
  <c r="I511" i="14" s="1"/>
  <c r="N94" i="14"/>
  <c r="N93" i="14" s="1"/>
  <c r="N92" i="14" s="1"/>
  <c r="N91" i="14" s="1"/>
  <c r="I94" i="14"/>
  <c r="I93" i="14" s="1"/>
  <c r="O289" i="14"/>
  <c r="O288" i="14" s="1"/>
  <c r="O422" i="14"/>
  <c r="O421" i="14" s="1"/>
  <c r="O420" i="14" s="1"/>
  <c r="O419" i="14" s="1"/>
  <c r="O418" i="14" s="1"/>
  <c r="O417" i="14" s="1"/>
  <c r="O416" i="14" s="1"/>
  <c r="N237" i="14"/>
  <c r="K180" i="14"/>
  <c r="K179" i="14" s="1"/>
  <c r="K170" i="14" s="1"/>
  <c r="M48" i="14"/>
  <c r="H124" i="14"/>
  <c r="N124" i="14" s="1"/>
  <c r="O222" i="14"/>
  <c r="O221" i="14" s="1"/>
  <c r="G42" i="14"/>
  <c r="G41" i="14" s="1"/>
  <c r="L88" i="14"/>
  <c r="O88" i="14" s="1"/>
  <c r="L91" i="14"/>
  <c r="H199" i="14"/>
  <c r="N199" i="14" s="1"/>
  <c r="O48" i="14"/>
  <c r="H220" i="14"/>
  <c r="N220" i="14" s="1"/>
  <c r="N209" i="14" s="1"/>
  <c r="N208" i="14" s="1"/>
  <c r="M222" i="14"/>
  <c r="M221" i="14" s="1"/>
  <c r="M220" i="14" s="1"/>
  <c r="G237" i="14"/>
  <c r="J23" i="14"/>
  <c r="J22" i="14" s="1"/>
  <c r="L155" i="14"/>
  <c r="L154" i="14" s="1"/>
  <c r="J209" i="14"/>
  <c r="J208" i="14" s="1"/>
  <c r="L23" i="14"/>
  <c r="L22" i="14" s="1"/>
  <c r="I42" i="14"/>
  <c r="I41" i="14" s="1"/>
  <c r="K88" i="14"/>
  <c r="N222" i="14"/>
  <c r="N221" i="14" s="1"/>
  <c r="M44" i="14"/>
  <c r="M43" i="14" s="1"/>
  <c r="J181" i="14"/>
  <c r="J180" i="14" s="1"/>
  <c r="H243" i="14"/>
  <c r="L48" i="14"/>
  <c r="L42" i="14" s="1"/>
  <c r="L41" i="14" s="1"/>
  <c r="J126" i="14"/>
  <c r="J125" i="14" s="1"/>
  <c r="J124" i="14" s="1"/>
  <c r="L126" i="14"/>
  <c r="L125" i="14" s="1"/>
  <c r="L124" i="14" s="1"/>
  <c r="J155" i="14"/>
  <c r="J154" i="14" s="1"/>
  <c r="J117" i="14" s="1"/>
  <c r="M312" i="14"/>
  <c r="M416" i="14"/>
  <c r="G526" i="14"/>
  <c r="G525" i="14" s="1"/>
  <c r="G524" i="14" s="1"/>
  <c r="G523" i="14" s="1"/>
  <c r="G522" i="14" s="1"/>
  <c r="O518" i="14"/>
  <c r="O517" i="14" s="1"/>
  <c r="O516" i="14" s="1"/>
  <c r="M518" i="14"/>
  <c r="M517" i="14" s="1"/>
  <c r="M516" i="14" s="1"/>
  <c r="N507" i="14"/>
  <c r="N506" i="14" s="1"/>
  <c r="N505" i="14" s="1"/>
  <c r="N504" i="14" s="1"/>
  <c r="N503" i="14" s="1"/>
  <c r="O509" i="14"/>
  <c r="O507" i="14"/>
  <c r="O506" i="14" s="1"/>
  <c r="O505" i="14" s="1"/>
  <c r="O504" i="14" s="1"/>
  <c r="O503" i="14" s="1"/>
  <c r="M507" i="14"/>
  <c r="M506" i="14" s="1"/>
  <c r="M505" i="14" s="1"/>
  <c r="M504" i="14" s="1"/>
  <c r="M503" i="14" s="1"/>
  <c r="N486" i="14"/>
  <c r="I480" i="14"/>
  <c r="I472" i="14" s="1"/>
  <c r="I471" i="14" s="1"/>
  <c r="O481" i="14"/>
  <c r="O468" i="14"/>
  <c r="O467" i="14" s="1"/>
  <c r="G416" i="14"/>
  <c r="O398" i="14"/>
  <c r="G382" i="14"/>
  <c r="G381" i="14" s="1"/>
  <c r="G380" i="14" s="1"/>
  <c r="G350" i="14"/>
  <c r="M350" i="14" s="1"/>
  <c r="L322" i="14"/>
  <c r="L321" i="14" s="1"/>
  <c r="L320" i="14" s="1"/>
  <c r="O337" i="14"/>
  <c r="G322" i="14"/>
  <c r="G321" i="14" s="1"/>
  <c r="G320" i="14" s="1"/>
  <c r="G319" i="14" s="1"/>
  <c r="I325" i="14"/>
  <c r="K299" i="14"/>
  <c r="K281" i="14" s="1"/>
  <c r="L299" i="14"/>
  <c r="O315" i="14"/>
  <c r="G313" i="14"/>
  <c r="G312" i="14" s="1"/>
  <c r="G299" i="14" s="1"/>
  <c r="I297" i="14"/>
  <c r="I296" i="14" s="1"/>
  <c r="O296" i="14" s="1"/>
  <c r="O295" i="14" s="1"/>
  <c r="O294" i="14" s="1"/>
  <c r="H296" i="14"/>
  <c r="N296" i="14" s="1"/>
  <c r="N295" i="14" s="1"/>
  <c r="N294" i="14" s="1"/>
  <c r="G296" i="14"/>
  <c r="M284" i="14"/>
  <c r="M283" i="14" s="1"/>
  <c r="H261" i="14"/>
  <c r="I262" i="14"/>
  <c r="O262" i="14" s="1"/>
  <c r="G261" i="14"/>
  <c r="G256" i="14" s="1"/>
  <c r="M262" i="14"/>
  <c r="G181" i="14"/>
  <c r="G180" i="14" s="1"/>
  <c r="G179" i="14" s="1"/>
  <c r="M182" i="14"/>
  <c r="M181" i="14" s="1"/>
  <c r="M180" i="14" s="1"/>
  <c r="M179" i="14" s="1"/>
  <c r="M157" i="14"/>
  <c r="M156" i="14" s="1"/>
  <c r="M155" i="14" s="1"/>
  <c r="M154" i="14" s="1"/>
  <c r="O157" i="14"/>
  <c r="O156" i="14" s="1"/>
  <c r="O155" i="14" s="1"/>
  <c r="O154" i="14" s="1"/>
  <c r="I157" i="14"/>
  <c r="I156" i="14" s="1"/>
  <c r="I155" i="14" s="1"/>
  <c r="I154" i="14" s="1"/>
  <c r="N160" i="14"/>
  <c r="N157" i="14" s="1"/>
  <c r="N156" i="14" s="1"/>
  <c r="N155" i="14" s="1"/>
  <c r="N154" i="14" s="1"/>
  <c r="G126" i="14"/>
  <c r="G125" i="14" s="1"/>
  <c r="G124" i="14" s="1"/>
  <c r="G117" i="14" s="1"/>
  <c r="M127" i="14"/>
  <c r="M126" i="14" s="1"/>
  <c r="M125" i="14" s="1"/>
  <c r="M124" i="14" s="1"/>
  <c r="N111" i="14"/>
  <c r="N110" i="14" s="1"/>
  <c r="N109" i="14" s="1"/>
  <c r="M92" i="14"/>
  <c r="M91" i="14" s="1"/>
  <c r="H92" i="14"/>
  <c r="H91" i="14" s="1"/>
  <c r="H71" i="14"/>
  <c r="I71" i="14"/>
  <c r="O59" i="14"/>
  <c r="O58" i="14" s="1"/>
  <c r="O57" i="14" s="1"/>
  <c r="O56" i="14" s="1"/>
  <c r="O55" i="14" s="1"/>
  <c r="M42" i="14"/>
  <c r="M41" i="14" s="1"/>
  <c r="I23" i="14"/>
  <c r="I22" i="14" s="1"/>
  <c r="N23" i="14"/>
  <c r="N22" i="14" s="1"/>
  <c r="O23" i="14"/>
  <c r="O22" i="14" s="1"/>
  <c r="M23" i="14"/>
  <c r="M22" i="14" s="1"/>
  <c r="O83" i="14"/>
  <c r="G23" i="14"/>
  <c r="G22" i="14" s="1"/>
  <c r="G71" i="14"/>
  <c r="G60" i="14" s="1"/>
  <c r="G35" i="14" s="1"/>
  <c r="N127" i="14"/>
  <c r="N126" i="14" s="1"/>
  <c r="N125" i="14" s="1"/>
  <c r="H117" i="14"/>
  <c r="N117" i="14" s="1"/>
  <c r="H44" i="14"/>
  <c r="H43" i="14" s="1"/>
  <c r="H42" i="14" s="1"/>
  <c r="H41" i="14" s="1"/>
  <c r="J83" i="14"/>
  <c r="J71" i="14" s="1"/>
  <c r="I173" i="14"/>
  <c r="I172" i="14" s="1"/>
  <c r="I171" i="14" s="1"/>
  <c r="O174" i="14"/>
  <c r="O173" i="14" s="1"/>
  <c r="O172" i="14" s="1"/>
  <c r="O171" i="14" s="1"/>
  <c r="H181" i="14"/>
  <c r="H180" i="14" s="1"/>
  <c r="N182" i="14"/>
  <c r="N181" i="14" s="1"/>
  <c r="N180" i="14" s="1"/>
  <c r="J179" i="14"/>
  <c r="J170" i="14" s="1"/>
  <c r="O76" i="14"/>
  <c r="O74" i="14" s="1"/>
  <c r="O73" i="14" s="1"/>
  <c r="O72" i="14" s="1"/>
  <c r="O71" i="14" s="1"/>
  <c r="M74" i="14"/>
  <c r="M73" i="14" s="1"/>
  <c r="M72" i="14" s="1"/>
  <c r="I103" i="14"/>
  <c r="I126" i="14"/>
  <c r="I125" i="14" s="1"/>
  <c r="I124" i="14" s="1"/>
  <c r="O133" i="14"/>
  <c r="O132" i="14" s="1"/>
  <c r="O127" i="14" s="1"/>
  <c r="O126" i="14" s="1"/>
  <c r="O125" i="14" s="1"/>
  <c r="O124" i="14" s="1"/>
  <c r="N45" i="14"/>
  <c r="M83" i="14"/>
  <c r="M89" i="14"/>
  <c r="J92" i="14"/>
  <c r="J91" i="14" s="1"/>
  <c r="O116" i="14"/>
  <c r="O115" i="14" s="1"/>
  <c r="O114" i="14" s="1"/>
  <c r="O113" i="14" s="1"/>
  <c r="H194" i="14"/>
  <c r="H193" i="14" s="1"/>
  <c r="N195" i="14"/>
  <c r="N194" i="14" s="1"/>
  <c r="N193" i="14" s="1"/>
  <c r="M211" i="14"/>
  <c r="M210" i="14" s="1"/>
  <c r="G209" i="14"/>
  <c r="L117" i="14"/>
  <c r="M174" i="14"/>
  <c r="M173" i="14" s="1"/>
  <c r="M172" i="14" s="1"/>
  <c r="M171" i="14" s="1"/>
  <c r="I184" i="14"/>
  <c r="I191" i="14"/>
  <c r="I190" i="14" s="1"/>
  <c r="I199" i="14"/>
  <c r="O199" i="14" s="1"/>
  <c r="L214" i="14"/>
  <c r="M226" i="14"/>
  <c r="I226" i="14"/>
  <c r="O226" i="14" s="1"/>
  <c r="H231" i="14"/>
  <c r="N232" i="14"/>
  <c r="N231" i="14" s="1"/>
  <c r="I235" i="14"/>
  <c r="O235" i="14" s="1"/>
  <c r="N272" i="14"/>
  <c r="I272" i="14"/>
  <c r="O272" i="14" s="1"/>
  <c r="H271" i="14"/>
  <c r="M302" i="14"/>
  <c r="M301" i="14" s="1"/>
  <c r="M300" i="14" s="1"/>
  <c r="I310" i="14"/>
  <c r="O310" i="14" s="1"/>
  <c r="N310" i="14"/>
  <c r="N175" i="14"/>
  <c r="N174" i="14" s="1"/>
  <c r="N173" i="14" s="1"/>
  <c r="N172" i="14" s="1"/>
  <c r="N171" i="14" s="1"/>
  <c r="I225" i="14"/>
  <c r="O225" i="14" s="1"/>
  <c r="O220" i="14" s="1"/>
  <c r="I231" i="14"/>
  <c r="H237" i="14"/>
  <c r="L237" i="14"/>
  <c r="G284" i="14"/>
  <c r="G283" i="14" s="1"/>
  <c r="G282" i="14" s="1"/>
  <c r="M309" i="14"/>
  <c r="M308" i="14" s="1"/>
  <c r="M307" i="14" s="1"/>
  <c r="G308" i="14"/>
  <c r="G307" i="14" s="1"/>
  <c r="I309" i="14"/>
  <c r="I211" i="14"/>
  <c r="I210" i="14" s="1"/>
  <c r="M232" i="14"/>
  <c r="M231" i="14" s="1"/>
  <c r="G231" i="14"/>
  <c r="O246" i="14"/>
  <c r="O245" i="14" s="1"/>
  <c r="O244" i="14" s="1"/>
  <c r="O243" i="14" s="1"/>
  <c r="O237" i="14" s="1"/>
  <c r="I245" i="14"/>
  <c r="I244" i="14" s="1"/>
  <c r="I243" i="14" s="1"/>
  <c r="I237" i="14" s="1"/>
  <c r="M237" i="14"/>
  <c r="M261" i="14"/>
  <c r="M256" i="14" s="1"/>
  <c r="N287" i="14"/>
  <c r="I287" i="14"/>
  <c r="I285" i="14" s="1"/>
  <c r="I284" i="14" s="1"/>
  <c r="I283" i="14" s="1"/>
  <c r="I282" i="14" s="1"/>
  <c r="L276" i="14"/>
  <c r="L275" i="14" s="1"/>
  <c r="L270" i="14" s="1"/>
  <c r="L255" i="14" s="1"/>
  <c r="J284" i="14"/>
  <c r="J283" i="14" s="1"/>
  <c r="J282" i="14" s="1"/>
  <c r="J281" i="14" s="1"/>
  <c r="J254" i="14" s="1"/>
  <c r="H295" i="14"/>
  <c r="H294" i="14" s="1"/>
  <c r="M322" i="14"/>
  <c r="M321" i="14" s="1"/>
  <c r="L319" i="14"/>
  <c r="M386" i="14"/>
  <c r="M382" i="14" s="1"/>
  <c r="M381" i="14" s="1"/>
  <c r="M380" i="14" s="1"/>
  <c r="O397" i="14"/>
  <c r="O396" i="14" s="1"/>
  <c r="N442" i="14"/>
  <c r="N441" i="14" s="1"/>
  <c r="I280" i="14"/>
  <c r="I279" i="14" s="1"/>
  <c r="I276" i="14" s="1"/>
  <c r="I275" i="14" s="1"/>
  <c r="H279" i="14"/>
  <c r="H276" i="14" s="1"/>
  <c r="H275" i="14" s="1"/>
  <c r="H270" i="14" s="1"/>
  <c r="N280" i="14"/>
  <c r="L288" i="14"/>
  <c r="O291" i="14"/>
  <c r="O290" i="14" s="1"/>
  <c r="N293" i="14"/>
  <c r="N292" i="14" s="1"/>
  <c r="L292" i="14"/>
  <c r="K319" i="14"/>
  <c r="I329" i="14"/>
  <c r="O330" i="14"/>
  <c r="O329" i="14" s="1"/>
  <c r="O322" i="14" s="1"/>
  <c r="O321" i="14" s="1"/>
  <c r="M356" i="14"/>
  <c r="M355" i="14" s="1"/>
  <c r="M354" i="14" s="1"/>
  <c r="H395" i="14"/>
  <c r="H393" i="14" s="1"/>
  <c r="O388" i="14"/>
  <c r="O387" i="14" s="1"/>
  <c r="O386" i="14" s="1"/>
  <c r="O382" i="14" s="1"/>
  <c r="O381" i="14" s="1"/>
  <c r="O380" i="14" s="1"/>
  <c r="N387" i="14"/>
  <c r="N386" i="14" s="1"/>
  <c r="N382" i="14" s="1"/>
  <c r="N381" i="14" s="1"/>
  <c r="N380" i="14" s="1"/>
  <c r="I416" i="14"/>
  <c r="H314" i="14"/>
  <c r="I323" i="14"/>
  <c r="N330" i="14"/>
  <c r="N329" i="14" s="1"/>
  <c r="N322" i="14" s="1"/>
  <c r="N321" i="14" s="1"/>
  <c r="H352" i="14"/>
  <c r="N353" i="14"/>
  <c r="H355" i="14"/>
  <c r="H354" i="14" s="1"/>
  <c r="I359" i="14"/>
  <c r="O359" i="14" s="1"/>
  <c r="O356" i="14" s="1"/>
  <c r="O355" i="14" s="1"/>
  <c r="O354" i="14" s="1"/>
  <c r="H387" i="14"/>
  <c r="H386" i="14" s="1"/>
  <c r="H382" i="14" s="1"/>
  <c r="H381" i="14" s="1"/>
  <c r="H380" i="14" s="1"/>
  <c r="I388" i="14"/>
  <c r="I387" i="14" s="1"/>
  <c r="I386" i="14" s="1"/>
  <c r="I382" i="14" s="1"/>
  <c r="I381" i="14" s="1"/>
  <c r="I380" i="14" s="1"/>
  <c r="M391" i="14"/>
  <c r="O404" i="14"/>
  <c r="O403" i="14" s="1"/>
  <c r="O402" i="14" s="1"/>
  <c r="I403" i="14"/>
  <c r="I402" i="14" s="1"/>
  <c r="I395" i="14" s="1"/>
  <c r="I394" i="14" s="1"/>
  <c r="I393" i="14" s="1"/>
  <c r="N427" i="14"/>
  <c r="N426" i="14" s="1"/>
  <c r="N425" i="14" s="1"/>
  <c r="N424" i="14" s="1"/>
  <c r="N423" i="14" s="1"/>
  <c r="N416" i="14" s="1"/>
  <c r="I442" i="14"/>
  <c r="I441" i="14" s="1"/>
  <c r="M473" i="14"/>
  <c r="M472" i="14" s="1"/>
  <c r="M471" i="14" s="1"/>
  <c r="M462" i="14" s="1"/>
  <c r="M461" i="14" s="1"/>
  <c r="N493" i="14"/>
  <c r="I492" i="14"/>
  <c r="O492" i="14" s="1"/>
  <c r="H492" i="14"/>
  <c r="I506" i="14"/>
  <c r="I505" i="14" s="1"/>
  <c r="I504" i="14" s="1"/>
  <c r="I503" i="14" s="1"/>
  <c r="I335" i="14"/>
  <c r="H329" i="14"/>
  <c r="H322" i="14" s="1"/>
  <c r="H321" i="14" s="1"/>
  <c r="I347" i="14"/>
  <c r="O347" i="14" s="1"/>
  <c r="K462" i="14"/>
  <c r="K461" i="14" s="1"/>
  <c r="N473" i="14"/>
  <c r="L480" i="14"/>
  <c r="O480" i="14" s="1"/>
  <c r="K472" i="14"/>
  <c r="K471" i="14" s="1"/>
  <c r="N480" i="14"/>
  <c r="O498" i="14"/>
  <c r="O497" i="14" s="1"/>
  <c r="O496" i="14" s="1"/>
  <c r="O495" i="14" s="1"/>
  <c r="G463" i="14"/>
  <c r="G461" i="14" s="1"/>
  <c r="O473" i="14"/>
  <c r="M526" i="14"/>
  <c r="M525" i="14" s="1"/>
  <c r="M524" i="14" s="1"/>
  <c r="M523" i="14" s="1"/>
  <c r="M522" i="14" s="1"/>
  <c r="L522" i="14"/>
  <c r="I532" i="14"/>
  <c r="I531" i="14" s="1"/>
  <c r="I526" i="14" s="1"/>
  <c r="I525" i="14" s="1"/>
  <c r="I524" i="14" s="1"/>
  <c r="I523" i="14" s="1"/>
  <c r="I522" i="14" s="1"/>
  <c r="O533" i="14"/>
  <c r="O532" i="14" s="1"/>
  <c r="O531" i="14" s="1"/>
  <c r="O526" i="14" s="1"/>
  <c r="O525" i="14" s="1"/>
  <c r="O524" i="14" s="1"/>
  <c r="O523" i="14" s="1"/>
  <c r="O522" i="14" s="1"/>
  <c r="I466" i="14"/>
  <c r="I465" i="14" s="1"/>
  <c r="H465" i="14"/>
  <c r="H464" i="14" s="1"/>
  <c r="H463" i="14" s="1"/>
  <c r="H462" i="14" s="1"/>
  <c r="N466" i="14"/>
  <c r="M476" i="14"/>
  <c r="G473" i="14"/>
  <c r="G472" i="14" s="1"/>
  <c r="G506" i="14"/>
  <c r="G505" i="14" s="1"/>
  <c r="G504" i="14" s="1"/>
  <c r="G503" i="14" s="1"/>
  <c r="N533" i="14"/>
  <c r="N532" i="14" s="1"/>
  <c r="N531" i="14" s="1"/>
  <c r="N526" i="14" s="1"/>
  <c r="N525" i="14" s="1"/>
  <c r="N524" i="14" s="1"/>
  <c r="N523" i="14" s="1"/>
  <c r="N522" i="14" s="1"/>
  <c r="K497" i="14"/>
  <c r="K496" i="14" s="1"/>
  <c r="K495" i="14" s="1"/>
  <c r="H532" i="14"/>
  <c r="H531" i="14" s="1"/>
  <c r="H526" i="14" s="1"/>
  <c r="H525" i="14" s="1"/>
  <c r="H524" i="14" s="1"/>
  <c r="H523" i="14" s="1"/>
  <c r="H522" i="14" s="1"/>
  <c r="H96" i="13"/>
  <c r="H95" i="13"/>
  <c r="H60" i="14" l="1"/>
  <c r="H35" i="14" s="1"/>
  <c r="I295" i="14"/>
  <c r="I294" i="14" s="1"/>
  <c r="O297" i="14"/>
  <c r="G208" i="14"/>
  <c r="G170" i="14" s="1"/>
  <c r="H209" i="14"/>
  <c r="H208" i="14" s="1"/>
  <c r="L83" i="14"/>
  <c r="L71" i="14" s="1"/>
  <c r="L60" i="14" s="1"/>
  <c r="L35" i="14" s="1"/>
  <c r="J60" i="14"/>
  <c r="J35" i="14" s="1"/>
  <c r="J34" i="14" s="1"/>
  <c r="J21" i="14" s="1"/>
  <c r="N88" i="14"/>
  <c r="N83" i="14" s="1"/>
  <c r="N71" i="14" s="1"/>
  <c r="N60" i="14" s="1"/>
  <c r="K83" i="14"/>
  <c r="K71" i="14" s="1"/>
  <c r="K60" i="14" s="1"/>
  <c r="K35" i="14" s="1"/>
  <c r="O472" i="14"/>
  <c r="O471" i="14" s="1"/>
  <c r="M320" i="14"/>
  <c r="M319" i="14" s="1"/>
  <c r="K254" i="14"/>
  <c r="G281" i="14"/>
  <c r="O293" i="14"/>
  <c r="O292" i="14" s="1"/>
  <c r="L284" i="14"/>
  <c r="L283" i="14" s="1"/>
  <c r="L282" i="14" s="1"/>
  <c r="L281" i="14" s="1"/>
  <c r="L254" i="14" s="1"/>
  <c r="H282" i="14"/>
  <c r="M296" i="14"/>
  <c r="M295" i="14" s="1"/>
  <c r="M294" i="14" s="1"/>
  <c r="G295" i="14"/>
  <c r="G294" i="14" s="1"/>
  <c r="H256" i="14"/>
  <c r="H255" i="14" s="1"/>
  <c r="N255" i="14" s="1"/>
  <c r="N261" i="14"/>
  <c r="I261" i="14"/>
  <c r="G255" i="14"/>
  <c r="M255" i="14"/>
  <c r="I220" i="14"/>
  <c r="I209" i="14" s="1"/>
  <c r="I208" i="14" s="1"/>
  <c r="M117" i="14"/>
  <c r="I117" i="14"/>
  <c r="O117" i="14"/>
  <c r="I270" i="14"/>
  <c r="I255" i="14" s="1"/>
  <c r="N465" i="14"/>
  <c r="N464" i="14" s="1"/>
  <c r="O466" i="14"/>
  <c r="O465" i="14" s="1"/>
  <c r="O395" i="14"/>
  <c r="O394" i="14" s="1"/>
  <c r="O393" i="14" s="1"/>
  <c r="O261" i="14"/>
  <c r="O256" i="14" s="1"/>
  <c r="N179" i="14"/>
  <c r="N170" i="14" s="1"/>
  <c r="L472" i="14"/>
  <c r="L471" i="14" s="1"/>
  <c r="L462" i="14" s="1"/>
  <c r="L461" i="14" s="1"/>
  <c r="L460" i="14" s="1"/>
  <c r="L459" i="14" s="1"/>
  <c r="N472" i="14"/>
  <c r="N471" i="14" s="1"/>
  <c r="N492" i="14"/>
  <c r="I491" i="14"/>
  <c r="O491" i="14" s="1"/>
  <c r="H491" i="14"/>
  <c r="N491" i="14" s="1"/>
  <c r="I322" i="14"/>
  <c r="I321" i="14" s="1"/>
  <c r="O287" i="14"/>
  <c r="O285" i="14" s="1"/>
  <c r="N285" i="14"/>
  <c r="N284" i="14" s="1"/>
  <c r="N283" i="14" s="1"/>
  <c r="N282" i="14" s="1"/>
  <c r="I102" i="14"/>
  <c r="I98" i="14" s="1"/>
  <c r="I92" i="14" s="1"/>
  <c r="I91" i="14" s="1"/>
  <c r="I60" i="14" s="1"/>
  <c r="I35" i="14" s="1"/>
  <c r="O103" i="14"/>
  <c r="O102" i="14" s="1"/>
  <c r="O98" i="14" s="1"/>
  <c r="O92" i="14" s="1"/>
  <c r="O91" i="14" s="1"/>
  <c r="O60" i="14" s="1"/>
  <c r="H179" i="14"/>
  <c r="G460" i="14"/>
  <c r="K460" i="14"/>
  <c r="K459" i="14" s="1"/>
  <c r="H313" i="14"/>
  <c r="I314" i="14"/>
  <c r="O309" i="14"/>
  <c r="O308" i="14" s="1"/>
  <c r="O307" i="14" s="1"/>
  <c r="I308" i="14"/>
  <c r="I307" i="14" s="1"/>
  <c r="I271" i="14"/>
  <c r="O271" i="14" s="1"/>
  <c r="N271" i="14"/>
  <c r="O184" i="14"/>
  <c r="O183" i="14" s="1"/>
  <c r="O182" i="14" s="1"/>
  <c r="O181" i="14" s="1"/>
  <c r="O180" i="14" s="1"/>
  <c r="O179" i="14" s="1"/>
  <c r="I183" i="14"/>
  <c r="I182" i="14" s="1"/>
  <c r="I181" i="14" s="1"/>
  <c r="I180" i="14" s="1"/>
  <c r="I179" i="14" s="1"/>
  <c r="O45" i="14"/>
  <c r="O44" i="14" s="1"/>
  <c r="O43" i="14" s="1"/>
  <c r="O42" i="14" s="1"/>
  <c r="O41" i="14" s="1"/>
  <c r="N44" i="14"/>
  <c r="N43" i="14" s="1"/>
  <c r="N42" i="14" s="1"/>
  <c r="N41" i="14" s="1"/>
  <c r="N35" i="14" s="1"/>
  <c r="I464" i="14"/>
  <c r="I463" i="14" s="1"/>
  <c r="I462" i="14" s="1"/>
  <c r="I461" i="14" s="1"/>
  <c r="I460" i="14" s="1"/>
  <c r="N352" i="14"/>
  <c r="H350" i="14"/>
  <c r="I352" i="14"/>
  <c r="O352" i="14" s="1"/>
  <c r="I356" i="14"/>
  <c r="I355" i="14" s="1"/>
  <c r="I354" i="14" s="1"/>
  <c r="N279" i="14"/>
  <c r="N276" i="14" s="1"/>
  <c r="N275" i="14" s="1"/>
  <c r="N270" i="14" s="1"/>
  <c r="O280" i="14"/>
  <c r="O279" i="14" s="1"/>
  <c r="O276" i="14" s="1"/>
  <c r="O275" i="14" s="1"/>
  <c r="O270" i="14" s="1"/>
  <c r="M299" i="14"/>
  <c r="L211" i="14"/>
  <c r="L210" i="14" s="1"/>
  <c r="L209" i="14" s="1"/>
  <c r="L208" i="14" s="1"/>
  <c r="L170" i="14" s="1"/>
  <c r="O214" i="14"/>
  <c r="M209" i="14"/>
  <c r="M208" i="14" s="1"/>
  <c r="M170" i="14" s="1"/>
  <c r="M71" i="14"/>
  <c r="M60" i="14" s="1"/>
  <c r="M35" i="14" s="1"/>
  <c r="H280" i="13"/>
  <c r="H315" i="13"/>
  <c r="H170" i="14" l="1"/>
  <c r="G254" i="14"/>
  <c r="G34" i="14" s="1"/>
  <c r="G21" i="14" s="1"/>
  <c r="K34" i="14"/>
  <c r="K21" i="14" s="1"/>
  <c r="O284" i="14"/>
  <c r="O283" i="14" s="1"/>
  <c r="O282" i="14" s="1"/>
  <c r="L34" i="14"/>
  <c r="L21" i="14" s="1"/>
  <c r="M282" i="14"/>
  <c r="M281" i="14" s="1"/>
  <c r="M254" i="14" s="1"/>
  <c r="M34" i="14" s="1"/>
  <c r="I256" i="14"/>
  <c r="O255" i="14"/>
  <c r="I170" i="14"/>
  <c r="O314" i="14"/>
  <c r="I313" i="14"/>
  <c r="I312" i="14" s="1"/>
  <c r="I299" i="14" s="1"/>
  <c r="I281" i="14" s="1"/>
  <c r="O211" i="14"/>
  <c r="O210" i="14" s="1"/>
  <c r="O209" i="14" s="1"/>
  <c r="O208" i="14" s="1"/>
  <c r="O170" i="14" s="1"/>
  <c r="O350" i="14"/>
  <c r="N350" i="14"/>
  <c r="H349" i="14"/>
  <c r="H312" i="14"/>
  <c r="H461" i="14"/>
  <c r="H460" i="14" s="1"/>
  <c r="H459" i="14" s="1"/>
  <c r="I459" i="14"/>
  <c r="O460" i="14"/>
  <c r="O459" i="14" s="1"/>
  <c r="O35" i="14"/>
  <c r="M460" i="14"/>
  <c r="M459" i="14" s="1"/>
  <c r="G459" i="14"/>
  <c r="N463" i="14"/>
  <c r="N462" i="14" s="1"/>
  <c r="N461" i="14" s="1"/>
  <c r="N460" i="14" s="1"/>
  <c r="N459" i="14" s="1"/>
  <c r="O464" i="14"/>
  <c r="O463" i="14" s="1"/>
  <c r="O462" i="14" s="1"/>
  <c r="O461" i="14" s="1"/>
  <c r="H328" i="13"/>
  <c r="O313" i="14" l="1"/>
  <c r="O312" i="14" s="1"/>
  <c r="O299" i="14" s="1"/>
  <c r="O281" i="14" s="1"/>
  <c r="N312" i="14"/>
  <c r="N299" i="14" s="1"/>
  <c r="N281" i="14" s="1"/>
  <c r="H299" i="14"/>
  <c r="H281" i="14" s="1"/>
  <c r="N349" i="14"/>
  <c r="N320" i="14" s="1"/>
  <c r="N319" i="14" s="1"/>
  <c r="H320" i="14"/>
  <c r="H319" i="14" s="1"/>
  <c r="H336" i="13"/>
  <c r="H254" i="14" l="1"/>
  <c r="H34" i="14" s="1"/>
  <c r="H21" i="14" s="1"/>
  <c r="N254" i="14"/>
  <c r="N34" i="14" s="1"/>
  <c r="N21" i="14" s="1"/>
  <c r="O349" i="14"/>
  <c r="O320" i="14" s="1"/>
  <c r="O319" i="14" s="1"/>
  <c r="O254" i="14" s="1"/>
  <c r="O34" i="14" s="1"/>
  <c r="O21" i="14" s="1"/>
  <c r="I320" i="14"/>
  <c r="I319" i="14" s="1"/>
  <c r="H184" i="13"/>
  <c r="I254" i="14" l="1"/>
  <c r="I34" i="14" s="1"/>
  <c r="I21" i="14" s="1"/>
  <c r="O470" i="13"/>
  <c r="O462" i="13"/>
  <c r="N470" i="13"/>
  <c r="N462" i="13"/>
  <c r="I469" i="13"/>
  <c r="H470" i="13"/>
  <c r="H462" i="13"/>
  <c r="H351" i="13" l="1"/>
  <c r="N293" i="13" l="1"/>
  <c r="H284" i="13"/>
  <c r="H287" i="13"/>
  <c r="H464" i="13" l="1"/>
  <c r="O476" i="13" l="1"/>
  <c r="N476" i="13"/>
  <c r="O477" i="13"/>
  <c r="N477" i="13"/>
  <c r="H473" i="13"/>
  <c r="I476" i="13"/>
  <c r="I477" i="13"/>
  <c r="H506" i="13" l="1"/>
  <c r="I293" i="13" l="1"/>
  <c r="H324" i="13"/>
  <c r="H322" i="13"/>
  <c r="O529" i="13" l="1"/>
  <c r="N529" i="13"/>
  <c r="H529" i="13"/>
  <c r="I529" i="13"/>
  <c r="O534" i="13"/>
  <c r="O535" i="13"/>
  <c r="N534" i="13"/>
  <c r="N535" i="13"/>
  <c r="I534" i="13"/>
  <c r="H534" i="13"/>
  <c r="I535" i="13"/>
  <c r="H225" i="13"/>
  <c r="N432" i="13" l="1"/>
  <c r="O432" i="13" s="1"/>
  <c r="I432" i="13"/>
  <c r="H103" i="13" l="1"/>
  <c r="H531" i="13" l="1"/>
  <c r="H346" i="13"/>
  <c r="H350" i="13"/>
  <c r="H348" i="13" s="1"/>
  <c r="I351" i="13"/>
  <c r="O485" i="13"/>
  <c r="N485" i="13"/>
  <c r="H484" i="13"/>
  <c r="I485" i="13"/>
  <c r="I348" i="13" l="1"/>
  <c r="H347" i="13"/>
  <c r="I326" i="13"/>
  <c r="N274" i="13"/>
  <c r="H273" i="13"/>
  <c r="N273" i="13" s="1"/>
  <c r="I274" i="13"/>
  <c r="O274" i="13" s="1"/>
  <c r="H272" i="13" l="1"/>
  <c r="H271" i="13" s="1"/>
  <c r="N271" i="13" s="1"/>
  <c r="I273" i="13"/>
  <c r="O273" i="13" s="1"/>
  <c r="N272" i="13"/>
  <c r="N347" i="13"/>
  <c r="I347" i="13"/>
  <c r="I271" i="13" l="1"/>
  <c r="O271" i="13" s="1"/>
  <c r="I272" i="13"/>
  <c r="O272" i="13" s="1"/>
  <c r="H45" i="13"/>
  <c r="H192" i="13" l="1"/>
  <c r="I192" i="13"/>
  <c r="H188" i="13"/>
  <c r="N189" i="13"/>
  <c r="O189" i="13" s="1"/>
  <c r="I189" i="13"/>
  <c r="M343" i="13"/>
  <c r="M344" i="13"/>
  <c r="O258" i="13"/>
  <c r="N257" i="13"/>
  <c r="N258" i="13"/>
  <c r="N256" i="13" s="1"/>
  <c r="N259" i="13"/>
  <c r="I257" i="13"/>
  <c r="O257" i="13" s="1"/>
  <c r="I258" i="13"/>
  <c r="I259" i="13"/>
  <c r="O259" i="13" s="1"/>
  <c r="I122" i="13"/>
  <c r="I123" i="13"/>
  <c r="H86" i="13"/>
  <c r="N161" i="13" l="1"/>
  <c r="O161" i="13" s="1"/>
  <c r="H160" i="13"/>
  <c r="I161" i="13"/>
  <c r="H116" i="13"/>
  <c r="I266" i="13"/>
  <c r="O266" i="13" s="1"/>
  <c r="I267" i="13"/>
  <c r="O267" i="13" s="1"/>
  <c r="N268" i="13"/>
  <c r="I268" i="13"/>
  <c r="O268" i="13" s="1"/>
  <c r="N269" i="13"/>
  <c r="I269" i="13"/>
  <c r="O269" i="13" s="1"/>
  <c r="K313" i="13"/>
  <c r="L314" i="13"/>
  <c r="L313" i="13" s="1"/>
  <c r="L312" i="13" s="1"/>
  <c r="N315" i="13"/>
  <c r="L315" i="13"/>
  <c r="K312" i="13" l="1"/>
  <c r="H341" i="13"/>
  <c r="I341" i="13" s="1"/>
  <c r="I342" i="13"/>
  <c r="H206" i="13" l="1"/>
  <c r="I207" i="13"/>
  <c r="O50" i="13" l="1"/>
  <c r="N50" i="13"/>
  <c r="N51" i="13"/>
  <c r="L50" i="13"/>
  <c r="L51" i="13"/>
  <c r="K292" i="13" l="1"/>
  <c r="K293" i="13"/>
  <c r="L342" i="13" l="1"/>
  <c r="N508" i="13" l="1"/>
  <c r="H504" i="13"/>
  <c r="I508" i="13"/>
  <c r="O508" i="13" s="1"/>
  <c r="N506" i="13"/>
  <c r="I517" i="13"/>
  <c r="N472" i="13"/>
  <c r="O475" i="13"/>
  <c r="N475" i="13"/>
  <c r="I475" i="13"/>
  <c r="I472" i="13"/>
  <c r="O466" i="13"/>
  <c r="N466" i="13"/>
  <c r="I466" i="13"/>
  <c r="I473" i="13"/>
  <c r="I531" i="13" l="1"/>
  <c r="O491" i="13"/>
  <c r="I492" i="13"/>
  <c r="O492" i="13" s="1"/>
  <c r="N492" i="13"/>
  <c r="I491" i="13"/>
  <c r="H491" i="13"/>
  <c r="H490" i="13" s="1"/>
  <c r="H386" i="13"/>
  <c r="H489" i="13" l="1"/>
  <c r="N489" i="13" s="1"/>
  <c r="N490" i="13"/>
  <c r="I489" i="13"/>
  <c r="O489" i="13" s="1"/>
  <c r="I490" i="13"/>
  <c r="O490" i="13" s="1"/>
  <c r="N491" i="13"/>
  <c r="G74" i="13"/>
  <c r="O75" i="13" l="1"/>
  <c r="M75" i="13"/>
  <c r="I75" i="13"/>
  <c r="L306" i="13" l="1"/>
  <c r="I306" i="13" l="1"/>
  <c r="I406" i="13" l="1"/>
  <c r="O33" i="13" l="1"/>
  <c r="N33" i="13"/>
  <c r="H32" i="13"/>
  <c r="I33" i="13"/>
  <c r="I426" i="13" l="1"/>
  <c r="M420" i="13" l="1"/>
  <c r="M314" i="13"/>
  <c r="G314" i="13"/>
  <c r="G313" i="13" s="1"/>
  <c r="G312" i="13" s="1"/>
  <c r="I299" i="12"/>
  <c r="M76" i="13"/>
  <c r="M74" i="13" s="1"/>
  <c r="O46" i="13"/>
  <c r="M46" i="13"/>
  <c r="L343" i="13"/>
  <c r="J395" i="13"/>
  <c r="L344" i="13"/>
  <c r="M341" i="13"/>
  <c r="M342" i="13"/>
  <c r="N542" i="13"/>
  <c r="M542" i="13"/>
  <c r="I542" i="13"/>
  <c r="O542" i="13" s="1"/>
  <c r="O541" i="13" s="1"/>
  <c r="O540" i="13" s="1"/>
  <c r="O539" i="13" s="1"/>
  <c r="O538" i="13" s="1"/>
  <c r="O537" i="13" s="1"/>
  <c r="O536" i="13" s="1"/>
  <c r="N541" i="13"/>
  <c r="N540" i="13" s="1"/>
  <c r="N539" i="13" s="1"/>
  <c r="N538" i="13" s="1"/>
  <c r="N537" i="13" s="1"/>
  <c r="N536" i="13" s="1"/>
  <c r="M541" i="13"/>
  <c r="L541" i="13"/>
  <c r="J541" i="13"/>
  <c r="J540" i="13" s="1"/>
  <c r="J539" i="13" s="1"/>
  <c r="J538" i="13" s="1"/>
  <c r="J537" i="13" s="1"/>
  <c r="J536" i="13" s="1"/>
  <c r="H541" i="13"/>
  <c r="H540" i="13" s="1"/>
  <c r="H539" i="13" s="1"/>
  <c r="H538" i="13" s="1"/>
  <c r="H537" i="13" s="1"/>
  <c r="H536" i="13" s="1"/>
  <c r="G541" i="13"/>
  <c r="M540" i="13"/>
  <c r="M539" i="13" s="1"/>
  <c r="M538" i="13" s="1"/>
  <c r="M537" i="13" s="1"/>
  <c r="M536" i="13" s="1"/>
  <c r="L540" i="13"/>
  <c r="K540" i="13"/>
  <c r="K539" i="13" s="1"/>
  <c r="K538" i="13" s="1"/>
  <c r="K537" i="13" s="1"/>
  <c r="G540" i="13"/>
  <c r="G539" i="13" s="1"/>
  <c r="G538" i="13" s="1"/>
  <c r="G537" i="13" s="1"/>
  <c r="G536" i="13" s="1"/>
  <c r="L539" i="13"/>
  <c r="L538" i="13" s="1"/>
  <c r="L537" i="13" s="1"/>
  <c r="L536" i="13" s="1"/>
  <c r="N532" i="13"/>
  <c r="N531" i="13"/>
  <c r="N530" i="13" s="1"/>
  <c r="M531" i="13"/>
  <c r="M530" i="13" s="1"/>
  <c r="M529" i="13" s="1"/>
  <c r="O531" i="13"/>
  <c r="O530" i="13" s="1"/>
  <c r="L530" i="13"/>
  <c r="L529" i="13" s="1"/>
  <c r="L524" i="13" s="1"/>
  <c r="L523" i="13" s="1"/>
  <c r="L522" i="13" s="1"/>
  <c r="L521" i="13" s="1"/>
  <c r="L520" i="13" s="1"/>
  <c r="J530" i="13"/>
  <c r="I530" i="13"/>
  <c r="H530" i="13"/>
  <c r="G530" i="13"/>
  <c r="G529" i="13" s="1"/>
  <c r="K529" i="13"/>
  <c r="J529" i="13"/>
  <c r="N528" i="13"/>
  <c r="M528" i="13"/>
  <c r="K528" i="13"/>
  <c r="I528" i="13"/>
  <c r="O528" i="13" s="1"/>
  <c r="N527" i="13"/>
  <c r="M527" i="13"/>
  <c r="I527" i="13"/>
  <c r="O527" i="13" s="1"/>
  <c r="N526" i="13"/>
  <c r="N525" i="13" s="1"/>
  <c r="L526" i="13"/>
  <c r="J526" i="13"/>
  <c r="H526" i="13"/>
  <c r="G526" i="13"/>
  <c r="L525" i="13"/>
  <c r="J525" i="13"/>
  <c r="J524" i="13" s="1"/>
  <c r="J523" i="13" s="1"/>
  <c r="J522" i="13" s="1"/>
  <c r="J521" i="13" s="1"/>
  <c r="J520" i="13" s="1"/>
  <c r="H525" i="13"/>
  <c r="G525" i="13"/>
  <c r="G524" i="13" s="1"/>
  <c r="G523" i="13" s="1"/>
  <c r="G522" i="13" s="1"/>
  <c r="G521" i="13" s="1"/>
  <c r="G520" i="13" s="1"/>
  <c r="K524" i="13"/>
  <c r="K523" i="13"/>
  <c r="K522" i="13" s="1"/>
  <c r="K521" i="13" s="1"/>
  <c r="K520" i="13" s="1"/>
  <c r="N519" i="13"/>
  <c r="M519" i="13"/>
  <c r="I519" i="13"/>
  <c r="O519" i="13" s="1"/>
  <c r="N518" i="13"/>
  <c r="M518" i="13"/>
  <c r="I518" i="13"/>
  <c r="I516" i="13" s="1"/>
  <c r="I515" i="13" s="1"/>
  <c r="I514" i="13" s="1"/>
  <c r="O517" i="13"/>
  <c r="N517" i="13"/>
  <c r="M517" i="13"/>
  <c r="L516" i="13"/>
  <c r="L515" i="13" s="1"/>
  <c r="L514" i="13" s="1"/>
  <c r="J516" i="13"/>
  <c r="G516" i="13"/>
  <c r="K515" i="13"/>
  <c r="K514" i="13" s="1"/>
  <c r="J515" i="13"/>
  <c r="J514" i="13" s="1"/>
  <c r="H515" i="13"/>
  <c r="N515" i="13" s="1"/>
  <c r="N514" i="13" s="1"/>
  <c r="G515" i="13"/>
  <c r="G514" i="13" s="1"/>
  <c r="H514" i="13"/>
  <c r="O513" i="13"/>
  <c r="M513" i="13"/>
  <c r="I513" i="13"/>
  <c r="G513" i="13"/>
  <c r="O512" i="13"/>
  <c r="N512" i="13"/>
  <c r="M512" i="13"/>
  <c r="I512" i="13"/>
  <c r="N511" i="13"/>
  <c r="N510" i="13" s="1"/>
  <c r="N509" i="13" s="1"/>
  <c r="M511" i="13"/>
  <c r="I511" i="13"/>
  <c r="O511" i="13" s="1"/>
  <c r="L510" i="13"/>
  <c r="J510" i="13"/>
  <c r="J509" i="13" s="1"/>
  <c r="H510" i="13"/>
  <c r="H509" i="13" s="1"/>
  <c r="H503" i="13" s="1"/>
  <c r="G510" i="13"/>
  <c r="L509" i="13"/>
  <c r="K509" i="13"/>
  <c r="G509" i="13"/>
  <c r="N507" i="13"/>
  <c r="M507" i="13"/>
  <c r="I507" i="13"/>
  <c r="L506" i="13"/>
  <c r="L505" i="13" s="1"/>
  <c r="L504" i="13" s="1"/>
  <c r="L503" i="13" s="1"/>
  <c r="I506" i="13"/>
  <c r="G506" i="13"/>
  <c r="J505" i="13"/>
  <c r="J504" i="13" s="1"/>
  <c r="K503" i="13"/>
  <c r="K502" i="13" s="1"/>
  <c r="K501" i="13"/>
  <c r="N500" i="13"/>
  <c r="M500" i="13"/>
  <c r="I500" i="13"/>
  <c r="O500" i="13" s="1"/>
  <c r="N499" i="13"/>
  <c r="G499" i="13"/>
  <c r="M499" i="13" s="1"/>
  <c r="N498" i="13"/>
  <c r="N497" i="13" s="1"/>
  <c r="I498" i="13"/>
  <c r="O498" i="13" s="1"/>
  <c r="O497" i="13" s="1"/>
  <c r="G498" i="13"/>
  <c r="G497" i="13" s="1"/>
  <c r="L497" i="13"/>
  <c r="L496" i="13" s="1"/>
  <c r="L495" i="13" s="1"/>
  <c r="L494" i="13" s="1"/>
  <c r="L493" i="13" s="1"/>
  <c r="J497" i="13"/>
  <c r="J496" i="13" s="1"/>
  <c r="J495" i="13" s="1"/>
  <c r="J494" i="13" s="1"/>
  <c r="J493" i="13" s="1"/>
  <c r="I497" i="13"/>
  <c r="K496" i="13"/>
  <c r="H496" i="13"/>
  <c r="G496" i="13"/>
  <c r="G495" i="13" s="1"/>
  <c r="G494" i="13" s="1"/>
  <c r="G493" i="13" s="1"/>
  <c r="H495" i="13"/>
  <c r="H494" i="13" s="1"/>
  <c r="H493" i="13" s="1"/>
  <c r="O488" i="13"/>
  <c r="M488" i="13"/>
  <c r="O487" i="13"/>
  <c r="M487" i="13"/>
  <c r="O486" i="13"/>
  <c r="M486" i="13"/>
  <c r="M485" i="13"/>
  <c r="M484" i="13" s="1"/>
  <c r="O484" i="13"/>
  <c r="N484" i="13"/>
  <c r="L484" i="13"/>
  <c r="J484" i="13"/>
  <c r="I484" i="13"/>
  <c r="G484" i="13"/>
  <c r="N483" i="13"/>
  <c r="N482" i="13" s="1"/>
  <c r="M483" i="13"/>
  <c r="M482" i="13" s="1"/>
  <c r="L483" i="13"/>
  <c r="L482" i="13"/>
  <c r="K482" i="13"/>
  <c r="J482" i="13"/>
  <c r="N481" i="13"/>
  <c r="M481" i="13"/>
  <c r="M480" i="13" s="1"/>
  <c r="L481" i="13"/>
  <c r="L480" i="13" s="1"/>
  <c r="I481" i="13"/>
  <c r="K480" i="13"/>
  <c r="J480" i="13"/>
  <c r="H480" i="13"/>
  <c r="I480" i="13" s="1"/>
  <c r="G480" i="13"/>
  <c r="N479" i="13"/>
  <c r="M479" i="13"/>
  <c r="L479" i="13"/>
  <c r="I479" i="13"/>
  <c r="K478" i="13"/>
  <c r="J478" i="13"/>
  <c r="H478" i="13"/>
  <c r="G478" i="13"/>
  <c r="M475" i="13"/>
  <c r="G475" i="13"/>
  <c r="N474" i="13"/>
  <c r="I474" i="13"/>
  <c r="O474" i="13" s="1"/>
  <c r="G474" i="13"/>
  <c r="M474" i="13" s="1"/>
  <c r="O473" i="13"/>
  <c r="N473" i="13"/>
  <c r="N471" i="13" s="1"/>
  <c r="M473" i="13"/>
  <c r="O472" i="13"/>
  <c r="G472" i="13"/>
  <c r="G471" i="13" s="1"/>
  <c r="L471" i="13"/>
  <c r="J471" i="13"/>
  <c r="J470" i="13" s="1"/>
  <c r="I471" i="13"/>
  <c r="H471" i="13"/>
  <c r="O467" i="13"/>
  <c r="N467" i="13"/>
  <c r="M467" i="13"/>
  <c r="L467" i="13"/>
  <c r="J467" i="13"/>
  <c r="I467" i="13"/>
  <c r="G467" i="13"/>
  <c r="M466" i="13"/>
  <c r="I465" i="13"/>
  <c r="G466" i="13"/>
  <c r="O465" i="13"/>
  <c r="N465" i="13"/>
  <c r="M465" i="13"/>
  <c r="M462" i="13" s="1"/>
  <c r="L465" i="13"/>
  <c r="J465" i="13"/>
  <c r="G465" i="13"/>
  <c r="N464" i="13"/>
  <c r="N463" i="13" s="1"/>
  <c r="M464" i="13"/>
  <c r="I464" i="13"/>
  <c r="M463" i="13"/>
  <c r="L463" i="13"/>
  <c r="L462" i="13" s="1"/>
  <c r="L461" i="13" s="1"/>
  <c r="J463" i="13"/>
  <c r="I463" i="13"/>
  <c r="H463" i="13"/>
  <c r="G463" i="13"/>
  <c r="G462" i="13" s="1"/>
  <c r="K462" i="13"/>
  <c r="K461" i="13" s="1"/>
  <c r="J462" i="13"/>
  <c r="J461" i="13" s="1"/>
  <c r="M461" i="13"/>
  <c r="O456" i="13"/>
  <c r="O455" i="13" s="1"/>
  <c r="O454" i="13" s="1"/>
  <c r="O453" i="13" s="1"/>
  <c r="O452" i="13" s="1"/>
  <c r="O451" i="13" s="1"/>
  <c r="O450" i="13" s="1"/>
  <c r="N456" i="13"/>
  <c r="N455" i="13" s="1"/>
  <c r="N454" i="13" s="1"/>
  <c r="N453" i="13" s="1"/>
  <c r="N452" i="13" s="1"/>
  <c r="N451" i="13" s="1"/>
  <c r="N450" i="13" s="1"/>
  <c r="M456" i="13"/>
  <c r="M455" i="13"/>
  <c r="M454" i="13" s="1"/>
  <c r="M453" i="13" s="1"/>
  <c r="M452" i="13" s="1"/>
  <c r="M451" i="13" s="1"/>
  <c r="M450" i="13" s="1"/>
  <c r="L455" i="13"/>
  <c r="L454" i="13" s="1"/>
  <c r="L453" i="13" s="1"/>
  <c r="L452" i="13" s="1"/>
  <c r="L451" i="13" s="1"/>
  <c r="L450" i="13" s="1"/>
  <c r="J455" i="13"/>
  <c r="J454" i="13" s="1"/>
  <c r="J453" i="13" s="1"/>
  <c r="J452" i="13" s="1"/>
  <c r="J451" i="13" s="1"/>
  <c r="J450" i="13" s="1"/>
  <c r="I455" i="13"/>
  <c r="H455" i="13"/>
  <c r="H454" i="13" s="1"/>
  <c r="H453" i="13" s="1"/>
  <c r="H452" i="13" s="1"/>
  <c r="H451" i="13" s="1"/>
  <c r="H450" i="13" s="1"/>
  <c r="G455" i="13"/>
  <c r="G454" i="13" s="1"/>
  <c r="G453" i="13" s="1"/>
  <c r="G452" i="13" s="1"/>
  <c r="G451" i="13" s="1"/>
  <c r="G450" i="13" s="1"/>
  <c r="K454" i="13"/>
  <c r="K453" i="13" s="1"/>
  <c r="K452" i="13" s="1"/>
  <c r="K451" i="13" s="1"/>
  <c r="K450" i="13" s="1"/>
  <c r="K449" i="13" s="1"/>
  <c r="I454" i="13"/>
  <c r="I453" i="13" s="1"/>
  <c r="I452" i="13" s="1"/>
  <c r="I451" i="13" s="1"/>
  <c r="I450" i="13" s="1"/>
  <c r="O448" i="13"/>
  <c r="O447" i="13" s="1"/>
  <c r="O446" i="13" s="1"/>
  <c r="N448" i="13"/>
  <c r="N447" i="13" s="1"/>
  <c r="N446" i="13" s="1"/>
  <c r="M448" i="13"/>
  <c r="M447" i="13" s="1"/>
  <c r="M446" i="13" s="1"/>
  <c r="L448" i="13"/>
  <c r="J448" i="13"/>
  <c r="J447" i="13" s="1"/>
  <c r="J446" i="13" s="1"/>
  <c r="I448" i="13"/>
  <c r="G448" i="13"/>
  <c r="G447" i="13" s="1"/>
  <c r="G446" i="13" s="1"/>
  <c r="L447" i="13"/>
  <c r="L446" i="13" s="1"/>
  <c r="K447" i="13"/>
  <c r="K446" i="13" s="1"/>
  <c r="I447" i="13"/>
  <c r="I446" i="13" s="1"/>
  <c r="H447" i="13"/>
  <c r="H446" i="13" s="1"/>
  <c r="O443" i="13"/>
  <c r="O442" i="13" s="1"/>
  <c r="O441" i="13" s="1"/>
  <c r="N443" i="13"/>
  <c r="N442" i="13" s="1"/>
  <c r="N441" i="13" s="1"/>
  <c r="M443" i="13"/>
  <c r="L443" i="13"/>
  <c r="L442" i="13" s="1"/>
  <c r="J443" i="13"/>
  <c r="J442" i="13" s="1"/>
  <c r="J441" i="13" s="1"/>
  <c r="I443" i="13"/>
  <c r="I442" i="13" s="1"/>
  <c r="I441" i="13" s="1"/>
  <c r="G443" i="13"/>
  <c r="M442" i="13"/>
  <c r="M441" i="13" s="1"/>
  <c r="K442" i="13"/>
  <c r="K441" i="13" s="1"/>
  <c r="K440" i="13" s="1"/>
  <c r="K439" i="13" s="1"/>
  <c r="H442" i="13"/>
  <c r="G442" i="13"/>
  <c r="G441" i="13" s="1"/>
  <c r="L441" i="13"/>
  <c r="H441" i="13"/>
  <c r="H440" i="13" s="1"/>
  <c r="H439" i="13" s="1"/>
  <c r="O437" i="13"/>
  <c r="O436" i="13" s="1"/>
  <c r="O435" i="13" s="1"/>
  <c r="O434" i="13" s="1"/>
  <c r="O433" i="13" s="1"/>
  <c r="N437" i="13"/>
  <c r="N436" i="13" s="1"/>
  <c r="N435" i="13" s="1"/>
  <c r="N434" i="13" s="1"/>
  <c r="N433" i="13" s="1"/>
  <c r="M437" i="13"/>
  <c r="M436" i="13" s="1"/>
  <c r="M435" i="13" s="1"/>
  <c r="M434" i="13" s="1"/>
  <c r="M433" i="13" s="1"/>
  <c r="L437" i="13"/>
  <c r="L436" i="13" s="1"/>
  <c r="L435" i="13" s="1"/>
  <c r="L434" i="13" s="1"/>
  <c r="L433" i="13" s="1"/>
  <c r="J437" i="13"/>
  <c r="J436" i="13" s="1"/>
  <c r="J435" i="13" s="1"/>
  <c r="J434" i="13" s="1"/>
  <c r="J433" i="13" s="1"/>
  <c r="I437" i="13"/>
  <c r="G437" i="13"/>
  <c r="G436" i="13" s="1"/>
  <c r="G435" i="13" s="1"/>
  <c r="G434" i="13" s="1"/>
  <c r="G433" i="13" s="1"/>
  <c r="K436" i="13"/>
  <c r="I436" i="13"/>
  <c r="I435" i="13" s="1"/>
  <c r="I434" i="13" s="1"/>
  <c r="I433" i="13" s="1"/>
  <c r="H436" i="13"/>
  <c r="H435" i="13" s="1"/>
  <c r="H434" i="13" s="1"/>
  <c r="H433" i="13" s="1"/>
  <c r="K435" i="13"/>
  <c r="K434" i="13" s="1"/>
  <c r="K433" i="13" s="1"/>
  <c r="M432" i="13"/>
  <c r="M431" i="13" s="1"/>
  <c r="M430" i="13" s="1"/>
  <c r="M429" i="13" s="1"/>
  <c r="M428" i="13" s="1"/>
  <c r="M427" i="13" s="1"/>
  <c r="O431" i="13"/>
  <c r="O430" i="13" s="1"/>
  <c r="O429" i="13" s="1"/>
  <c r="O428" i="13" s="1"/>
  <c r="O427" i="13" s="1"/>
  <c r="N431" i="13"/>
  <c r="N430" i="13" s="1"/>
  <c r="N429" i="13" s="1"/>
  <c r="N428" i="13" s="1"/>
  <c r="N427" i="13" s="1"/>
  <c r="L431" i="13"/>
  <c r="L430" i="13" s="1"/>
  <c r="L429" i="13" s="1"/>
  <c r="L428" i="13" s="1"/>
  <c r="L427" i="13" s="1"/>
  <c r="J431" i="13"/>
  <c r="I431" i="13"/>
  <c r="I430" i="13" s="1"/>
  <c r="I429" i="13" s="1"/>
  <c r="I428" i="13" s="1"/>
  <c r="I427" i="13" s="1"/>
  <c r="G431" i="13"/>
  <c r="K430" i="13"/>
  <c r="K429" i="13" s="1"/>
  <c r="K428" i="13" s="1"/>
  <c r="K427" i="13" s="1"/>
  <c r="J430" i="13"/>
  <c r="J429" i="13" s="1"/>
  <c r="J428" i="13" s="1"/>
  <c r="J427" i="13" s="1"/>
  <c r="G430" i="13"/>
  <c r="G429" i="13" s="1"/>
  <c r="G428" i="13" s="1"/>
  <c r="G427" i="13" s="1"/>
  <c r="N426" i="13"/>
  <c r="M426" i="13"/>
  <c r="M425" i="13" s="1"/>
  <c r="M424" i="13" s="1"/>
  <c r="M423" i="13" s="1"/>
  <c r="M422" i="13" s="1"/>
  <c r="M421" i="13" s="1"/>
  <c r="L425" i="13"/>
  <c r="J425" i="13"/>
  <c r="J424" i="13" s="1"/>
  <c r="J423" i="13" s="1"/>
  <c r="J422" i="13" s="1"/>
  <c r="J421" i="13" s="1"/>
  <c r="I425" i="13"/>
  <c r="I424" i="13" s="1"/>
  <c r="I423" i="13" s="1"/>
  <c r="I422" i="13" s="1"/>
  <c r="I421" i="13" s="1"/>
  <c r="G425" i="13"/>
  <c r="G424" i="13" s="1"/>
  <c r="G423" i="13" s="1"/>
  <c r="G422" i="13" s="1"/>
  <c r="G421" i="13" s="1"/>
  <c r="L424" i="13"/>
  <c r="L423" i="13" s="1"/>
  <c r="L422" i="13" s="1"/>
  <c r="L421" i="13" s="1"/>
  <c r="K424" i="13"/>
  <c r="K423" i="13" s="1"/>
  <c r="K422" i="13" s="1"/>
  <c r="K421" i="13" s="1"/>
  <c r="H424" i="13"/>
  <c r="H423" i="13" s="1"/>
  <c r="H422" i="13" s="1"/>
  <c r="H421" i="13" s="1"/>
  <c r="N420" i="13"/>
  <c r="I420" i="13"/>
  <c r="I419" i="13" s="1"/>
  <c r="I418" i="13" s="1"/>
  <c r="I417" i="13" s="1"/>
  <c r="I416" i="13" s="1"/>
  <c r="I415" i="13" s="1"/>
  <c r="M419" i="13"/>
  <c r="M418" i="13" s="1"/>
  <c r="M417" i="13" s="1"/>
  <c r="M416" i="13" s="1"/>
  <c r="M415" i="13" s="1"/>
  <c r="L419" i="13"/>
  <c r="L418" i="13" s="1"/>
  <c r="L417" i="13" s="1"/>
  <c r="L416" i="13" s="1"/>
  <c r="L415" i="13" s="1"/>
  <c r="J419" i="13"/>
  <c r="J418" i="13" s="1"/>
  <c r="J417" i="13" s="1"/>
  <c r="J416" i="13" s="1"/>
  <c r="J415" i="13" s="1"/>
  <c r="H419" i="13"/>
  <c r="G419" i="13"/>
  <c r="G418" i="13" s="1"/>
  <c r="G417" i="13" s="1"/>
  <c r="G416" i="13" s="1"/>
  <c r="G415" i="13" s="1"/>
  <c r="K418" i="13"/>
  <c r="K417" i="13" s="1"/>
  <c r="K416" i="13" s="1"/>
  <c r="K415" i="13" s="1"/>
  <c r="K414" i="13" s="1"/>
  <c r="H418" i="13"/>
  <c r="H417" i="13" s="1"/>
  <c r="H416" i="13" s="1"/>
  <c r="H415" i="13" s="1"/>
  <c r="O412" i="13"/>
  <c r="O411" i="13" s="1"/>
  <c r="O410" i="13" s="1"/>
  <c r="O409" i="13" s="1"/>
  <c r="N412" i="13"/>
  <c r="N411" i="13" s="1"/>
  <c r="N410" i="13" s="1"/>
  <c r="N409" i="13" s="1"/>
  <c r="M412" i="13"/>
  <c r="M411" i="13" s="1"/>
  <c r="M410" i="13" s="1"/>
  <c r="M409" i="13" s="1"/>
  <c r="L412" i="13"/>
  <c r="L411" i="13" s="1"/>
  <c r="L410" i="13" s="1"/>
  <c r="L409" i="13" s="1"/>
  <c r="J412" i="13"/>
  <c r="J411" i="13" s="1"/>
  <c r="J410" i="13" s="1"/>
  <c r="J409" i="13" s="1"/>
  <c r="I412" i="13"/>
  <c r="I411" i="13" s="1"/>
  <c r="I410" i="13" s="1"/>
  <c r="I409" i="13" s="1"/>
  <c r="G412" i="13"/>
  <c r="K411" i="13"/>
  <c r="K410" i="13" s="1"/>
  <c r="K409" i="13" s="1"/>
  <c r="H411" i="13"/>
  <c r="H410" i="13" s="1"/>
  <c r="H409" i="13" s="1"/>
  <c r="G411" i="13"/>
  <c r="G410" i="13" s="1"/>
  <c r="G409" i="13" s="1"/>
  <c r="N408" i="13"/>
  <c r="M408" i="13"/>
  <c r="L408" i="13"/>
  <c r="O408" i="13" s="1"/>
  <c r="N407" i="13"/>
  <c r="M407" i="13"/>
  <c r="L407" i="13"/>
  <c r="O407" i="13" s="1"/>
  <c r="N406" i="13"/>
  <c r="N405" i="13" s="1"/>
  <c r="M406" i="13"/>
  <c r="M405" i="13" s="1"/>
  <c r="L405" i="13"/>
  <c r="J405" i="13"/>
  <c r="I405" i="13"/>
  <c r="G405" i="13"/>
  <c r="N403" i="13"/>
  <c r="M403" i="13"/>
  <c r="L403" i="13"/>
  <c r="I403" i="13"/>
  <c r="O403" i="13" s="1"/>
  <c r="N402" i="13"/>
  <c r="M402" i="13"/>
  <c r="I402" i="13"/>
  <c r="L401" i="13"/>
  <c r="L400" i="13" s="1"/>
  <c r="K401" i="13"/>
  <c r="J401" i="13"/>
  <c r="J400" i="13" s="1"/>
  <c r="H401" i="13"/>
  <c r="H400" i="13" s="1"/>
  <c r="G401" i="13"/>
  <c r="G400" i="13" s="1"/>
  <c r="K400" i="13"/>
  <c r="N399" i="13"/>
  <c r="N398" i="13" s="1"/>
  <c r="M399" i="13"/>
  <c r="I399" i="13"/>
  <c r="O399" i="13" s="1"/>
  <c r="O398" i="13" s="1"/>
  <c r="M398" i="13"/>
  <c r="L398" i="13"/>
  <c r="J398" i="13"/>
  <c r="G398" i="13"/>
  <c r="N397" i="13"/>
  <c r="M397" i="13"/>
  <c r="L397" i="13"/>
  <c r="I397" i="13"/>
  <c r="N396" i="13"/>
  <c r="M396" i="13"/>
  <c r="L396" i="13"/>
  <c r="L395" i="13" s="1"/>
  <c r="L394" i="13" s="1"/>
  <c r="L393" i="13" s="1"/>
  <c r="I396" i="13"/>
  <c r="K395" i="13"/>
  <c r="K394" i="13" s="1"/>
  <c r="K393" i="13" s="1"/>
  <c r="K392" i="13" s="1"/>
  <c r="K391" i="13" s="1"/>
  <c r="I395" i="13"/>
  <c r="H395" i="13"/>
  <c r="H394" i="13" s="1"/>
  <c r="G395" i="13"/>
  <c r="G394" i="13" s="1"/>
  <c r="N390" i="13"/>
  <c r="M390" i="13"/>
  <c r="I390" i="13"/>
  <c r="O390" i="13" s="1"/>
  <c r="N389" i="13"/>
  <c r="H389" i="13"/>
  <c r="G389" i="13"/>
  <c r="M389" i="13" s="1"/>
  <c r="N388" i="13"/>
  <c r="M388" i="13"/>
  <c r="I388" i="13"/>
  <c r="O388" i="13" s="1"/>
  <c r="N387" i="13"/>
  <c r="G387" i="13"/>
  <c r="M387" i="13" s="1"/>
  <c r="N386" i="13"/>
  <c r="N385" i="13" s="1"/>
  <c r="M386" i="13"/>
  <c r="M385" i="13" s="1"/>
  <c r="I386" i="13"/>
  <c r="I385" i="13" s="1"/>
  <c r="L385" i="13"/>
  <c r="J385" i="13"/>
  <c r="J384" i="13" s="1"/>
  <c r="H385" i="13"/>
  <c r="H384" i="13" s="1"/>
  <c r="G385" i="13"/>
  <c r="G384" i="13" s="1"/>
  <c r="L384" i="13"/>
  <c r="K384" i="13"/>
  <c r="N383" i="13"/>
  <c r="N382" i="13" s="1"/>
  <c r="N381" i="13" s="1"/>
  <c r="M383" i="13"/>
  <c r="I383" i="13"/>
  <c r="O383" i="13" s="1"/>
  <c r="O382" i="13" s="1"/>
  <c r="O381" i="13" s="1"/>
  <c r="M382" i="13"/>
  <c r="M381" i="13" s="1"/>
  <c r="L382" i="13"/>
  <c r="L381" i="13" s="1"/>
  <c r="J382" i="13"/>
  <c r="J381" i="13" s="1"/>
  <c r="G382" i="13"/>
  <c r="G381" i="13" s="1"/>
  <c r="K381" i="13"/>
  <c r="K380" i="13" s="1"/>
  <c r="K379" i="13" s="1"/>
  <c r="K378" i="13" s="1"/>
  <c r="H381" i="13"/>
  <c r="N376" i="13"/>
  <c r="M376" i="13"/>
  <c r="M374" i="13" s="1"/>
  <c r="I376" i="13"/>
  <c r="O376" i="13" s="1"/>
  <c r="M375" i="13"/>
  <c r="I375" i="13"/>
  <c r="O375" i="13" s="1"/>
  <c r="H375" i="13"/>
  <c r="N375" i="13" s="1"/>
  <c r="I374" i="13"/>
  <c r="O374" i="13" s="1"/>
  <c r="H374" i="13"/>
  <c r="N374" i="13" s="1"/>
  <c r="I373" i="13"/>
  <c r="O373" i="13" s="1"/>
  <c r="N372" i="13"/>
  <c r="M372" i="13"/>
  <c r="I372" i="13"/>
  <c r="O372" i="13" s="1"/>
  <c r="N371" i="13"/>
  <c r="M371" i="13"/>
  <c r="I371" i="13"/>
  <c r="N370" i="13"/>
  <c r="M370" i="13"/>
  <c r="I370" i="13"/>
  <c r="O370" i="13" s="1"/>
  <c r="N369" i="13"/>
  <c r="N368" i="13" s="1"/>
  <c r="M369" i="13"/>
  <c r="I369" i="13"/>
  <c r="I368" i="13" s="1"/>
  <c r="M368" i="13"/>
  <c r="L368" i="13"/>
  <c r="J368" i="13"/>
  <c r="J367" i="13" s="1"/>
  <c r="J366" i="13" s="1"/>
  <c r="H368" i="13"/>
  <c r="H367" i="13" s="1"/>
  <c r="H366" i="13" s="1"/>
  <c r="G368" i="13"/>
  <c r="G367" i="13" s="1"/>
  <c r="G366" i="13" s="1"/>
  <c r="M367" i="13"/>
  <c r="M366" i="13" s="1"/>
  <c r="L367" i="13"/>
  <c r="K367" i="13"/>
  <c r="K366" i="13" s="1"/>
  <c r="L366" i="13"/>
  <c r="N365" i="13"/>
  <c r="M365" i="13"/>
  <c r="L365" i="13"/>
  <c r="O365" i="13" s="1"/>
  <c r="M364" i="13"/>
  <c r="L364" i="13"/>
  <c r="O364" i="13" s="1"/>
  <c r="K364" i="13"/>
  <c r="N364" i="13" s="1"/>
  <c r="O362" i="13"/>
  <c r="N362" i="13"/>
  <c r="M362" i="13"/>
  <c r="L362" i="13"/>
  <c r="L361" i="13" s="1"/>
  <c r="J362" i="13"/>
  <c r="J361" i="13" s="1"/>
  <c r="I362" i="13"/>
  <c r="G362" i="13"/>
  <c r="K361" i="13"/>
  <c r="N361" i="13" s="1"/>
  <c r="N360" i="13" s="1"/>
  <c r="I361" i="13"/>
  <c r="I360" i="13" s="1"/>
  <c r="I359" i="13" s="1"/>
  <c r="H361" i="13"/>
  <c r="H360" i="13" s="1"/>
  <c r="G361" i="13"/>
  <c r="G360" i="13" s="1"/>
  <c r="G359" i="13" s="1"/>
  <c r="N358" i="13"/>
  <c r="M358" i="13"/>
  <c r="I358" i="13"/>
  <c r="O358" i="13" s="1"/>
  <c r="J357" i="13"/>
  <c r="H357" i="13"/>
  <c r="N357" i="13" s="1"/>
  <c r="G357" i="13"/>
  <c r="N356" i="13"/>
  <c r="N355" i="13" s="1"/>
  <c r="M356" i="13"/>
  <c r="L356" i="13"/>
  <c r="I356" i="13"/>
  <c r="M355" i="13"/>
  <c r="J355" i="13"/>
  <c r="J354" i="13" s="1"/>
  <c r="J353" i="13" s="1"/>
  <c r="J352" i="13" s="1"/>
  <c r="I355" i="13"/>
  <c r="H355" i="13"/>
  <c r="G355" i="13"/>
  <c r="G354" i="13" s="1"/>
  <c r="G353" i="13" s="1"/>
  <c r="G352" i="13" s="1"/>
  <c r="K354" i="13"/>
  <c r="N351" i="13"/>
  <c r="M351" i="13"/>
  <c r="O351" i="13"/>
  <c r="N350" i="13"/>
  <c r="G350" i="13"/>
  <c r="O348" i="13"/>
  <c r="N348" i="13"/>
  <c r="M348" i="13"/>
  <c r="G348" i="13"/>
  <c r="O347" i="13"/>
  <c r="G347" i="13"/>
  <c r="M347" i="13" s="1"/>
  <c r="N346" i="13"/>
  <c r="M346" i="13"/>
  <c r="L346" i="13"/>
  <c r="L345" i="13" s="1"/>
  <c r="I346" i="13"/>
  <c r="O346" i="13" s="1"/>
  <c r="K345" i="13"/>
  <c r="J345" i="13"/>
  <c r="H345" i="13"/>
  <c r="N345" i="13" s="1"/>
  <c r="G345" i="13"/>
  <c r="N344" i="13"/>
  <c r="I344" i="13"/>
  <c r="O344" i="13" s="1"/>
  <c r="N343" i="13"/>
  <c r="I343" i="13"/>
  <c r="O343" i="13" s="1"/>
  <c r="O342" i="13"/>
  <c r="N342" i="13"/>
  <c r="L341" i="13"/>
  <c r="O341" i="13" s="1"/>
  <c r="K341" i="13"/>
  <c r="N341" i="13" s="1"/>
  <c r="N340" i="13"/>
  <c r="L340" i="13"/>
  <c r="O340" i="13" s="1"/>
  <c r="N339" i="13"/>
  <c r="L339" i="13"/>
  <c r="O339" i="13" s="1"/>
  <c r="N338" i="13"/>
  <c r="L338" i="13"/>
  <c r="O338" i="13" s="1"/>
  <c r="N337" i="13"/>
  <c r="L337" i="13"/>
  <c r="O337" i="13" s="1"/>
  <c r="M336" i="13"/>
  <c r="L336" i="13"/>
  <c r="I336" i="13"/>
  <c r="O336" i="13" s="1"/>
  <c r="N336" i="13"/>
  <c r="N335" i="13" s="1"/>
  <c r="M335" i="13"/>
  <c r="L335" i="13"/>
  <c r="K335" i="13"/>
  <c r="J335" i="13"/>
  <c r="H335" i="13"/>
  <c r="G335" i="13"/>
  <c r="N334" i="13"/>
  <c r="N333" i="13" s="1"/>
  <c r="M334" i="13"/>
  <c r="M333" i="13" s="1"/>
  <c r="I334" i="13"/>
  <c r="I333" i="13" s="1"/>
  <c r="L333" i="13"/>
  <c r="J333" i="13"/>
  <c r="H333" i="13"/>
  <c r="G333" i="13"/>
  <c r="N332" i="13"/>
  <c r="N331" i="13" s="1"/>
  <c r="M332" i="13"/>
  <c r="M331" i="13" s="1"/>
  <c r="L332" i="13"/>
  <c r="L331" i="13" s="1"/>
  <c r="I332" i="13"/>
  <c r="K331" i="13"/>
  <c r="K320" i="13" s="1"/>
  <c r="K319" i="13" s="1"/>
  <c r="K318" i="13" s="1"/>
  <c r="J331" i="13"/>
  <c r="I331" i="13"/>
  <c r="H331" i="13"/>
  <c r="N330" i="13"/>
  <c r="M330" i="13"/>
  <c r="I330" i="13"/>
  <c r="O330" i="13" s="1"/>
  <c r="M329" i="13"/>
  <c r="N328" i="13"/>
  <c r="N327" i="13" s="1"/>
  <c r="M328" i="13"/>
  <c r="M327" i="13" s="1"/>
  <c r="I328" i="13"/>
  <c r="I327" i="13" s="1"/>
  <c r="L327" i="13"/>
  <c r="J327" i="13"/>
  <c r="H327" i="13"/>
  <c r="G327" i="13"/>
  <c r="N326" i="13"/>
  <c r="N325" i="13" s="1"/>
  <c r="M326" i="13"/>
  <c r="M325" i="13" s="1"/>
  <c r="I325" i="13"/>
  <c r="L325" i="13"/>
  <c r="J325" i="13"/>
  <c r="G325" i="13"/>
  <c r="N324" i="13"/>
  <c r="N323" i="13" s="1"/>
  <c r="M324" i="13"/>
  <c r="L324" i="13"/>
  <c r="L323" i="13" s="1"/>
  <c r="I324" i="13"/>
  <c r="M323" i="13"/>
  <c r="K323" i="13"/>
  <c r="J323" i="13"/>
  <c r="I323" i="13"/>
  <c r="H323" i="13"/>
  <c r="G323" i="13"/>
  <c r="N322" i="13"/>
  <c r="N321" i="13" s="1"/>
  <c r="M322" i="13"/>
  <c r="M321" i="13" s="1"/>
  <c r="I322" i="13"/>
  <c r="O322" i="13" s="1"/>
  <c r="O321" i="13" s="1"/>
  <c r="L321" i="13"/>
  <c r="J321" i="13"/>
  <c r="J320" i="13" s="1"/>
  <c r="J319" i="13" s="1"/>
  <c r="J318" i="13" s="1"/>
  <c r="H321" i="13"/>
  <c r="G321" i="13"/>
  <c r="G320" i="13" s="1"/>
  <c r="N316" i="13"/>
  <c r="O316" i="13" s="1"/>
  <c r="M315" i="13"/>
  <c r="M313" i="13" s="1"/>
  <c r="M312" i="13" s="1"/>
  <c r="N314" i="13"/>
  <c r="N311" i="13"/>
  <c r="M311" i="13"/>
  <c r="I311" i="13"/>
  <c r="O311" i="13" s="1"/>
  <c r="H310" i="13"/>
  <c r="N310" i="13" s="1"/>
  <c r="H309" i="13"/>
  <c r="N309" i="13" s="1"/>
  <c r="N308" i="13" s="1"/>
  <c r="N307" i="13" s="1"/>
  <c r="G309" i="13"/>
  <c r="L308" i="13"/>
  <c r="L307" i="13" s="1"/>
  <c r="K308" i="13"/>
  <c r="K307" i="13" s="1"/>
  <c r="J308" i="13"/>
  <c r="J307" i="13" s="1"/>
  <c r="O306" i="13"/>
  <c r="O305" i="13" s="1"/>
  <c r="N306" i="13"/>
  <c r="N305" i="13" s="1"/>
  <c r="M306" i="13"/>
  <c r="M305" i="13"/>
  <c r="L305" i="13"/>
  <c r="J305" i="13"/>
  <c r="I305" i="13"/>
  <c r="H305" i="13"/>
  <c r="G305" i="13"/>
  <c r="N304" i="13"/>
  <c r="N302" i="13" s="1"/>
  <c r="M304" i="13"/>
  <c r="I304" i="13"/>
  <c r="N303" i="13"/>
  <c r="M303" i="13"/>
  <c r="M302" i="13" s="1"/>
  <c r="M301" i="13" s="1"/>
  <c r="M300" i="13" s="1"/>
  <c r="K303" i="13"/>
  <c r="I303" i="13"/>
  <c r="O303" i="13" s="1"/>
  <c r="L302" i="13"/>
  <c r="J302" i="13"/>
  <c r="H302" i="13"/>
  <c r="H301" i="13" s="1"/>
  <c r="H300" i="13" s="1"/>
  <c r="G302" i="13"/>
  <c r="G301" i="13" s="1"/>
  <c r="G300" i="13" s="1"/>
  <c r="K301" i="13"/>
  <c r="K300" i="13" s="1"/>
  <c r="K299" i="13" s="1"/>
  <c r="J301" i="13"/>
  <c r="J300" i="13" s="1"/>
  <c r="J299" i="13" s="1"/>
  <c r="N298" i="13"/>
  <c r="M298" i="13"/>
  <c r="I298" i="13"/>
  <c r="O298" i="13" s="1"/>
  <c r="H297" i="13"/>
  <c r="N297" i="13" s="1"/>
  <c r="G297" i="13"/>
  <c r="M297" i="13" s="1"/>
  <c r="L295" i="13"/>
  <c r="L294" i="13" s="1"/>
  <c r="K295" i="13"/>
  <c r="K294" i="13" s="1"/>
  <c r="J295" i="13"/>
  <c r="J294" i="13" s="1"/>
  <c r="N292" i="13"/>
  <c r="L293" i="13"/>
  <c r="L292" i="13" s="1"/>
  <c r="J293" i="13"/>
  <c r="M293" i="13" s="1"/>
  <c r="M292" i="13" s="1"/>
  <c r="I292" i="13"/>
  <c r="G292" i="13"/>
  <c r="N291" i="13"/>
  <c r="O291" i="13" s="1"/>
  <c r="O290" i="13" s="1"/>
  <c r="L291" i="13"/>
  <c r="J291" i="13"/>
  <c r="M291" i="13" s="1"/>
  <c r="M290" i="13" s="1"/>
  <c r="I291" i="13"/>
  <c r="N290" i="13"/>
  <c r="L290" i="13"/>
  <c r="J290" i="13"/>
  <c r="I290" i="13"/>
  <c r="H290" i="13"/>
  <c r="G290" i="13"/>
  <c r="N289" i="13"/>
  <c r="N288" i="13" s="1"/>
  <c r="M289" i="13"/>
  <c r="M288" i="13" s="1"/>
  <c r="L289" i="13"/>
  <c r="O289" i="13" s="1"/>
  <c r="O288" i="13" s="1"/>
  <c r="J288" i="13"/>
  <c r="I288" i="13"/>
  <c r="G288" i="13"/>
  <c r="N287" i="13"/>
  <c r="N285" i="13" s="1"/>
  <c r="M287" i="13"/>
  <c r="I287" i="13"/>
  <c r="I285" i="13" s="1"/>
  <c r="O286" i="13"/>
  <c r="N286" i="13"/>
  <c r="M286" i="13"/>
  <c r="M285" i="13" s="1"/>
  <c r="L286" i="13"/>
  <c r="L285" i="13"/>
  <c r="K285" i="13"/>
  <c r="K284" i="13" s="1"/>
  <c r="K283" i="13" s="1"/>
  <c r="K282" i="13" s="1"/>
  <c r="J285" i="13"/>
  <c r="H285" i="13"/>
  <c r="H283" i="13" s="1"/>
  <c r="G285" i="13"/>
  <c r="G284" i="13" s="1"/>
  <c r="G283" i="13" s="1"/>
  <c r="N280" i="13"/>
  <c r="M280" i="13"/>
  <c r="M279" i="13" s="1"/>
  <c r="I280" i="13"/>
  <c r="I279" i="13" s="1"/>
  <c r="L279" i="13"/>
  <c r="J279" i="13"/>
  <c r="H279" i="13"/>
  <c r="H276" i="13" s="1"/>
  <c r="H275" i="13" s="1"/>
  <c r="H270" i="13" s="1"/>
  <c r="G279" i="13"/>
  <c r="O277" i="13"/>
  <c r="N277" i="13"/>
  <c r="M277" i="13"/>
  <c r="L277" i="13"/>
  <c r="J277" i="13"/>
  <c r="I277" i="13"/>
  <c r="G277" i="13"/>
  <c r="L276" i="13"/>
  <c r="L275" i="13" s="1"/>
  <c r="L270" i="13" s="1"/>
  <c r="L255" i="13" s="1"/>
  <c r="K276" i="13"/>
  <c r="K275" i="13"/>
  <c r="K270" i="13" s="1"/>
  <c r="K255" i="13" s="1"/>
  <c r="N264" i="13"/>
  <c r="M264" i="13"/>
  <c r="I264" i="13"/>
  <c r="O264" i="13" s="1"/>
  <c r="N263" i="13"/>
  <c r="M263" i="13"/>
  <c r="I263" i="13"/>
  <c r="O263" i="13" s="1"/>
  <c r="H262" i="13"/>
  <c r="N262" i="13" s="1"/>
  <c r="G262" i="13"/>
  <c r="M262" i="13" s="1"/>
  <c r="N253" i="13"/>
  <c r="M253" i="13"/>
  <c r="I253" i="13"/>
  <c r="O253" i="13" s="1"/>
  <c r="O252" i="13" s="1"/>
  <c r="O251" i="13" s="1"/>
  <c r="O250" i="13" s="1"/>
  <c r="N252" i="13"/>
  <c r="N251" i="13" s="1"/>
  <c r="N250" i="13" s="1"/>
  <c r="M252" i="13"/>
  <c r="M251" i="13" s="1"/>
  <c r="M250" i="13" s="1"/>
  <c r="L252" i="13"/>
  <c r="L251" i="13" s="1"/>
  <c r="L250" i="13" s="1"/>
  <c r="J252" i="13"/>
  <c r="J251" i="13" s="1"/>
  <c r="J250" i="13" s="1"/>
  <c r="G252" i="13"/>
  <c r="G251" i="13" s="1"/>
  <c r="G250" i="13" s="1"/>
  <c r="K251" i="13"/>
  <c r="K250" i="13" s="1"/>
  <c r="H251" i="13"/>
  <c r="H250" i="13" s="1"/>
  <c r="O249" i="13"/>
  <c r="N249" i="13"/>
  <c r="I249" i="13"/>
  <c r="O248" i="13"/>
  <c r="N248" i="13"/>
  <c r="I248" i="13"/>
  <c r="N246" i="13"/>
  <c r="M246" i="13"/>
  <c r="I246" i="13"/>
  <c r="O246" i="13" s="1"/>
  <c r="O245" i="13" s="1"/>
  <c r="O244" i="13" s="1"/>
  <c r="O243" i="13" s="1"/>
  <c r="N245" i="13"/>
  <c r="M245" i="13"/>
  <c r="M244" i="13" s="1"/>
  <c r="M243" i="13" s="1"/>
  <c r="L245" i="13"/>
  <c r="J245" i="13"/>
  <c r="I245" i="13"/>
  <c r="G245" i="13"/>
  <c r="G244" i="13" s="1"/>
  <c r="G243" i="13" s="1"/>
  <c r="L244" i="13"/>
  <c r="L243" i="13" s="1"/>
  <c r="K244" i="13"/>
  <c r="J244" i="13"/>
  <c r="J243" i="13" s="1"/>
  <c r="I244" i="13"/>
  <c r="I243" i="13" s="1"/>
  <c r="H244" i="13"/>
  <c r="N244" i="13" s="1"/>
  <c r="N243" i="13" s="1"/>
  <c r="K243" i="13"/>
  <c r="O240" i="13"/>
  <c r="N240" i="13"/>
  <c r="N239" i="13" s="1"/>
  <c r="N238" i="13" s="1"/>
  <c r="M240" i="13"/>
  <c r="L240" i="13"/>
  <c r="L239" i="13" s="1"/>
  <c r="L238" i="13" s="1"/>
  <c r="J240" i="13"/>
  <c r="I240" i="13"/>
  <c r="I239" i="13" s="1"/>
  <c r="I238" i="13" s="1"/>
  <c r="G240" i="13"/>
  <c r="O239" i="13"/>
  <c r="O238" i="13" s="1"/>
  <c r="M239" i="13"/>
  <c r="M238" i="13" s="1"/>
  <c r="K239" i="13"/>
  <c r="K238" i="13" s="1"/>
  <c r="K237" i="13" s="1"/>
  <c r="J239" i="13"/>
  <c r="J238" i="13" s="1"/>
  <c r="H239" i="13"/>
  <c r="G239" i="13"/>
  <c r="G238" i="13" s="1"/>
  <c r="H238" i="13"/>
  <c r="N236" i="13"/>
  <c r="M236" i="13"/>
  <c r="I236" i="13"/>
  <c r="O236" i="13" s="1"/>
  <c r="M235" i="13"/>
  <c r="H235" i="13"/>
  <c r="I235" i="13" s="1"/>
  <c r="O235" i="13" s="1"/>
  <c r="G235" i="13"/>
  <c r="N234" i="13"/>
  <c r="M234" i="13"/>
  <c r="O234" i="13"/>
  <c r="I233" i="13"/>
  <c r="O233" i="13" s="1"/>
  <c r="H233" i="13"/>
  <c r="H232" i="13" s="1"/>
  <c r="G233" i="13"/>
  <c r="M233" i="13" s="1"/>
  <c r="L231" i="13"/>
  <c r="K231" i="13"/>
  <c r="J231" i="13"/>
  <c r="N230" i="13"/>
  <c r="N229" i="13" s="1"/>
  <c r="N228" i="13" s="1"/>
  <c r="M230" i="13"/>
  <c r="O230" i="13" s="1"/>
  <c r="O229" i="13" s="1"/>
  <c r="O228" i="13" s="1"/>
  <c r="I230" i="13"/>
  <c r="I229" i="13" s="1"/>
  <c r="I228" i="13" s="1"/>
  <c r="L229" i="13"/>
  <c r="L228" i="13" s="1"/>
  <c r="J229" i="13"/>
  <c r="J228" i="13" s="1"/>
  <c r="H229" i="13"/>
  <c r="H228" i="13" s="1"/>
  <c r="G229" i="13"/>
  <c r="G228" i="13" s="1"/>
  <c r="K228" i="13"/>
  <c r="N227" i="13"/>
  <c r="M227" i="13"/>
  <c r="I227" i="13"/>
  <c r="O227" i="13" s="1"/>
  <c r="N226" i="13"/>
  <c r="G226" i="13"/>
  <c r="M226" i="13" s="1"/>
  <c r="N225" i="13"/>
  <c r="G225" i="13"/>
  <c r="I225" i="13" s="1"/>
  <c r="O225" i="13" s="1"/>
  <c r="N224" i="13"/>
  <c r="M224" i="13"/>
  <c r="O224" i="13" s="1"/>
  <c r="I224" i="13"/>
  <c r="O223" i="13"/>
  <c r="N223" i="13"/>
  <c r="M223" i="13"/>
  <c r="I223" i="13"/>
  <c r="L222" i="13"/>
  <c r="J222" i="13"/>
  <c r="I222" i="13"/>
  <c r="I221" i="13" s="1"/>
  <c r="H222" i="13"/>
  <c r="G222" i="13"/>
  <c r="G221" i="13" s="1"/>
  <c r="L221" i="13"/>
  <c r="K221" i="13"/>
  <c r="K220" i="13" s="1"/>
  <c r="J221" i="13"/>
  <c r="H221" i="13"/>
  <c r="N219" i="13"/>
  <c r="N218" i="13" s="1"/>
  <c r="M219" i="13"/>
  <c r="L219" i="13"/>
  <c r="L218" i="13" s="1"/>
  <c r="I219" i="13"/>
  <c r="M218" i="13"/>
  <c r="K218" i="13"/>
  <c r="J218" i="13"/>
  <c r="I218" i="13"/>
  <c r="H218" i="13"/>
  <c r="G218" i="13"/>
  <c r="N217" i="13"/>
  <c r="M217" i="13"/>
  <c r="L217" i="13"/>
  <c r="O217" i="13" s="1"/>
  <c r="I217" i="13"/>
  <c r="N216" i="13"/>
  <c r="M216" i="13"/>
  <c r="L216" i="13"/>
  <c r="I216" i="13"/>
  <c r="N215" i="13"/>
  <c r="M215" i="13"/>
  <c r="L215" i="13"/>
  <c r="O215" i="13" s="1"/>
  <c r="N214" i="13"/>
  <c r="J214" i="13"/>
  <c r="L214" i="13" s="1"/>
  <c r="L211" i="13" s="1"/>
  <c r="L210" i="13" s="1"/>
  <c r="I214" i="13"/>
  <c r="N213" i="13"/>
  <c r="M213" i="13"/>
  <c r="O213" i="13" s="1"/>
  <c r="I213" i="13"/>
  <c r="N212" i="13"/>
  <c r="M212" i="13"/>
  <c r="O212" i="13" s="1"/>
  <c r="I212" i="13"/>
  <c r="H212" i="13"/>
  <c r="K211" i="13"/>
  <c r="K210" i="13" s="1"/>
  <c r="K209" i="13" s="1"/>
  <c r="K208" i="13" s="1"/>
  <c r="J211" i="13"/>
  <c r="I211" i="13"/>
  <c r="I210" i="13" s="1"/>
  <c r="H211" i="13"/>
  <c r="N211" i="13" s="1"/>
  <c r="N210" i="13" s="1"/>
  <c r="G211" i="13"/>
  <c r="G210" i="13" s="1"/>
  <c r="J210" i="13"/>
  <c r="O207" i="13"/>
  <c r="N207" i="13"/>
  <c r="M207" i="13"/>
  <c r="I206" i="13"/>
  <c r="I205" i="13" s="1"/>
  <c r="I204" i="13" s="1"/>
  <c r="I203" i="13" s="1"/>
  <c r="I202" i="13" s="1"/>
  <c r="O206" i="13"/>
  <c r="O205" i="13" s="1"/>
  <c r="O204" i="13" s="1"/>
  <c r="O203" i="13" s="1"/>
  <c r="O202" i="13" s="1"/>
  <c r="N206" i="13"/>
  <c r="N205" i="13" s="1"/>
  <c r="N204" i="13" s="1"/>
  <c r="N203" i="13" s="1"/>
  <c r="N202" i="13" s="1"/>
  <c r="M206" i="13"/>
  <c r="M205" i="13" s="1"/>
  <c r="M204" i="13" s="1"/>
  <c r="M203" i="13" s="1"/>
  <c r="M202" i="13" s="1"/>
  <c r="L206" i="13"/>
  <c r="L205" i="13" s="1"/>
  <c r="L204" i="13" s="1"/>
  <c r="L203" i="13" s="1"/>
  <c r="L202" i="13" s="1"/>
  <c r="J206" i="13"/>
  <c r="J205" i="13" s="1"/>
  <c r="J204" i="13" s="1"/>
  <c r="J203" i="13" s="1"/>
  <c r="J202" i="13" s="1"/>
  <c r="G206" i="13"/>
  <c r="G205" i="13" s="1"/>
  <c r="G204" i="13" s="1"/>
  <c r="G203" i="13" s="1"/>
  <c r="G202" i="13" s="1"/>
  <c r="K205" i="13"/>
  <c r="H205" i="13"/>
  <c r="H204" i="13" s="1"/>
  <c r="H203" i="13" s="1"/>
  <c r="H202" i="13" s="1"/>
  <c r="K204" i="13"/>
  <c r="K203" i="13" s="1"/>
  <c r="K202" i="13" s="1"/>
  <c r="N201" i="13"/>
  <c r="M201" i="13"/>
  <c r="I201" i="13"/>
  <c r="O201" i="13" s="1"/>
  <c r="I200" i="13"/>
  <c r="O200" i="13" s="1"/>
  <c r="H200" i="13"/>
  <c r="N200" i="13" s="1"/>
  <c r="G200" i="13"/>
  <c r="G199" i="13" s="1"/>
  <c r="M199" i="13" s="1"/>
  <c r="N197" i="13"/>
  <c r="M197" i="13"/>
  <c r="I197" i="13"/>
  <c r="I196" i="13" s="1"/>
  <c r="I195" i="13" s="1"/>
  <c r="I194" i="13" s="1"/>
  <c r="I193" i="13" s="1"/>
  <c r="M196" i="13"/>
  <c r="M195" i="13" s="1"/>
  <c r="M194" i="13" s="1"/>
  <c r="M193" i="13" s="1"/>
  <c r="L196" i="13"/>
  <c r="J196" i="13"/>
  <c r="J195" i="13" s="1"/>
  <c r="J194" i="13" s="1"/>
  <c r="J193" i="13" s="1"/>
  <c r="H196" i="13"/>
  <c r="G196" i="13"/>
  <c r="G195" i="13" s="1"/>
  <c r="G194" i="13" s="1"/>
  <c r="G193" i="13" s="1"/>
  <c r="L195" i="13"/>
  <c r="L194" i="13" s="1"/>
  <c r="L193" i="13" s="1"/>
  <c r="K195" i="13"/>
  <c r="H195" i="13"/>
  <c r="H194" i="13" s="1"/>
  <c r="H193" i="13" s="1"/>
  <c r="K194" i="13"/>
  <c r="K193" i="13" s="1"/>
  <c r="O192" i="13"/>
  <c r="O191" i="13" s="1"/>
  <c r="O190" i="13" s="1"/>
  <c r="N192" i="13"/>
  <c r="N191" i="13" s="1"/>
  <c r="N190" i="13" s="1"/>
  <c r="M192" i="13"/>
  <c r="M191" i="13"/>
  <c r="M190" i="13" s="1"/>
  <c r="L191" i="13"/>
  <c r="L190" i="13" s="1"/>
  <c r="J191" i="13"/>
  <c r="J190" i="13" s="1"/>
  <c r="I191" i="13"/>
  <c r="I190" i="13" s="1"/>
  <c r="H191" i="13"/>
  <c r="H190" i="13" s="1"/>
  <c r="G191" i="13"/>
  <c r="G190" i="13" s="1"/>
  <c r="K190" i="13"/>
  <c r="K189" i="13" s="1"/>
  <c r="O188" i="13"/>
  <c r="N188" i="13"/>
  <c r="M188" i="13"/>
  <c r="L188" i="13"/>
  <c r="J188" i="13"/>
  <c r="I188" i="13"/>
  <c r="G188" i="13"/>
  <c r="N187" i="13"/>
  <c r="N186" i="13" s="1"/>
  <c r="M187" i="13"/>
  <c r="L187" i="13"/>
  <c r="L186" i="13" s="1"/>
  <c r="I187" i="13"/>
  <c r="M186" i="13"/>
  <c r="K186" i="13"/>
  <c r="J186" i="13"/>
  <c r="I186" i="13"/>
  <c r="H186" i="13"/>
  <c r="G186" i="13"/>
  <c r="M185" i="13"/>
  <c r="L185" i="13"/>
  <c r="N185" i="13"/>
  <c r="M184" i="13"/>
  <c r="M183" i="13" s="1"/>
  <c r="M182" i="13" s="1"/>
  <c r="K184" i="13"/>
  <c r="K183" i="13" s="1"/>
  <c r="I184" i="13"/>
  <c r="J183" i="13"/>
  <c r="J182" i="13" s="1"/>
  <c r="H183" i="13"/>
  <c r="H182" i="13" s="1"/>
  <c r="G183" i="13"/>
  <c r="G182" i="13" s="1"/>
  <c r="K182" i="13"/>
  <c r="K181" i="13" s="1"/>
  <c r="N178" i="13"/>
  <c r="M178" i="13"/>
  <c r="M177" i="13" s="1"/>
  <c r="I178" i="13"/>
  <c r="O178" i="13" s="1"/>
  <c r="H177" i="13"/>
  <c r="N177" i="13" s="1"/>
  <c r="N174" i="13" s="1"/>
  <c r="N173" i="13" s="1"/>
  <c r="N172" i="13" s="1"/>
  <c r="N171" i="13" s="1"/>
  <c r="G177" i="13"/>
  <c r="N176" i="13"/>
  <c r="M176" i="13"/>
  <c r="M175" i="13" s="1"/>
  <c r="L176" i="13"/>
  <c r="I176" i="13"/>
  <c r="I175" i="13" s="1"/>
  <c r="N175" i="13"/>
  <c r="L175" i="13"/>
  <c r="L174" i="13" s="1"/>
  <c r="L173" i="13" s="1"/>
  <c r="L172" i="13" s="1"/>
  <c r="L171" i="13" s="1"/>
  <c r="K175" i="13"/>
  <c r="J175" i="13"/>
  <c r="J174" i="13" s="1"/>
  <c r="J173" i="13" s="1"/>
  <c r="J172" i="13" s="1"/>
  <c r="J171" i="13" s="1"/>
  <c r="G175" i="13"/>
  <c r="G174" i="13" s="1"/>
  <c r="G173" i="13" s="1"/>
  <c r="G172" i="13" s="1"/>
  <c r="G171" i="13" s="1"/>
  <c r="K174" i="13"/>
  <c r="K173" i="13" s="1"/>
  <c r="K172" i="13" s="1"/>
  <c r="K171" i="13" s="1"/>
  <c r="O168" i="13"/>
  <c r="O167" i="13" s="1"/>
  <c r="O166" i="13" s="1"/>
  <c r="N168" i="13"/>
  <c r="N167" i="13" s="1"/>
  <c r="N166" i="13" s="1"/>
  <c r="M168" i="13"/>
  <c r="M167" i="13" s="1"/>
  <c r="M166" i="13" s="1"/>
  <c r="L168" i="13"/>
  <c r="L167" i="13" s="1"/>
  <c r="L166" i="13" s="1"/>
  <c r="J168" i="13"/>
  <c r="J167" i="13" s="1"/>
  <c r="J166" i="13" s="1"/>
  <c r="I168" i="13"/>
  <c r="I167" i="13" s="1"/>
  <c r="I166" i="13" s="1"/>
  <c r="G168" i="13"/>
  <c r="G167" i="13" s="1"/>
  <c r="G166" i="13" s="1"/>
  <c r="K167" i="13"/>
  <c r="K166" i="13" s="1"/>
  <c r="H167" i="13"/>
  <c r="H166" i="13" s="1"/>
  <c r="O164" i="13"/>
  <c r="O163" i="13" s="1"/>
  <c r="O162" i="13" s="1"/>
  <c r="N164" i="13"/>
  <c r="N163" i="13" s="1"/>
  <c r="N162" i="13" s="1"/>
  <c r="M164" i="13"/>
  <c r="M163" i="13" s="1"/>
  <c r="M162" i="13" s="1"/>
  <c r="L164" i="13"/>
  <c r="L163" i="13" s="1"/>
  <c r="L162" i="13" s="1"/>
  <c r="J164" i="13"/>
  <c r="J163" i="13" s="1"/>
  <c r="J162" i="13" s="1"/>
  <c r="I164" i="13"/>
  <c r="G164" i="13"/>
  <c r="K163" i="13"/>
  <c r="K162" i="13" s="1"/>
  <c r="I163" i="13"/>
  <c r="I162" i="13" s="1"/>
  <c r="H163" i="13"/>
  <c r="H162" i="13" s="1"/>
  <c r="G163" i="13"/>
  <c r="G162" i="13" s="1"/>
  <c r="O160" i="13"/>
  <c r="N160" i="13"/>
  <c r="M160" i="13"/>
  <c r="L160" i="13"/>
  <c r="J160" i="13"/>
  <c r="I160" i="13"/>
  <c r="G160" i="13"/>
  <c r="N159" i="13"/>
  <c r="N158" i="13" s="1"/>
  <c r="M159" i="13"/>
  <c r="M158" i="13" s="1"/>
  <c r="I159" i="13"/>
  <c r="O159" i="13" s="1"/>
  <c r="O158" i="13" s="1"/>
  <c r="O157" i="13" s="1"/>
  <c r="O156" i="13" s="1"/>
  <c r="L158" i="13"/>
  <c r="J158" i="13"/>
  <c r="H158" i="13"/>
  <c r="H157" i="13" s="1"/>
  <c r="H156" i="13" s="1"/>
  <c r="H155" i="13" s="1"/>
  <c r="H154" i="13" s="1"/>
  <c r="G158" i="13"/>
  <c r="L157" i="13"/>
  <c r="L156" i="13" s="1"/>
  <c r="K157" i="13"/>
  <c r="J157" i="13"/>
  <c r="J156" i="13" s="1"/>
  <c r="K156" i="13"/>
  <c r="K155" i="13" s="1"/>
  <c r="K154" i="13"/>
  <c r="O152" i="13"/>
  <c r="O151" i="13" s="1"/>
  <c r="O150" i="13" s="1"/>
  <c r="N152" i="13"/>
  <c r="N151" i="13" s="1"/>
  <c r="N150" i="13" s="1"/>
  <c r="M152" i="13"/>
  <c r="M151" i="13" s="1"/>
  <c r="M150" i="13" s="1"/>
  <c r="L152" i="13"/>
  <c r="L151" i="13" s="1"/>
  <c r="L150" i="13" s="1"/>
  <c r="J152" i="13"/>
  <c r="J151" i="13" s="1"/>
  <c r="J150" i="13" s="1"/>
  <c r="I152" i="13"/>
  <c r="I151" i="13" s="1"/>
  <c r="I150" i="13" s="1"/>
  <c r="G152" i="13"/>
  <c r="K151" i="13"/>
  <c r="K150" i="13" s="1"/>
  <c r="H151" i="13"/>
  <c r="H150" i="13" s="1"/>
  <c r="G151" i="13"/>
  <c r="G150" i="13" s="1"/>
  <c r="N149" i="13"/>
  <c r="M149" i="13"/>
  <c r="O149" i="13" s="1"/>
  <c r="O148" i="13" s="1"/>
  <c r="O147" i="13" s="1"/>
  <c r="O146" i="13" s="1"/>
  <c r="I149" i="13"/>
  <c r="I148" i="13" s="1"/>
  <c r="I147" i="13" s="1"/>
  <c r="I146" i="13" s="1"/>
  <c r="N148" i="13"/>
  <c r="N147" i="13" s="1"/>
  <c r="N146" i="13" s="1"/>
  <c r="M148" i="13"/>
  <c r="M147" i="13" s="1"/>
  <c r="M146" i="13" s="1"/>
  <c r="L148" i="13"/>
  <c r="L147" i="13" s="1"/>
  <c r="L146" i="13" s="1"/>
  <c r="J148" i="13"/>
  <c r="J147" i="13" s="1"/>
  <c r="J146" i="13" s="1"/>
  <c r="H148" i="13"/>
  <c r="H147" i="13" s="1"/>
  <c r="H146" i="13" s="1"/>
  <c r="G148" i="13"/>
  <c r="G147" i="13" s="1"/>
  <c r="G146" i="13" s="1"/>
  <c r="K147" i="13"/>
  <c r="K146" i="13" s="1"/>
  <c r="N145" i="13"/>
  <c r="M145" i="13"/>
  <c r="I145" i="13"/>
  <c r="O145" i="13" s="1"/>
  <c r="N144" i="13"/>
  <c r="M144" i="13"/>
  <c r="I144" i="13"/>
  <c r="O144" i="13" s="1"/>
  <c r="N143" i="13"/>
  <c r="M143" i="13"/>
  <c r="I143" i="13"/>
  <c r="O143" i="13" s="1"/>
  <c r="N142" i="13"/>
  <c r="M142" i="13"/>
  <c r="I142" i="13"/>
  <c r="O142" i="13" s="1"/>
  <c r="O141" i="13"/>
  <c r="O140" i="13" s="1"/>
  <c r="O139" i="13" s="1"/>
  <c r="M141" i="13"/>
  <c r="I141" i="13"/>
  <c r="I140" i="13" s="1"/>
  <c r="I139" i="13" s="1"/>
  <c r="G141" i="13"/>
  <c r="G140" i="13" s="1"/>
  <c r="G139" i="13" s="1"/>
  <c r="N140" i="13"/>
  <c r="N139" i="13" s="1"/>
  <c r="M140" i="13"/>
  <c r="M139" i="13" s="1"/>
  <c r="L140" i="13"/>
  <c r="L139" i="13" s="1"/>
  <c r="J140" i="13"/>
  <c r="J139" i="13" s="1"/>
  <c r="K139" i="13"/>
  <c r="H139" i="13"/>
  <c r="H138" i="13" s="1"/>
  <c r="O138" i="13"/>
  <c r="M138" i="13"/>
  <c r="K138" i="13"/>
  <c r="I138" i="13"/>
  <c r="G138" i="13"/>
  <c r="O137" i="13"/>
  <c r="O136" i="13" s="1"/>
  <c r="N137" i="13"/>
  <c r="N136" i="13" s="1"/>
  <c r="M137" i="13"/>
  <c r="M136" i="13" s="1"/>
  <c r="L137" i="13"/>
  <c r="J137" i="13"/>
  <c r="J136" i="13" s="1"/>
  <c r="I137" i="13"/>
  <c r="I136" i="13" s="1"/>
  <c r="G137" i="13"/>
  <c r="G136" i="13" s="1"/>
  <c r="L136" i="13"/>
  <c r="K136" i="13"/>
  <c r="H136" i="13"/>
  <c r="O134" i="13"/>
  <c r="N134" i="13"/>
  <c r="M134" i="13"/>
  <c r="L134" i="13"/>
  <c r="J134" i="13"/>
  <c r="I134" i="13"/>
  <c r="G134" i="13"/>
  <c r="N133" i="13"/>
  <c r="O133" i="13" s="1"/>
  <c r="O132" i="13" s="1"/>
  <c r="M133" i="13"/>
  <c r="I133" i="13"/>
  <c r="I132" i="13" s="1"/>
  <c r="M132" i="13"/>
  <c r="L132" i="13"/>
  <c r="J132" i="13"/>
  <c r="H132" i="13"/>
  <c r="G132" i="13"/>
  <c r="N130" i="13"/>
  <c r="M130" i="13"/>
  <c r="I130" i="13"/>
  <c r="O130" i="13" s="1"/>
  <c r="N129" i="13"/>
  <c r="M129" i="13"/>
  <c r="I129" i="13"/>
  <c r="O129" i="13" s="1"/>
  <c r="L128" i="13"/>
  <c r="J128" i="13"/>
  <c r="H128" i="13"/>
  <c r="G128" i="13"/>
  <c r="L127" i="13"/>
  <c r="K127" i="13"/>
  <c r="J127" i="13"/>
  <c r="K126" i="13"/>
  <c r="N123" i="13"/>
  <c r="M123" i="13"/>
  <c r="O123" i="13"/>
  <c r="M122" i="13"/>
  <c r="M121" i="13"/>
  <c r="H121" i="13"/>
  <c r="N121" i="13" s="1"/>
  <c r="M120" i="13"/>
  <c r="M119" i="13" s="1"/>
  <c r="L119" i="13"/>
  <c r="K119" i="13"/>
  <c r="J119" i="13"/>
  <c r="G119" i="13"/>
  <c r="M118" i="13"/>
  <c r="M116" i="13"/>
  <c r="M115" i="13" s="1"/>
  <c r="M114" i="13" s="1"/>
  <c r="M113" i="13" s="1"/>
  <c r="I116" i="13"/>
  <c r="I115" i="13" s="1"/>
  <c r="I114" i="13" s="1"/>
  <c r="I113" i="13" s="1"/>
  <c r="N116" i="13"/>
  <c r="N115" i="13" s="1"/>
  <c r="N114" i="13" s="1"/>
  <c r="N113" i="13" s="1"/>
  <c r="L115" i="13"/>
  <c r="L114" i="13" s="1"/>
  <c r="L113" i="13" s="1"/>
  <c r="J115" i="13"/>
  <c r="J114" i="13" s="1"/>
  <c r="J113" i="13" s="1"/>
  <c r="H115" i="13"/>
  <c r="H114" i="13" s="1"/>
  <c r="H113" i="13" s="1"/>
  <c r="G115" i="13"/>
  <c r="G114" i="13" s="1"/>
  <c r="G113" i="13" s="1"/>
  <c r="K114" i="13"/>
  <c r="K113" i="13" s="1"/>
  <c r="K108" i="13" s="1"/>
  <c r="N112" i="13"/>
  <c r="N111" i="13" s="1"/>
  <c r="N110" i="13" s="1"/>
  <c r="N109" i="13" s="1"/>
  <c r="M112" i="13"/>
  <c r="I112" i="13"/>
  <c r="I111" i="13" s="1"/>
  <c r="I110" i="13" s="1"/>
  <c r="I109" i="13" s="1"/>
  <c r="L111" i="13"/>
  <c r="L110" i="13" s="1"/>
  <c r="L109" i="13" s="1"/>
  <c r="K111" i="13"/>
  <c r="K110" i="13" s="1"/>
  <c r="K109" i="13" s="1"/>
  <c r="J111" i="13"/>
  <c r="J110" i="13" s="1"/>
  <c r="J109" i="13" s="1"/>
  <c r="H111" i="13"/>
  <c r="H110" i="13" s="1"/>
  <c r="H109" i="13" s="1"/>
  <c r="G111" i="13"/>
  <c r="G110" i="13" s="1"/>
  <c r="G109" i="13" s="1"/>
  <c r="O107" i="13"/>
  <c r="O106" i="13" s="1"/>
  <c r="O105" i="13" s="1"/>
  <c r="N107" i="13"/>
  <c r="N106" i="13" s="1"/>
  <c r="N105" i="13" s="1"/>
  <c r="M107" i="13"/>
  <c r="M106" i="13" s="1"/>
  <c r="M105" i="13" s="1"/>
  <c r="L107" i="13"/>
  <c r="J107" i="13"/>
  <c r="J106" i="13" s="1"/>
  <c r="J105" i="13" s="1"/>
  <c r="I107" i="13"/>
  <c r="G107" i="13"/>
  <c r="G106" i="13" s="1"/>
  <c r="G105" i="13" s="1"/>
  <c r="L106" i="13"/>
  <c r="L105" i="13" s="1"/>
  <c r="K106" i="13"/>
  <c r="K105" i="13" s="1"/>
  <c r="I106" i="13"/>
  <c r="I105" i="13" s="1"/>
  <c r="H106" i="13"/>
  <c r="H105" i="13" s="1"/>
  <c r="N104" i="13"/>
  <c r="M104" i="13"/>
  <c r="I104" i="13"/>
  <c r="O104" i="13" s="1"/>
  <c r="N103" i="13"/>
  <c r="M103" i="13"/>
  <c r="I103" i="13"/>
  <c r="O103" i="13" s="1"/>
  <c r="L102" i="13"/>
  <c r="J102" i="13"/>
  <c r="H102" i="13"/>
  <c r="G102" i="13"/>
  <c r="N101" i="13"/>
  <c r="I101" i="13"/>
  <c r="O101" i="13" s="1"/>
  <c r="N100" i="13"/>
  <c r="M100" i="13"/>
  <c r="M99" i="13" s="1"/>
  <c r="I100" i="13"/>
  <c r="O100" i="13" s="1"/>
  <c r="L99" i="13"/>
  <c r="J99" i="13"/>
  <c r="J98" i="13" s="1"/>
  <c r="I99" i="13"/>
  <c r="H99" i="13"/>
  <c r="G99" i="13"/>
  <c r="K98" i="13"/>
  <c r="N96" i="13"/>
  <c r="M96" i="13"/>
  <c r="I96" i="13"/>
  <c r="O96" i="13" s="1"/>
  <c r="N95" i="13"/>
  <c r="M95" i="13"/>
  <c r="I95" i="13"/>
  <c r="O95" i="13" s="1"/>
  <c r="L94" i="13"/>
  <c r="J94" i="13"/>
  <c r="H94" i="13"/>
  <c r="H93" i="13" s="1"/>
  <c r="G94" i="13"/>
  <c r="G93" i="13" s="1"/>
  <c r="L93" i="13"/>
  <c r="K93" i="13"/>
  <c r="J93" i="13"/>
  <c r="J92" i="13" s="1"/>
  <c r="K92" i="13"/>
  <c r="K91" i="13"/>
  <c r="N90" i="13"/>
  <c r="M90" i="13"/>
  <c r="L90" i="13"/>
  <c r="O90" i="13" s="1"/>
  <c r="K89" i="13"/>
  <c r="N89" i="13" s="1"/>
  <c r="J89" i="13"/>
  <c r="M89" i="13" s="1"/>
  <c r="N86" i="13"/>
  <c r="N85" i="13" s="1"/>
  <c r="N84" i="13" s="1"/>
  <c r="M86" i="13"/>
  <c r="M85" i="13" s="1"/>
  <c r="M84" i="13" s="1"/>
  <c r="I86" i="13"/>
  <c r="I85" i="13" s="1"/>
  <c r="I84" i="13" s="1"/>
  <c r="I83" i="13" s="1"/>
  <c r="L85" i="13"/>
  <c r="J85" i="13"/>
  <c r="J84" i="13" s="1"/>
  <c r="H85" i="13"/>
  <c r="H84" i="13" s="1"/>
  <c r="H83" i="13" s="1"/>
  <c r="G85" i="13"/>
  <c r="G84" i="13" s="1"/>
  <c r="G83" i="13" s="1"/>
  <c r="L84" i="13"/>
  <c r="K84" i="13"/>
  <c r="O81" i="13"/>
  <c r="O80" i="13" s="1"/>
  <c r="O79" i="13" s="1"/>
  <c r="N81" i="13"/>
  <c r="N80" i="13" s="1"/>
  <c r="N79" i="13" s="1"/>
  <c r="M81" i="13"/>
  <c r="M80" i="13" s="1"/>
  <c r="M79" i="13" s="1"/>
  <c r="L81" i="13"/>
  <c r="L80" i="13" s="1"/>
  <c r="L79" i="13" s="1"/>
  <c r="J81" i="13"/>
  <c r="J80" i="13" s="1"/>
  <c r="J79" i="13" s="1"/>
  <c r="I81" i="13"/>
  <c r="G81" i="13"/>
  <c r="G80" i="13" s="1"/>
  <c r="G79" i="13" s="1"/>
  <c r="K80" i="13"/>
  <c r="I80" i="13"/>
  <c r="I79" i="13" s="1"/>
  <c r="H80" i="13"/>
  <c r="H79" i="13" s="1"/>
  <c r="K79" i="13"/>
  <c r="O77" i="13"/>
  <c r="N77" i="13"/>
  <c r="M77" i="13"/>
  <c r="L77" i="13"/>
  <c r="L73" i="13" s="1"/>
  <c r="L72" i="13" s="1"/>
  <c r="J77" i="13"/>
  <c r="I77" i="13"/>
  <c r="G77" i="13"/>
  <c r="N76" i="13"/>
  <c r="N74" i="13" s="1"/>
  <c r="N73" i="13" s="1"/>
  <c r="N72" i="13" s="1"/>
  <c r="I76" i="13"/>
  <c r="M73" i="13"/>
  <c r="M72" i="13" s="1"/>
  <c r="L74" i="13"/>
  <c r="J74" i="13"/>
  <c r="J73" i="13" s="1"/>
  <c r="J72" i="13" s="1"/>
  <c r="H74" i="13"/>
  <c r="H73" i="13" s="1"/>
  <c r="H72" i="13" s="1"/>
  <c r="G73" i="13"/>
  <c r="G72" i="13" s="1"/>
  <c r="K73" i="13"/>
  <c r="K72" i="13" s="1"/>
  <c r="O69" i="13"/>
  <c r="O68" i="13" s="1"/>
  <c r="O67" i="13" s="1"/>
  <c r="O66" i="13" s="1"/>
  <c r="N69" i="13"/>
  <c r="N68" i="13" s="1"/>
  <c r="N67" i="13" s="1"/>
  <c r="N66" i="13" s="1"/>
  <c r="M69" i="13"/>
  <c r="M68" i="13" s="1"/>
  <c r="M67" i="13" s="1"/>
  <c r="M66" i="13" s="1"/>
  <c r="L69" i="13"/>
  <c r="L68" i="13" s="1"/>
  <c r="L67" i="13" s="1"/>
  <c r="L66" i="13" s="1"/>
  <c r="J69" i="13"/>
  <c r="J68" i="13" s="1"/>
  <c r="J67" i="13" s="1"/>
  <c r="J66" i="13" s="1"/>
  <c r="I69" i="13"/>
  <c r="I68" i="13" s="1"/>
  <c r="I67" i="13" s="1"/>
  <c r="I66" i="13" s="1"/>
  <c r="G69" i="13"/>
  <c r="G68" i="13" s="1"/>
  <c r="G67" i="13" s="1"/>
  <c r="G66" i="13" s="1"/>
  <c r="K68" i="13"/>
  <c r="K67" i="13" s="1"/>
  <c r="K66" i="13" s="1"/>
  <c r="H68" i="13"/>
  <c r="H67" i="13" s="1"/>
  <c r="H66" i="13" s="1"/>
  <c r="O64" i="13"/>
  <c r="O63" i="13" s="1"/>
  <c r="O62" i="13" s="1"/>
  <c r="O61" i="13" s="1"/>
  <c r="N64" i="13"/>
  <c r="N63" i="13" s="1"/>
  <c r="N62" i="13" s="1"/>
  <c r="N61" i="13" s="1"/>
  <c r="M64" i="13"/>
  <c r="M63" i="13" s="1"/>
  <c r="M62" i="13" s="1"/>
  <c r="M61" i="13" s="1"/>
  <c r="L64" i="13"/>
  <c r="L63" i="13" s="1"/>
  <c r="L62" i="13" s="1"/>
  <c r="L61" i="13" s="1"/>
  <c r="J64" i="13"/>
  <c r="J63" i="13" s="1"/>
  <c r="J62" i="13" s="1"/>
  <c r="J61" i="13" s="1"/>
  <c r="I64" i="13"/>
  <c r="G64" i="13"/>
  <c r="G63" i="13" s="1"/>
  <c r="G62" i="13" s="1"/>
  <c r="G61" i="13" s="1"/>
  <c r="K63" i="13"/>
  <c r="I63" i="13"/>
  <c r="I62" i="13" s="1"/>
  <c r="I61" i="13" s="1"/>
  <c r="H63" i="13"/>
  <c r="H62" i="13" s="1"/>
  <c r="H61" i="13" s="1"/>
  <c r="K62" i="13"/>
  <c r="K61" i="13" s="1"/>
  <c r="N59" i="13"/>
  <c r="N58" i="13" s="1"/>
  <c r="N57" i="13" s="1"/>
  <c r="N56" i="13" s="1"/>
  <c r="N55" i="13" s="1"/>
  <c r="M59" i="13"/>
  <c r="M58" i="13" s="1"/>
  <c r="M57" i="13" s="1"/>
  <c r="M56" i="13" s="1"/>
  <c r="M55" i="13" s="1"/>
  <c r="I59" i="13"/>
  <c r="O59" i="13" s="1"/>
  <c r="O58" i="13" s="1"/>
  <c r="O57" i="13" s="1"/>
  <c r="O56" i="13" s="1"/>
  <c r="O55" i="13" s="1"/>
  <c r="L58" i="13"/>
  <c r="L57" i="13" s="1"/>
  <c r="L56" i="13" s="1"/>
  <c r="L55" i="13" s="1"/>
  <c r="J58" i="13"/>
  <c r="J57" i="13" s="1"/>
  <c r="J56" i="13" s="1"/>
  <c r="J55" i="13" s="1"/>
  <c r="H58" i="13"/>
  <c r="H57" i="13" s="1"/>
  <c r="H56" i="13" s="1"/>
  <c r="H55" i="13" s="1"/>
  <c r="G58" i="13"/>
  <c r="G57" i="13" s="1"/>
  <c r="G56" i="13" s="1"/>
  <c r="G55" i="13" s="1"/>
  <c r="K57" i="13"/>
  <c r="K56" i="13" s="1"/>
  <c r="K55" i="13" s="1"/>
  <c r="O53" i="13"/>
  <c r="N53" i="13"/>
  <c r="N48" i="13" s="1"/>
  <c r="M53" i="13"/>
  <c r="L53" i="13"/>
  <c r="J53" i="13"/>
  <c r="I53" i="13"/>
  <c r="I48" i="13" s="1"/>
  <c r="G53" i="13"/>
  <c r="G48" i="13" s="1"/>
  <c r="K52" i="13"/>
  <c r="K47" i="13" s="1"/>
  <c r="H52" i="13"/>
  <c r="O49" i="13"/>
  <c r="M49" i="13"/>
  <c r="L49" i="13"/>
  <c r="J49" i="13"/>
  <c r="I49" i="13"/>
  <c r="G49" i="13"/>
  <c r="K48" i="13"/>
  <c r="H48" i="13"/>
  <c r="N47" i="13"/>
  <c r="M47" i="13"/>
  <c r="I47" i="13"/>
  <c r="O47" i="13" s="1"/>
  <c r="N46" i="13"/>
  <c r="N45" i="13"/>
  <c r="M45" i="13"/>
  <c r="I45" i="13"/>
  <c r="I44" i="13" s="1"/>
  <c r="L44" i="13"/>
  <c r="J44" i="13"/>
  <c r="J43" i="13" s="1"/>
  <c r="H44" i="13"/>
  <c r="H43" i="13" s="1"/>
  <c r="H42" i="13" s="1"/>
  <c r="H41" i="13" s="1"/>
  <c r="G44" i="13"/>
  <c r="L43" i="13"/>
  <c r="K43" i="13"/>
  <c r="K42" i="13" s="1"/>
  <c r="G43" i="13"/>
  <c r="N40" i="13"/>
  <c r="M40" i="13"/>
  <c r="I40" i="13"/>
  <c r="O40" i="13" s="1"/>
  <c r="O39" i="13" s="1"/>
  <c r="O38" i="13" s="1"/>
  <c r="O37" i="13" s="1"/>
  <c r="O36" i="13" s="1"/>
  <c r="N39" i="13"/>
  <c r="N38" i="13" s="1"/>
  <c r="N37" i="13" s="1"/>
  <c r="N36" i="13" s="1"/>
  <c r="M39" i="13"/>
  <c r="M38" i="13" s="1"/>
  <c r="M37" i="13" s="1"/>
  <c r="M36" i="13" s="1"/>
  <c r="L39" i="13"/>
  <c r="L38" i="13" s="1"/>
  <c r="L37" i="13" s="1"/>
  <c r="L36" i="13" s="1"/>
  <c r="J39" i="13"/>
  <c r="J38" i="13" s="1"/>
  <c r="J37" i="13" s="1"/>
  <c r="J36" i="13" s="1"/>
  <c r="I39" i="13"/>
  <c r="G39" i="13"/>
  <c r="K38" i="13"/>
  <c r="K37" i="13" s="1"/>
  <c r="K36" i="13" s="1"/>
  <c r="I38" i="13"/>
  <c r="I37" i="13" s="1"/>
  <c r="I36" i="13" s="1"/>
  <c r="H38" i="13"/>
  <c r="H37" i="13" s="1"/>
  <c r="H36" i="13" s="1"/>
  <c r="G38" i="13"/>
  <c r="G37" i="13" s="1"/>
  <c r="G36" i="13" s="1"/>
  <c r="M33" i="13"/>
  <c r="M32" i="13" s="1"/>
  <c r="M31" i="13" s="1"/>
  <c r="M30" i="13" s="1"/>
  <c r="M29" i="13" s="1"/>
  <c r="G33" i="13"/>
  <c r="G32" i="13" s="1"/>
  <c r="G31" i="13" s="1"/>
  <c r="G30" i="13" s="1"/>
  <c r="G29" i="13" s="1"/>
  <c r="O32" i="13"/>
  <c r="O31" i="13" s="1"/>
  <c r="O30" i="13" s="1"/>
  <c r="O29" i="13" s="1"/>
  <c r="N32" i="13"/>
  <c r="N31" i="13" s="1"/>
  <c r="N30" i="13" s="1"/>
  <c r="N29" i="13" s="1"/>
  <c r="L32" i="13"/>
  <c r="L31" i="13" s="1"/>
  <c r="L30" i="13" s="1"/>
  <c r="L29" i="13" s="1"/>
  <c r="J32" i="13"/>
  <c r="J31" i="13" s="1"/>
  <c r="J30" i="13" s="1"/>
  <c r="J29" i="13" s="1"/>
  <c r="I32" i="13"/>
  <c r="K31" i="13"/>
  <c r="K30" i="13" s="1"/>
  <c r="K29" i="13" s="1"/>
  <c r="I31" i="13"/>
  <c r="I30" i="13" s="1"/>
  <c r="I29" i="13" s="1"/>
  <c r="H31" i="13"/>
  <c r="H30" i="13" s="1"/>
  <c r="H29" i="13" s="1"/>
  <c r="O28" i="13"/>
  <c r="M28" i="13"/>
  <c r="M27" i="13" s="1"/>
  <c r="M26" i="13" s="1"/>
  <c r="M25" i="13" s="1"/>
  <c r="M24" i="13" s="1"/>
  <c r="I28" i="13"/>
  <c r="G28" i="13"/>
  <c r="G27" i="13" s="1"/>
  <c r="G26" i="13" s="1"/>
  <c r="G25" i="13" s="1"/>
  <c r="G24" i="13" s="1"/>
  <c r="O27" i="13"/>
  <c r="O26" i="13" s="1"/>
  <c r="O25" i="13" s="1"/>
  <c r="O24" i="13" s="1"/>
  <c r="N27" i="13"/>
  <c r="N26" i="13" s="1"/>
  <c r="N25" i="13" s="1"/>
  <c r="N24" i="13" s="1"/>
  <c r="L27" i="13"/>
  <c r="L26" i="13" s="1"/>
  <c r="L25" i="13" s="1"/>
  <c r="L24" i="13" s="1"/>
  <c r="J27" i="13"/>
  <c r="J26" i="13" s="1"/>
  <c r="J25" i="13" s="1"/>
  <c r="J24" i="13" s="1"/>
  <c r="J23" i="13" s="1"/>
  <c r="J22" i="13" s="1"/>
  <c r="I27" i="13"/>
  <c r="K26" i="13"/>
  <c r="K25" i="13" s="1"/>
  <c r="K24" i="13" s="1"/>
  <c r="K23" i="13" s="1"/>
  <c r="K22" i="13" s="1"/>
  <c r="I26" i="13"/>
  <c r="I25" i="13" s="1"/>
  <c r="I24" i="13" s="1"/>
  <c r="H26" i="13"/>
  <c r="H25" i="13" s="1"/>
  <c r="H24" i="13" s="1"/>
  <c r="H23" i="13" s="1"/>
  <c r="H22" i="13" s="1"/>
  <c r="N461" i="13" l="1"/>
  <c r="H461" i="13"/>
  <c r="I462" i="13"/>
  <c r="I461" i="13" s="1"/>
  <c r="H502" i="13"/>
  <c r="H501" i="13" s="1"/>
  <c r="M510" i="13"/>
  <c r="M509" i="13" s="1"/>
  <c r="M516" i="13"/>
  <c r="M515" i="13" s="1"/>
  <c r="M514" i="13" s="1"/>
  <c r="O510" i="13"/>
  <c r="O509" i="13" s="1"/>
  <c r="K536" i="13"/>
  <c r="K532" i="13" s="1"/>
  <c r="H393" i="13"/>
  <c r="H392" i="13" s="1"/>
  <c r="H391" i="13" s="1"/>
  <c r="N128" i="13"/>
  <c r="L184" i="13"/>
  <c r="L183" i="13" s="1"/>
  <c r="L182" i="13" s="1"/>
  <c r="L181" i="13" s="1"/>
  <c r="L180" i="13" s="1"/>
  <c r="L179" i="13" s="1"/>
  <c r="O187" i="13"/>
  <c r="O186" i="13" s="1"/>
  <c r="M214" i="13"/>
  <c r="I226" i="13"/>
  <c r="O226" i="13" s="1"/>
  <c r="I252" i="13"/>
  <c r="I251" i="13" s="1"/>
  <c r="I250" i="13" s="1"/>
  <c r="I237" i="13" s="1"/>
  <c r="J276" i="13"/>
  <c r="J275" i="13" s="1"/>
  <c r="J270" i="13" s="1"/>
  <c r="J255" i="13" s="1"/>
  <c r="O287" i="13"/>
  <c r="O285" i="13" s="1"/>
  <c r="O324" i="13"/>
  <c r="O323" i="13" s="1"/>
  <c r="I387" i="13"/>
  <c r="O387" i="13" s="1"/>
  <c r="M401" i="13"/>
  <c r="M472" i="13"/>
  <c r="M471" i="13" s="1"/>
  <c r="M470" i="13" s="1"/>
  <c r="M469" i="13" s="1"/>
  <c r="M460" i="13" s="1"/>
  <c r="M459" i="13" s="1"/>
  <c r="I499" i="13"/>
  <c r="I510" i="13"/>
  <c r="I509" i="13" s="1"/>
  <c r="O518" i="13"/>
  <c r="O516" i="13" s="1"/>
  <c r="O515" i="13" s="1"/>
  <c r="O514" i="13" s="1"/>
  <c r="J48" i="13"/>
  <c r="J42" i="13" s="1"/>
  <c r="J41" i="13" s="1"/>
  <c r="O99" i="13"/>
  <c r="H127" i="13"/>
  <c r="H126" i="13" s="1"/>
  <c r="H181" i="13"/>
  <c r="H180" i="13" s="1"/>
  <c r="H179" i="13" s="1"/>
  <c r="O197" i="13"/>
  <c r="O196" i="13" s="1"/>
  <c r="O195" i="13" s="1"/>
  <c r="O194" i="13" s="1"/>
  <c r="O193" i="13" s="1"/>
  <c r="H210" i="13"/>
  <c r="O214" i="13"/>
  <c r="O216" i="13"/>
  <c r="M225" i="13"/>
  <c r="N233" i="13"/>
  <c r="N235" i="13"/>
  <c r="I398" i="13"/>
  <c r="I394" i="13" s="1"/>
  <c r="N401" i="13"/>
  <c r="N400" i="13" s="1"/>
  <c r="I74" i="13"/>
  <c r="I73" i="13" s="1"/>
  <c r="I72" i="13" s="1"/>
  <c r="I71" i="13" s="1"/>
  <c r="L89" i="13"/>
  <c r="L88" i="13" s="1"/>
  <c r="O88" i="13" s="1"/>
  <c r="N99" i="13"/>
  <c r="L98" i="13"/>
  <c r="N184" i="13"/>
  <c r="N183" i="13" s="1"/>
  <c r="N182" i="13" s="1"/>
  <c r="N181" i="13" s="1"/>
  <c r="N180" i="13" s="1"/>
  <c r="N196" i="13"/>
  <c r="O222" i="13"/>
  <c r="O221" i="13" s="1"/>
  <c r="I276" i="13"/>
  <c r="I275" i="13" s="1"/>
  <c r="I270" i="13" s="1"/>
  <c r="L301" i="13"/>
  <c r="L300" i="13" s="1"/>
  <c r="L299" i="13" s="1"/>
  <c r="I309" i="13"/>
  <c r="I308" i="13" s="1"/>
  <c r="I307" i="13" s="1"/>
  <c r="I382" i="13"/>
  <c r="I381" i="13" s="1"/>
  <c r="M478" i="13"/>
  <c r="H524" i="13"/>
  <c r="H523" i="13" s="1"/>
  <c r="H522" i="13" s="1"/>
  <c r="H521" i="13" s="1"/>
  <c r="H520" i="13" s="1"/>
  <c r="I541" i="13"/>
  <c r="I540" i="13" s="1"/>
  <c r="I539" i="13" s="1"/>
  <c r="I538" i="13" s="1"/>
  <c r="I537" i="13" s="1"/>
  <c r="I536" i="13" s="1"/>
  <c r="M48" i="13"/>
  <c r="L92" i="13"/>
  <c r="L91" i="13" s="1"/>
  <c r="G98" i="13"/>
  <c r="G92" i="13" s="1"/>
  <c r="G91" i="13" s="1"/>
  <c r="O219" i="13"/>
  <c r="O218" i="13" s="1"/>
  <c r="N222" i="13"/>
  <c r="N221" i="13" s="1"/>
  <c r="O293" i="13"/>
  <c r="O292" i="13" s="1"/>
  <c r="O284" i="13" s="1"/>
  <c r="O283" i="13" s="1"/>
  <c r="M345" i="13"/>
  <c r="M320" i="13" s="1"/>
  <c r="M319" i="13" s="1"/>
  <c r="M350" i="13"/>
  <c r="I350" i="13"/>
  <c r="O350" i="13" s="1"/>
  <c r="G461" i="13"/>
  <c r="G460" i="13" s="1"/>
  <c r="H469" i="13"/>
  <c r="I505" i="13"/>
  <c r="J394" i="13"/>
  <c r="J393" i="13" s="1"/>
  <c r="J392" i="13" s="1"/>
  <c r="J391" i="13" s="1"/>
  <c r="N524" i="13"/>
  <c r="N523" i="13" s="1"/>
  <c r="N522" i="13" s="1"/>
  <c r="N521" i="13" s="1"/>
  <c r="N520" i="13" s="1"/>
  <c r="O526" i="13"/>
  <c r="O525" i="13" s="1"/>
  <c r="O524" i="13" s="1"/>
  <c r="O523" i="13" s="1"/>
  <c r="O522" i="13" s="1"/>
  <c r="O521" i="13" s="1"/>
  <c r="O520" i="13" s="1"/>
  <c r="L502" i="13"/>
  <c r="L501" i="13" s="1"/>
  <c r="M526" i="13"/>
  <c r="M525" i="13" s="1"/>
  <c r="M524" i="13" s="1"/>
  <c r="M523" i="13" s="1"/>
  <c r="M522" i="13" s="1"/>
  <c r="M521" i="13" s="1"/>
  <c r="M520" i="13" s="1"/>
  <c r="H354" i="13"/>
  <c r="H353" i="13" s="1"/>
  <c r="H352" i="13" s="1"/>
  <c r="I357" i="13"/>
  <c r="I321" i="13"/>
  <c r="O464" i="13"/>
  <c r="O463" i="13" s="1"/>
  <c r="I262" i="13"/>
  <c r="O262" i="13" s="1"/>
  <c r="N504" i="13"/>
  <c r="N503" i="13" s="1"/>
  <c r="N502" i="13" s="1"/>
  <c r="N501" i="13" s="1"/>
  <c r="N505" i="13"/>
  <c r="N132" i="13"/>
  <c r="N127" i="13"/>
  <c r="O396" i="13"/>
  <c r="N157" i="13"/>
  <c r="N156" i="13" s="1"/>
  <c r="H261" i="13"/>
  <c r="H256" i="13" s="1"/>
  <c r="O48" i="13"/>
  <c r="J181" i="13"/>
  <c r="J180" i="13" s="1"/>
  <c r="J179" i="13" s="1"/>
  <c r="H199" i="13"/>
  <c r="N199" i="13" s="1"/>
  <c r="I504" i="13"/>
  <c r="I503" i="13" s="1"/>
  <c r="I502" i="13" s="1"/>
  <c r="I501" i="13" s="1"/>
  <c r="O356" i="13"/>
  <c r="O355" i="13" s="1"/>
  <c r="H71" i="13"/>
  <c r="O86" i="13"/>
  <c r="O85" i="13" s="1"/>
  <c r="O84" i="13" s="1"/>
  <c r="H98" i="13"/>
  <c r="H92" i="13" s="1"/>
  <c r="H91" i="13" s="1"/>
  <c r="N284" i="13"/>
  <c r="N283" i="13" s="1"/>
  <c r="O328" i="13"/>
  <c r="O327" i="13" s="1"/>
  <c r="K180" i="13"/>
  <c r="K179" i="13" s="1"/>
  <c r="K170" i="13" s="1"/>
  <c r="I199" i="13"/>
  <c r="O199" i="13" s="1"/>
  <c r="N102" i="13"/>
  <c r="N98" i="13" s="1"/>
  <c r="M222" i="13"/>
  <c r="M221" i="13" s="1"/>
  <c r="G237" i="13"/>
  <c r="N367" i="13"/>
  <c r="N366" i="13" s="1"/>
  <c r="I23" i="13"/>
  <c r="I22" i="13" s="1"/>
  <c r="G440" i="13"/>
  <c r="G439" i="13" s="1"/>
  <c r="J155" i="13"/>
  <c r="J154" i="13" s="1"/>
  <c r="L220" i="13"/>
  <c r="L209" i="13" s="1"/>
  <c r="J380" i="13"/>
  <c r="J379" i="13" s="1"/>
  <c r="J378" i="13" s="1"/>
  <c r="J88" i="13"/>
  <c r="M88" i="13" s="1"/>
  <c r="M83" i="13" s="1"/>
  <c r="M71" i="13" s="1"/>
  <c r="J440" i="13"/>
  <c r="J439" i="13" s="1"/>
  <c r="J360" i="13"/>
  <c r="J359" i="13" s="1"/>
  <c r="J317" i="13" s="1"/>
  <c r="M361" i="13"/>
  <c r="M360" i="13" s="1"/>
  <c r="M359" i="13" s="1"/>
  <c r="N237" i="13"/>
  <c r="J414" i="13"/>
  <c r="N440" i="13"/>
  <c r="N439" i="13" s="1"/>
  <c r="L155" i="13"/>
  <c r="L154" i="13" s="1"/>
  <c r="M237" i="13"/>
  <c r="J91" i="13"/>
  <c r="K125" i="13"/>
  <c r="K124" i="13" s="1"/>
  <c r="K117" i="13" s="1"/>
  <c r="K116" i="13" s="1"/>
  <c r="L126" i="13"/>
  <c r="L125" i="13" s="1"/>
  <c r="L124" i="13" s="1"/>
  <c r="L117" i="13" s="1"/>
  <c r="O237" i="13"/>
  <c r="L237" i="13"/>
  <c r="L380" i="13"/>
  <c r="L379" i="13" s="1"/>
  <c r="L378" i="13" s="1"/>
  <c r="G414" i="13"/>
  <c r="M440" i="13"/>
  <c r="M439" i="13" s="1"/>
  <c r="O440" i="13"/>
  <c r="O439" i="13" s="1"/>
  <c r="G181" i="13"/>
  <c r="G180" i="13" s="1"/>
  <c r="G179" i="13" s="1"/>
  <c r="K88" i="13"/>
  <c r="N88" i="13" s="1"/>
  <c r="N83" i="13" s="1"/>
  <c r="N71" i="13" s="1"/>
  <c r="N126" i="13"/>
  <c r="N125" i="13" s="1"/>
  <c r="H125" i="13"/>
  <c r="H124" i="13" s="1"/>
  <c r="N124" i="13" s="1"/>
  <c r="O155" i="13"/>
  <c r="O154" i="13" s="1"/>
  <c r="M181" i="13"/>
  <c r="M180" i="13" s="1"/>
  <c r="M179" i="13" s="1"/>
  <c r="H220" i="13"/>
  <c r="N220" i="13" s="1"/>
  <c r="N209" i="13" s="1"/>
  <c r="N208" i="13" s="1"/>
  <c r="H380" i="13"/>
  <c r="H379" i="13" s="1"/>
  <c r="H378" i="13" s="1"/>
  <c r="L392" i="13"/>
  <c r="L391" i="13" s="1"/>
  <c r="I440" i="13"/>
  <c r="I439" i="13" s="1"/>
  <c r="O426" i="13"/>
  <c r="O425" i="13" s="1"/>
  <c r="O424" i="13" s="1"/>
  <c r="O423" i="13" s="1"/>
  <c r="O422" i="13" s="1"/>
  <c r="O421" i="13" s="1"/>
  <c r="I401" i="13"/>
  <c r="I400" i="13" s="1"/>
  <c r="G393" i="13"/>
  <c r="G392" i="13" s="1"/>
  <c r="G391" i="13" s="1"/>
  <c r="O406" i="13"/>
  <c r="O405" i="13" s="1"/>
  <c r="M400" i="13"/>
  <c r="K41" i="13"/>
  <c r="G23" i="13"/>
  <c r="G22" i="13" s="1"/>
  <c r="L23" i="13"/>
  <c r="L22" i="13" s="1"/>
  <c r="M23" i="13"/>
  <c r="M22" i="13" s="1"/>
  <c r="G42" i="13"/>
  <c r="G41" i="13" s="1"/>
  <c r="O45" i="13"/>
  <c r="O44" i="13" s="1"/>
  <c r="O43" i="13" s="1"/>
  <c r="L48" i="13"/>
  <c r="L42" i="13" s="1"/>
  <c r="L41" i="13" s="1"/>
  <c r="K281" i="13"/>
  <c r="N301" i="13"/>
  <c r="N300" i="13" s="1"/>
  <c r="N425" i="13"/>
  <c r="N424" i="13" s="1"/>
  <c r="N423" i="13" s="1"/>
  <c r="N422" i="13" s="1"/>
  <c r="N421" i="13" s="1"/>
  <c r="O23" i="13"/>
  <c r="O22" i="13" s="1"/>
  <c r="N23" i="13"/>
  <c r="N22" i="13" s="1"/>
  <c r="G232" i="13"/>
  <c r="M232" i="13" s="1"/>
  <c r="M231" i="13" s="1"/>
  <c r="M229" i="13"/>
  <c r="M228" i="13" s="1"/>
  <c r="G220" i="13"/>
  <c r="G209" i="13" s="1"/>
  <c r="J469" i="13"/>
  <c r="J460" i="13" s="1"/>
  <c r="J459" i="13" s="1"/>
  <c r="I297" i="13"/>
  <c r="O297" i="13" s="1"/>
  <c r="O94" i="13"/>
  <c r="O93" i="13" s="1"/>
  <c r="N94" i="13"/>
  <c r="N93" i="13" s="1"/>
  <c r="M94" i="13"/>
  <c r="M93" i="13" s="1"/>
  <c r="O332" i="13"/>
  <c r="O331" i="13" s="1"/>
  <c r="O369" i="13"/>
  <c r="O368" i="13" s="1"/>
  <c r="I367" i="13"/>
  <c r="I366" i="13" s="1"/>
  <c r="O371" i="13"/>
  <c r="O386" i="13"/>
  <c r="O385" i="13" s="1"/>
  <c r="N384" i="13"/>
  <c r="N380" i="13" s="1"/>
  <c r="N379" i="13" s="1"/>
  <c r="N378" i="13" s="1"/>
  <c r="G380" i="13"/>
  <c r="G379" i="13" s="1"/>
  <c r="G378" i="13" s="1"/>
  <c r="N395" i="13"/>
  <c r="N394" i="13" s="1"/>
  <c r="O397" i="13"/>
  <c r="M395" i="13"/>
  <c r="M394" i="13" s="1"/>
  <c r="O483" i="13"/>
  <c r="O482" i="13" s="1"/>
  <c r="G470" i="13"/>
  <c r="G469" i="13" s="1"/>
  <c r="I478" i="13"/>
  <c r="I470" i="13" s="1"/>
  <c r="O479" i="13"/>
  <c r="I335" i="13"/>
  <c r="O326" i="13"/>
  <c r="O325" i="13" s="1"/>
  <c r="G319" i="13"/>
  <c r="G318" i="13" s="1"/>
  <c r="M318" i="13" s="1"/>
  <c r="I310" i="13"/>
  <c r="O310" i="13" s="1"/>
  <c r="G308" i="13"/>
  <c r="G307" i="13" s="1"/>
  <c r="M309" i="13"/>
  <c r="M308" i="13" s="1"/>
  <c r="M307" i="13" s="1"/>
  <c r="O304" i="13"/>
  <c r="O302" i="13" s="1"/>
  <c r="O301" i="13" s="1"/>
  <c r="O300" i="13" s="1"/>
  <c r="H296" i="13"/>
  <c r="H282" i="13" s="1"/>
  <c r="G296" i="13"/>
  <c r="G282" i="13" s="1"/>
  <c r="G276" i="13"/>
  <c r="G275" i="13" s="1"/>
  <c r="G270" i="13" s="1"/>
  <c r="M276" i="13"/>
  <c r="M275" i="13" s="1"/>
  <c r="M270" i="13" s="1"/>
  <c r="G261" i="13"/>
  <c r="O185" i="13"/>
  <c r="H174" i="13"/>
  <c r="H173" i="13" s="1"/>
  <c r="H172" i="13" s="1"/>
  <c r="H171" i="13" s="1"/>
  <c r="M157" i="13"/>
  <c r="M156" i="13" s="1"/>
  <c r="M155" i="13" s="1"/>
  <c r="M154" i="13" s="1"/>
  <c r="O112" i="13"/>
  <c r="O111" i="13" s="1"/>
  <c r="O110" i="13" s="1"/>
  <c r="O109" i="13" s="1"/>
  <c r="M102" i="13"/>
  <c r="M98" i="13" s="1"/>
  <c r="I102" i="13"/>
  <c r="I98" i="13" s="1"/>
  <c r="G71" i="13"/>
  <c r="O76" i="13"/>
  <c r="I58" i="13"/>
  <c r="I57" i="13" s="1"/>
  <c r="I56" i="13" s="1"/>
  <c r="I55" i="13" s="1"/>
  <c r="N44" i="13"/>
  <c r="N43" i="13" s="1"/>
  <c r="N42" i="13" s="1"/>
  <c r="N41" i="13" s="1"/>
  <c r="M44" i="13"/>
  <c r="M43" i="13" s="1"/>
  <c r="M42" i="13" s="1"/>
  <c r="M41" i="13" s="1"/>
  <c r="I43" i="13"/>
  <c r="I42" i="13" s="1"/>
  <c r="I41" i="13" s="1"/>
  <c r="L83" i="13"/>
  <c r="L71" i="13" s="1"/>
  <c r="N155" i="13"/>
  <c r="N154" i="13" s="1"/>
  <c r="M111" i="13"/>
  <c r="M110" i="13" s="1"/>
  <c r="M109" i="13" s="1"/>
  <c r="I121" i="13"/>
  <c r="O121" i="13" s="1"/>
  <c r="J126" i="13"/>
  <c r="J125" i="13" s="1"/>
  <c r="J124" i="13" s="1"/>
  <c r="G127" i="13"/>
  <c r="G126" i="13" s="1"/>
  <c r="G125" i="13" s="1"/>
  <c r="G124" i="13" s="1"/>
  <c r="M128" i="13"/>
  <c r="M127" i="13" s="1"/>
  <c r="M126" i="13" s="1"/>
  <c r="M125" i="13" s="1"/>
  <c r="M124" i="13" s="1"/>
  <c r="I94" i="13"/>
  <c r="I93" i="13" s="1"/>
  <c r="O102" i="13"/>
  <c r="O98" i="13" s="1"/>
  <c r="I158" i="13"/>
  <c r="I157" i="13" s="1"/>
  <c r="I156" i="13" s="1"/>
  <c r="I155" i="13" s="1"/>
  <c r="I154" i="13" s="1"/>
  <c r="I177" i="13"/>
  <c r="O177" i="13" s="1"/>
  <c r="O184" i="13"/>
  <c r="O183" i="13" s="1"/>
  <c r="O182" i="13" s="1"/>
  <c r="O181" i="13" s="1"/>
  <c r="O180" i="13" s="1"/>
  <c r="J220" i="13"/>
  <c r="J209" i="13" s="1"/>
  <c r="I220" i="13"/>
  <c r="I209" i="13" s="1"/>
  <c r="O220" i="13"/>
  <c r="O116" i="13"/>
  <c r="O115" i="13" s="1"/>
  <c r="O114" i="13" s="1"/>
  <c r="O113" i="13" s="1"/>
  <c r="M211" i="13"/>
  <c r="M210" i="13" s="1"/>
  <c r="I128" i="13"/>
  <c r="O122" i="13"/>
  <c r="I120" i="13"/>
  <c r="I118" i="13"/>
  <c r="O118" i="13" s="1"/>
  <c r="G157" i="13"/>
  <c r="G156" i="13" s="1"/>
  <c r="G155" i="13" s="1"/>
  <c r="G154" i="13" s="1"/>
  <c r="M174" i="13"/>
  <c r="M173" i="13" s="1"/>
  <c r="M172" i="13" s="1"/>
  <c r="M171" i="13" s="1"/>
  <c r="J237" i="13"/>
  <c r="O176" i="13"/>
  <c r="O175" i="13" s="1"/>
  <c r="O211" i="13"/>
  <c r="O210" i="13" s="1"/>
  <c r="N232" i="13"/>
  <c r="N231" i="13" s="1"/>
  <c r="H231" i="13"/>
  <c r="I185" i="13"/>
  <c r="I183" i="13" s="1"/>
  <c r="I182" i="13" s="1"/>
  <c r="I181" i="13" s="1"/>
  <c r="I180" i="13" s="1"/>
  <c r="M200" i="13"/>
  <c r="H243" i="13"/>
  <c r="H237" i="13" s="1"/>
  <c r="I284" i="13"/>
  <c r="I283" i="13" s="1"/>
  <c r="M284" i="13"/>
  <c r="M283" i="13" s="1"/>
  <c r="J292" i="13"/>
  <c r="J284" i="13" s="1"/>
  <c r="J283" i="13" s="1"/>
  <c r="J282" i="13" s="1"/>
  <c r="J281" i="13" s="1"/>
  <c r="L320" i="13"/>
  <c r="L319" i="13" s="1"/>
  <c r="L318" i="13" s="1"/>
  <c r="O335" i="13"/>
  <c r="O357" i="13"/>
  <c r="I354" i="13"/>
  <c r="I353" i="13" s="1"/>
  <c r="I352" i="13" s="1"/>
  <c r="M414" i="13"/>
  <c r="L414" i="13"/>
  <c r="N195" i="13"/>
  <c r="N194" i="13" s="1"/>
  <c r="N193" i="13" s="1"/>
  <c r="O309" i="13"/>
  <c r="O308" i="13" s="1"/>
  <c r="O307" i="13" s="1"/>
  <c r="L288" i="13"/>
  <c r="L284" i="13" s="1"/>
  <c r="L283" i="13" s="1"/>
  <c r="L282" i="13" s="1"/>
  <c r="L281" i="13" s="1"/>
  <c r="G299" i="13"/>
  <c r="O361" i="13"/>
  <c r="L360" i="13"/>
  <c r="L359" i="13" s="1"/>
  <c r="I414" i="13"/>
  <c r="O280" i="13"/>
  <c r="O279" i="13" s="1"/>
  <c r="O276" i="13" s="1"/>
  <c r="O275" i="13" s="1"/>
  <c r="O270" i="13" s="1"/>
  <c r="N279" i="13"/>
  <c r="N276" i="13" s="1"/>
  <c r="N275" i="13" s="1"/>
  <c r="N270" i="13" s="1"/>
  <c r="H295" i="13"/>
  <c r="H294" i="13" s="1"/>
  <c r="M384" i="13"/>
  <c r="M380" i="13" s="1"/>
  <c r="M379" i="13" s="1"/>
  <c r="M378" i="13" s="1"/>
  <c r="I315" i="13"/>
  <c r="O315" i="13" s="1"/>
  <c r="O334" i="13"/>
  <c r="O333" i="13" s="1"/>
  <c r="I345" i="13"/>
  <c r="O345" i="13" s="1"/>
  <c r="L355" i="13"/>
  <c r="L354" i="13" s="1"/>
  <c r="L353" i="13" s="1"/>
  <c r="L352" i="13" s="1"/>
  <c r="K360" i="13"/>
  <c r="K359" i="13" s="1"/>
  <c r="N359" i="13" s="1"/>
  <c r="H373" i="13"/>
  <c r="N373" i="13" s="1"/>
  <c r="O402" i="13"/>
  <c r="O401" i="13" s="1"/>
  <c r="L440" i="13"/>
  <c r="L439" i="13" s="1"/>
  <c r="I302" i="13"/>
  <c r="I301" i="13" s="1"/>
  <c r="I300" i="13" s="1"/>
  <c r="M357" i="13"/>
  <c r="M354" i="13" s="1"/>
  <c r="M353" i="13" s="1"/>
  <c r="M352" i="13" s="1"/>
  <c r="I389" i="13"/>
  <c r="N496" i="13"/>
  <c r="N495" i="13" s="1"/>
  <c r="N494" i="13" s="1"/>
  <c r="N493" i="13" s="1"/>
  <c r="K495" i="13"/>
  <c r="K494" i="13" s="1"/>
  <c r="K493" i="13" s="1"/>
  <c r="H308" i="13"/>
  <c r="H307" i="13" s="1"/>
  <c r="H314" i="13"/>
  <c r="K353" i="13"/>
  <c r="K352" i="13" s="1"/>
  <c r="O420" i="13"/>
  <c r="O419" i="13" s="1"/>
  <c r="O418" i="13" s="1"/>
  <c r="O417" i="13" s="1"/>
  <c r="O416" i="13" s="1"/>
  <c r="O415" i="13" s="1"/>
  <c r="N419" i="13"/>
  <c r="N418" i="13" s="1"/>
  <c r="N417" i="13" s="1"/>
  <c r="N416" i="13" s="1"/>
  <c r="N415" i="13" s="1"/>
  <c r="O471" i="13"/>
  <c r="L478" i="13"/>
  <c r="K470" i="13"/>
  <c r="K469" i="13" s="1"/>
  <c r="K460" i="13" s="1"/>
  <c r="K459" i="13" s="1"/>
  <c r="K458" i="13" s="1"/>
  <c r="K457" i="13" s="1"/>
  <c r="M506" i="13"/>
  <c r="M505" i="13" s="1"/>
  <c r="M504" i="13" s="1"/>
  <c r="M503" i="13" s="1"/>
  <c r="M502" i="13" s="1"/>
  <c r="M501" i="13" s="1"/>
  <c r="G505" i="13"/>
  <c r="G504" i="13" s="1"/>
  <c r="G503" i="13" s="1"/>
  <c r="G502" i="13" s="1"/>
  <c r="G501" i="13" s="1"/>
  <c r="N478" i="13"/>
  <c r="O481" i="13"/>
  <c r="O480" i="13" s="1"/>
  <c r="N480" i="13"/>
  <c r="M498" i="13"/>
  <c r="M497" i="13" s="1"/>
  <c r="M496" i="13" s="1"/>
  <c r="M495" i="13" s="1"/>
  <c r="M494" i="13" s="1"/>
  <c r="M493" i="13" s="1"/>
  <c r="J503" i="13"/>
  <c r="J502" i="13" s="1"/>
  <c r="J501" i="13" s="1"/>
  <c r="O506" i="13"/>
  <c r="O507" i="13"/>
  <c r="I526" i="13"/>
  <c r="I525" i="13" s="1"/>
  <c r="I524" i="13" s="1"/>
  <c r="I523" i="13" s="1"/>
  <c r="I522" i="13" s="1"/>
  <c r="I521" i="13" s="1"/>
  <c r="I520" i="13" s="1"/>
  <c r="H183" i="12"/>
  <c r="H460" i="13" l="1"/>
  <c r="H459" i="13" s="1"/>
  <c r="H458" i="13" s="1"/>
  <c r="H457" i="13" s="1"/>
  <c r="I460" i="13"/>
  <c r="O461" i="13"/>
  <c r="O42" i="13"/>
  <c r="O41" i="13" s="1"/>
  <c r="O354" i="13"/>
  <c r="O353" i="13" s="1"/>
  <c r="O352" i="13" s="1"/>
  <c r="I179" i="13"/>
  <c r="O83" i="13"/>
  <c r="O71" i="13" s="1"/>
  <c r="O179" i="13"/>
  <c r="I174" i="13"/>
  <c r="O174" i="13" s="1"/>
  <c r="O173" i="13" s="1"/>
  <c r="O172" i="13" s="1"/>
  <c r="O171" i="13" s="1"/>
  <c r="O73" i="13"/>
  <c r="O72" i="13" s="1"/>
  <c r="O74" i="13"/>
  <c r="O89" i="13"/>
  <c r="I255" i="13"/>
  <c r="I393" i="13"/>
  <c r="I392" i="13" s="1"/>
  <c r="I391" i="13" s="1"/>
  <c r="G459" i="13"/>
  <c r="O395" i="13"/>
  <c r="O394" i="13" s="1"/>
  <c r="O499" i="13"/>
  <c r="O496" i="13" s="1"/>
  <c r="O495" i="13" s="1"/>
  <c r="O494" i="13" s="1"/>
  <c r="O493" i="13" s="1"/>
  <c r="I496" i="13"/>
  <c r="I495" i="13" s="1"/>
  <c r="I494" i="13" s="1"/>
  <c r="I493" i="13" s="1"/>
  <c r="G458" i="13"/>
  <c r="G457" i="13" s="1"/>
  <c r="J458" i="13"/>
  <c r="J457" i="13" s="1"/>
  <c r="N354" i="13"/>
  <c r="N353" i="13" s="1"/>
  <c r="N352" i="13" s="1"/>
  <c r="H255" i="13"/>
  <c r="N255" i="13" s="1"/>
  <c r="M220" i="13"/>
  <c r="M209" i="13" s="1"/>
  <c r="M208" i="13" s="1"/>
  <c r="M170" i="13" s="1"/>
  <c r="H60" i="13"/>
  <c r="H35" i="13" s="1"/>
  <c r="J117" i="13"/>
  <c r="N261" i="13"/>
  <c r="O505" i="13"/>
  <c r="O504" i="13" s="1"/>
  <c r="O503" i="13" s="1"/>
  <c r="O502" i="13" s="1"/>
  <c r="O501" i="13" s="1"/>
  <c r="L60" i="13"/>
  <c r="L35" i="13" s="1"/>
  <c r="I459" i="13"/>
  <c r="I92" i="13"/>
  <c r="I91" i="13" s="1"/>
  <c r="I60" i="13" s="1"/>
  <c r="I35" i="13" s="1"/>
  <c r="G60" i="13"/>
  <c r="G35" i="13" s="1"/>
  <c r="J83" i="13"/>
  <c r="J71" i="13" s="1"/>
  <c r="J60" i="13" s="1"/>
  <c r="J35" i="13" s="1"/>
  <c r="O360" i="13"/>
  <c r="O359" i="13" s="1"/>
  <c r="L208" i="13"/>
  <c r="L170" i="13" s="1"/>
  <c r="M117" i="13"/>
  <c r="J254" i="13"/>
  <c r="J208" i="13"/>
  <c r="J170" i="13" s="1"/>
  <c r="N296" i="13"/>
  <c r="N295" i="13" s="1"/>
  <c r="N294" i="13" s="1"/>
  <c r="N179" i="13"/>
  <c r="N170" i="13" s="1"/>
  <c r="M317" i="13"/>
  <c r="M393" i="13"/>
  <c r="M392" i="13" s="1"/>
  <c r="M391" i="13" s="1"/>
  <c r="K83" i="13"/>
  <c r="K71" i="13" s="1"/>
  <c r="K60" i="13" s="1"/>
  <c r="K35" i="13" s="1"/>
  <c r="H209" i="13"/>
  <c r="H208" i="13" s="1"/>
  <c r="H170" i="13" s="1"/>
  <c r="O400" i="13"/>
  <c r="O414" i="13"/>
  <c r="N414" i="13"/>
  <c r="N393" i="13"/>
  <c r="N392" i="13" s="1"/>
  <c r="N391" i="13" s="1"/>
  <c r="G231" i="13"/>
  <c r="I232" i="13"/>
  <c r="G208" i="13"/>
  <c r="G170" i="13" s="1"/>
  <c r="I208" i="13"/>
  <c r="O209" i="13"/>
  <c r="I296" i="13"/>
  <c r="I282" i="13" s="1"/>
  <c r="O92" i="13"/>
  <c r="O91" i="13" s="1"/>
  <c r="N92" i="13"/>
  <c r="N91" i="13" s="1"/>
  <c r="N60" i="13" s="1"/>
  <c r="N35" i="13" s="1"/>
  <c r="M92" i="13"/>
  <c r="M91" i="13" s="1"/>
  <c r="M60" i="13" s="1"/>
  <c r="M35" i="13" s="1"/>
  <c r="G317" i="13"/>
  <c r="O367" i="13"/>
  <c r="O366" i="13" s="1"/>
  <c r="O478" i="13"/>
  <c r="O469" i="13" s="1"/>
  <c r="M299" i="13"/>
  <c r="G281" i="13"/>
  <c r="G295" i="13"/>
  <c r="G294" i="13" s="1"/>
  <c r="M296" i="13"/>
  <c r="M295" i="13" s="1"/>
  <c r="M294" i="13" s="1"/>
  <c r="G255" i="13"/>
  <c r="I261" i="13"/>
  <c r="M261" i="13"/>
  <c r="G256" i="13"/>
  <c r="N469" i="13"/>
  <c r="L470" i="13"/>
  <c r="L469" i="13" s="1"/>
  <c r="L460" i="13" s="1"/>
  <c r="L459" i="13" s="1"/>
  <c r="L458" i="13" s="1"/>
  <c r="L457" i="13" s="1"/>
  <c r="K317" i="13"/>
  <c r="K254" i="13" s="1"/>
  <c r="O232" i="13"/>
  <c r="O231" i="13" s="1"/>
  <c r="I231" i="13"/>
  <c r="O128" i="13"/>
  <c r="O127" i="13" s="1"/>
  <c r="O126" i="13" s="1"/>
  <c r="O125" i="13" s="1"/>
  <c r="O124" i="13" s="1"/>
  <c r="O117" i="13" s="1"/>
  <c r="I127" i="13"/>
  <c r="I126" i="13" s="1"/>
  <c r="I125" i="13" s="1"/>
  <c r="I124" i="13" s="1"/>
  <c r="I117" i="13" s="1"/>
  <c r="L317" i="13"/>
  <c r="L254" i="13" s="1"/>
  <c r="I119" i="13"/>
  <c r="O120" i="13"/>
  <c r="O119" i="13" s="1"/>
  <c r="I384" i="13"/>
  <c r="I380" i="13" s="1"/>
  <c r="I379" i="13" s="1"/>
  <c r="I378" i="13" s="1"/>
  <c r="O389" i="13"/>
  <c r="O384" i="13" s="1"/>
  <c r="O380" i="13" s="1"/>
  <c r="O379" i="13" s="1"/>
  <c r="O378" i="13" s="1"/>
  <c r="G117" i="13"/>
  <c r="I314" i="13"/>
  <c r="O314" i="13" s="1"/>
  <c r="H313" i="13"/>
  <c r="N313" i="13" s="1"/>
  <c r="O466" i="12"/>
  <c r="L467" i="12"/>
  <c r="O486" i="12"/>
  <c r="M486" i="12"/>
  <c r="O478" i="12"/>
  <c r="M478" i="12"/>
  <c r="M444" i="12"/>
  <c r="N446" i="12"/>
  <c r="N445" i="12" s="1"/>
  <c r="N444" i="12" s="1"/>
  <c r="O458" i="12"/>
  <c r="O460" i="12"/>
  <c r="M458" i="12"/>
  <c r="M460" i="12"/>
  <c r="N518" i="12"/>
  <c r="M518" i="12"/>
  <c r="I518" i="12"/>
  <c r="O518" i="12" s="1"/>
  <c r="N517" i="12"/>
  <c r="N516" i="12" s="1"/>
  <c r="N515" i="12" s="1"/>
  <c r="N514" i="12" s="1"/>
  <c r="N513" i="12" s="1"/>
  <c r="N512" i="12" s="1"/>
  <c r="L517" i="12"/>
  <c r="J517" i="12"/>
  <c r="J516" i="12" s="1"/>
  <c r="J515" i="12" s="1"/>
  <c r="H517" i="12"/>
  <c r="G517" i="12"/>
  <c r="L516" i="12"/>
  <c r="K516" i="12"/>
  <c r="H516" i="12"/>
  <c r="H515" i="12" s="1"/>
  <c r="H514" i="12" s="1"/>
  <c r="H513" i="12" s="1"/>
  <c r="H512" i="12" s="1"/>
  <c r="G516" i="12"/>
  <c r="L515" i="12"/>
  <c r="L514" i="12" s="1"/>
  <c r="L513" i="12" s="1"/>
  <c r="L512" i="12" s="1"/>
  <c r="K515" i="12"/>
  <c r="K514" i="12" s="1"/>
  <c r="K513" i="12" s="1"/>
  <c r="K512" i="12" s="1"/>
  <c r="K511" i="12" s="1"/>
  <c r="G515" i="12"/>
  <c r="J514" i="12"/>
  <c r="G514" i="12"/>
  <c r="G513" i="12" s="1"/>
  <c r="G512" i="12" s="1"/>
  <c r="J513" i="12"/>
  <c r="J512" i="12" s="1"/>
  <c r="N511" i="12"/>
  <c r="N510" i="12"/>
  <c r="M510" i="12"/>
  <c r="I510" i="12"/>
  <c r="O510" i="12" s="1"/>
  <c r="N509" i="12"/>
  <c r="N508" i="12" s="1"/>
  <c r="M509" i="12"/>
  <c r="L509" i="12"/>
  <c r="J509" i="12"/>
  <c r="I509" i="12"/>
  <c r="I508" i="12" s="1"/>
  <c r="H509" i="12"/>
  <c r="G509" i="12"/>
  <c r="L508" i="12"/>
  <c r="K508" i="12"/>
  <c r="K507" i="12" s="1"/>
  <c r="J508" i="12"/>
  <c r="H508" i="12"/>
  <c r="G508" i="12"/>
  <c r="G503" i="12" s="1"/>
  <c r="G502" i="12" s="1"/>
  <c r="G501" i="12" s="1"/>
  <c r="G500" i="12" s="1"/>
  <c r="N507" i="12"/>
  <c r="M507" i="12"/>
  <c r="I507" i="12"/>
  <c r="N506" i="12"/>
  <c r="N505" i="12" s="1"/>
  <c r="M506" i="12"/>
  <c r="I506" i="12"/>
  <c r="O506" i="12" s="1"/>
  <c r="L505" i="12"/>
  <c r="L504" i="12" s="1"/>
  <c r="L503" i="12" s="1"/>
  <c r="L502" i="12" s="1"/>
  <c r="L501" i="12" s="1"/>
  <c r="J505" i="12"/>
  <c r="J504" i="12" s="1"/>
  <c r="J503" i="12" s="1"/>
  <c r="J502" i="12" s="1"/>
  <c r="J501" i="12" s="1"/>
  <c r="J500" i="12" s="1"/>
  <c r="J499" i="12" s="1"/>
  <c r="H505" i="12"/>
  <c r="G505" i="12"/>
  <c r="G504" i="12" s="1"/>
  <c r="N504" i="12"/>
  <c r="N503" i="12" s="1"/>
  <c r="N502" i="12" s="1"/>
  <c r="H504" i="12"/>
  <c r="K503" i="12"/>
  <c r="K502" i="12" s="1"/>
  <c r="K501" i="12" s="1"/>
  <c r="K500" i="12" s="1"/>
  <c r="K499" i="12" s="1"/>
  <c r="H503" i="12"/>
  <c r="H502" i="12" s="1"/>
  <c r="H501" i="12" s="1"/>
  <c r="H500" i="12" s="1"/>
  <c r="N501" i="12"/>
  <c r="N500" i="12" s="1"/>
  <c r="N499" i="12" s="1"/>
  <c r="L500" i="12"/>
  <c r="L499" i="12" s="1"/>
  <c r="G499" i="12"/>
  <c r="O498" i="12"/>
  <c r="N498" i="12"/>
  <c r="M498" i="12"/>
  <c r="I498" i="12"/>
  <c r="N497" i="12"/>
  <c r="M497" i="12"/>
  <c r="I497" i="12"/>
  <c r="O497" i="12" s="1"/>
  <c r="O496" i="12"/>
  <c r="N496" i="12"/>
  <c r="M496" i="12"/>
  <c r="I496" i="12"/>
  <c r="I495" i="12" s="1"/>
  <c r="I494" i="12" s="1"/>
  <c r="I493" i="12" s="1"/>
  <c r="L495" i="12"/>
  <c r="L494" i="12" s="1"/>
  <c r="L493" i="12" s="1"/>
  <c r="J495" i="12"/>
  <c r="J494" i="12" s="1"/>
  <c r="J493" i="12" s="1"/>
  <c r="G495" i="12"/>
  <c r="K494" i="12"/>
  <c r="H494" i="12"/>
  <c r="G494" i="12"/>
  <c r="K493" i="12"/>
  <c r="G493" i="12"/>
  <c r="O492" i="12"/>
  <c r="M492" i="12"/>
  <c r="I492" i="12"/>
  <c r="G492" i="12"/>
  <c r="N491" i="12"/>
  <c r="M491" i="12"/>
  <c r="I491" i="12"/>
  <c r="O490" i="12"/>
  <c r="N490" i="12"/>
  <c r="N489" i="12" s="1"/>
  <c r="M490" i="12"/>
  <c r="I490" i="12"/>
  <c r="L489" i="12"/>
  <c r="L488" i="12" s="1"/>
  <c r="J489" i="12"/>
  <c r="H489" i="12"/>
  <c r="H488" i="12" s="1"/>
  <c r="G489" i="12"/>
  <c r="N488" i="12"/>
  <c r="K488" i="12"/>
  <c r="J488" i="12"/>
  <c r="G488" i="12"/>
  <c r="N487" i="12"/>
  <c r="N485" i="12" s="1"/>
  <c r="N484" i="12" s="1"/>
  <c r="M487" i="12"/>
  <c r="I487" i="12"/>
  <c r="N486" i="12"/>
  <c r="L486" i="12"/>
  <c r="I486" i="12"/>
  <c r="I485" i="12" s="1"/>
  <c r="I484" i="12" s="1"/>
  <c r="G486" i="12"/>
  <c r="G485" i="12" s="1"/>
  <c r="G484" i="12" s="1"/>
  <c r="G483" i="12" s="1"/>
  <c r="L485" i="12"/>
  <c r="J485" i="12"/>
  <c r="J484" i="12" s="1"/>
  <c r="J483" i="12" s="1"/>
  <c r="J482" i="12" s="1"/>
  <c r="J481" i="12" s="1"/>
  <c r="L484" i="12"/>
  <c r="L483" i="12" s="1"/>
  <c r="H484" i="12"/>
  <c r="H483" i="12" s="1"/>
  <c r="N483" i="12"/>
  <c r="K483" i="12"/>
  <c r="K482" i="12" s="1"/>
  <c r="K481" i="12" s="1"/>
  <c r="O480" i="12"/>
  <c r="N480" i="12"/>
  <c r="M480" i="12"/>
  <c r="I480" i="12"/>
  <c r="N479" i="12"/>
  <c r="M479" i="12"/>
  <c r="I479" i="12"/>
  <c r="O479" i="12" s="1"/>
  <c r="G479" i="12"/>
  <c r="N478" i="12"/>
  <c r="I478" i="12"/>
  <c r="I477" i="12" s="1"/>
  <c r="G478" i="12"/>
  <c r="G477" i="12" s="1"/>
  <c r="G476" i="12" s="1"/>
  <c r="O477" i="12"/>
  <c r="N477" i="12"/>
  <c r="L477" i="12"/>
  <c r="J477" i="12"/>
  <c r="J476" i="12" s="1"/>
  <c r="J475" i="12" s="1"/>
  <c r="L476" i="12"/>
  <c r="L475" i="12" s="1"/>
  <c r="L474" i="12" s="1"/>
  <c r="L473" i="12" s="1"/>
  <c r="K476" i="12"/>
  <c r="N476" i="12" s="1"/>
  <c r="N475" i="12" s="1"/>
  <c r="N474" i="12" s="1"/>
  <c r="I476" i="12"/>
  <c r="I475" i="12" s="1"/>
  <c r="I474" i="12" s="1"/>
  <c r="H476" i="12"/>
  <c r="K475" i="12"/>
  <c r="H475" i="12"/>
  <c r="H474" i="12" s="1"/>
  <c r="H473" i="12" s="1"/>
  <c r="G475" i="12"/>
  <c r="G474" i="12" s="1"/>
  <c r="G473" i="12" s="1"/>
  <c r="K474" i="12"/>
  <c r="K473" i="12" s="1"/>
  <c r="J474" i="12"/>
  <c r="J473" i="12" s="1"/>
  <c r="N473" i="12"/>
  <c r="I473" i="12"/>
  <c r="O472" i="12"/>
  <c r="M472" i="12"/>
  <c r="O471" i="12"/>
  <c r="M471" i="12"/>
  <c r="O470" i="12"/>
  <c r="M470" i="12"/>
  <c r="O469" i="12"/>
  <c r="M469" i="12"/>
  <c r="O468" i="12"/>
  <c r="N468" i="12"/>
  <c r="M468" i="12"/>
  <c r="L468" i="12"/>
  <c r="J468" i="12"/>
  <c r="I468" i="12"/>
  <c r="G468" i="12"/>
  <c r="O467" i="12"/>
  <c r="N467" i="12"/>
  <c r="M467" i="12"/>
  <c r="M466" i="12" s="1"/>
  <c r="N466" i="12"/>
  <c r="L466" i="12"/>
  <c r="L456" i="12" s="1"/>
  <c r="K466" i="12"/>
  <c r="J466" i="12"/>
  <c r="O465" i="12"/>
  <c r="N465" i="12"/>
  <c r="M465" i="12"/>
  <c r="L465" i="12"/>
  <c r="L464" i="12" s="1"/>
  <c r="I465" i="12"/>
  <c r="N464" i="12"/>
  <c r="M464" i="12"/>
  <c r="K464" i="12"/>
  <c r="J464" i="12"/>
  <c r="I464" i="12"/>
  <c r="H464" i="12"/>
  <c r="G464" i="12"/>
  <c r="N463" i="12"/>
  <c r="M463" i="12"/>
  <c r="L463" i="12"/>
  <c r="O463" i="12" s="1"/>
  <c r="I463" i="12"/>
  <c r="K462" i="12"/>
  <c r="L462" i="12" s="1"/>
  <c r="J462" i="12"/>
  <c r="H462" i="12"/>
  <c r="G462" i="12"/>
  <c r="M462" i="12" s="1"/>
  <c r="O461" i="12"/>
  <c r="M461" i="12"/>
  <c r="I461" i="12"/>
  <c r="G461" i="12"/>
  <c r="N460" i="12"/>
  <c r="I460" i="12"/>
  <c r="G460" i="12"/>
  <c r="N459" i="12"/>
  <c r="M459" i="12"/>
  <c r="I459" i="12"/>
  <c r="O459" i="12" s="1"/>
  <c r="N458" i="12"/>
  <c r="I458" i="12"/>
  <c r="G458" i="12"/>
  <c r="L457" i="12"/>
  <c r="J457" i="12"/>
  <c r="H457" i="12"/>
  <c r="H456" i="12" s="1"/>
  <c r="H455" i="12" s="1"/>
  <c r="G457" i="12"/>
  <c r="G456" i="12" s="1"/>
  <c r="G455" i="12" s="1"/>
  <c r="K456" i="12"/>
  <c r="K455" i="12" s="1"/>
  <c r="J456" i="12"/>
  <c r="J455" i="12" s="1"/>
  <c r="O453" i="12"/>
  <c r="N453" i="12"/>
  <c r="M453" i="12"/>
  <c r="L453" i="12"/>
  <c r="J453" i="12"/>
  <c r="I453" i="12"/>
  <c r="G453" i="12"/>
  <c r="O452" i="12"/>
  <c r="M452" i="12"/>
  <c r="I452" i="12"/>
  <c r="G452" i="12"/>
  <c r="N451" i="12"/>
  <c r="M451" i="12"/>
  <c r="L451" i="12"/>
  <c r="J451" i="12"/>
  <c r="I451" i="12"/>
  <c r="G451" i="12"/>
  <c r="O450" i="12"/>
  <c r="N450" i="12"/>
  <c r="N449" i="12" s="1"/>
  <c r="M450" i="12"/>
  <c r="I450" i="12"/>
  <c r="M449" i="12"/>
  <c r="L449" i="12"/>
  <c r="L448" i="12" s="1"/>
  <c r="L447" i="12" s="1"/>
  <c r="J449" i="12"/>
  <c r="I449" i="12"/>
  <c r="H449" i="12"/>
  <c r="H448" i="12" s="1"/>
  <c r="H447" i="12" s="1"/>
  <c r="H446" i="12" s="1"/>
  <c r="H445" i="12" s="1"/>
  <c r="G449" i="12"/>
  <c r="G448" i="12" s="1"/>
  <c r="G447" i="12" s="1"/>
  <c r="G446" i="12" s="1"/>
  <c r="G445" i="12" s="1"/>
  <c r="K448" i="12"/>
  <c r="K447" i="12" s="1"/>
  <c r="K446" i="12" s="1"/>
  <c r="J448" i="12"/>
  <c r="J447" i="12" s="1"/>
  <c r="K445" i="12"/>
  <c r="O442" i="12"/>
  <c r="N442" i="12"/>
  <c r="M442" i="12"/>
  <c r="O441" i="12"/>
  <c r="N441" i="12"/>
  <c r="N440" i="12" s="1"/>
  <c r="M441" i="12"/>
  <c r="L441" i="12"/>
  <c r="J441" i="12"/>
  <c r="I441" i="12"/>
  <c r="I440" i="12" s="1"/>
  <c r="I439" i="12" s="1"/>
  <c r="H441" i="12"/>
  <c r="G441" i="12"/>
  <c r="O440" i="12"/>
  <c r="L440" i="12"/>
  <c r="L439" i="12" s="1"/>
  <c r="L438" i="12" s="1"/>
  <c r="L437" i="12" s="1"/>
  <c r="L436" i="12" s="1"/>
  <c r="K440" i="12"/>
  <c r="J440" i="12"/>
  <c r="H440" i="12"/>
  <c r="H439" i="12" s="1"/>
  <c r="G440" i="12"/>
  <c r="G439" i="12" s="1"/>
  <c r="G438" i="12" s="1"/>
  <c r="N439" i="12"/>
  <c r="N438" i="12" s="1"/>
  <c r="K439" i="12"/>
  <c r="K438" i="12" s="1"/>
  <c r="K437" i="12" s="1"/>
  <c r="K436" i="12" s="1"/>
  <c r="K435" i="12" s="1"/>
  <c r="J439" i="12"/>
  <c r="J438" i="12" s="1"/>
  <c r="I438" i="12"/>
  <c r="I437" i="12" s="1"/>
  <c r="H438" i="12"/>
  <c r="H437" i="12" s="1"/>
  <c r="H436" i="12" s="1"/>
  <c r="N437" i="12"/>
  <c r="N436" i="12" s="1"/>
  <c r="J437" i="12"/>
  <c r="J436" i="12" s="1"/>
  <c r="G437" i="12"/>
  <c r="G436" i="12" s="1"/>
  <c r="I436" i="12"/>
  <c r="O434" i="12"/>
  <c r="N434" i="12"/>
  <c r="N433" i="12" s="1"/>
  <c r="N432" i="12" s="1"/>
  <c r="N426" i="12" s="1"/>
  <c r="N425" i="12" s="1"/>
  <c r="M434" i="12"/>
  <c r="L434" i="12"/>
  <c r="J434" i="12"/>
  <c r="J433" i="12" s="1"/>
  <c r="J432" i="12" s="1"/>
  <c r="I434" i="12"/>
  <c r="G434" i="12"/>
  <c r="M433" i="12"/>
  <c r="M432" i="12" s="1"/>
  <c r="L433" i="12"/>
  <c r="K433" i="12"/>
  <c r="I433" i="12"/>
  <c r="I432" i="12" s="1"/>
  <c r="I426" i="12" s="1"/>
  <c r="H433" i="12"/>
  <c r="H432" i="12" s="1"/>
  <c r="G433" i="12"/>
  <c r="L432" i="12"/>
  <c r="K432" i="12"/>
  <c r="G432" i="12"/>
  <c r="O429" i="12"/>
  <c r="N429" i="12"/>
  <c r="N428" i="12" s="1"/>
  <c r="M429" i="12"/>
  <c r="L429" i="12"/>
  <c r="J429" i="12"/>
  <c r="J428" i="12" s="1"/>
  <c r="J427" i="12" s="1"/>
  <c r="J426" i="12" s="1"/>
  <c r="J425" i="12" s="1"/>
  <c r="I429" i="12"/>
  <c r="I428" i="12" s="1"/>
  <c r="I427" i="12" s="1"/>
  <c r="G429" i="12"/>
  <c r="L428" i="12"/>
  <c r="L427" i="12" s="1"/>
  <c r="K428" i="12"/>
  <c r="H428" i="12"/>
  <c r="H427" i="12" s="1"/>
  <c r="H426" i="12" s="1"/>
  <c r="G428" i="12"/>
  <c r="G427" i="12" s="1"/>
  <c r="N427" i="12"/>
  <c r="K427" i="12"/>
  <c r="K426" i="12" s="1"/>
  <c r="K425" i="12" s="1"/>
  <c r="I425" i="12"/>
  <c r="H425" i="12"/>
  <c r="O423" i="12"/>
  <c r="N423" i="12"/>
  <c r="N422" i="12" s="1"/>
  <c r="N421" i="12" s="1"/>
  <c r="N420" i="12" s="1"/>
  <c r="N419" i="12" s="1"/>
  <c r="M423" i="12"/>
  <c r="L423" i="12"/>
  <c r="L422" i="12" s="1"/>
  <c r="L421" i="12" s="1"/>
  <c r="J423" i="12"/>
  <c r="I423" i="12"/>
  <c r="I422" i="12" s="1"/>
  <c r="I421" i="12" s="1"/>
  <c r="I420" i="12" s="1"/>
  <c r="I419" i="12" s="1"/>
  <c r="G423" i="12"/>
  <c r="O422" i="12"/>
  <c r="K422" i="12"/>
  <c r="K421" i="12" s="1"/>
  <c r="K420" i="12" s="1"/>
  <c r="J422" i="12"/>
  <c r="H422" i="12"/>
  <c r="G422" i="12"/>
  <c r="G421" i="12" s="1"/>
  <c r="G420" i="12" s="1"/>
  <c r="G419" i="12" s="1"/>
  <c r="J421" i="12"/>
  <c r="J420" i="12" s="1"/>
  <c r="J419" i="12" s="1"/>
  <c r="H421" i="12"/>
  <c r="L420" i="12"/>
  <c r="L419" i="12" s="1"/>
  <c r="H420" i="12"/>
  <c r="H419" i="12" s="1"/>
  <c r="K419" i="12"/>
  <c r="O418" i="12"/>
  <c r="M418" i="12"/>
  <c r="O417" i="12"/>
  <c r="N417" i="12"/>
  <c r="N416" i="12" s="1"/>
  <c r="N415" i="12" s="1"/>
  <c r="N414" i="12" s="1"/>
  <c r="L417" i="12"/>
  <c r="J417" i="12"/>
  <c r="J416" i="12" s="1"/>
  <c r="J415" i="12" s="1"/>
  <c r="J414" i="12" s="1"/>
  <c r="J413" i="12" s="1"/>
  <c r="I417" i="12"/>
  <c r="I416" i="12" s="1"/>
  <c r="I415" i="12" s="1"/>
  <c r="I414" i="12" s="1"/>
  <c r="I413" i="12" s="1"/>
  <c r="G417" i="12"/>
  <c r="L416" i="12"/>
  <c r="L415" i="12" s="1"/>
  <c r="L414" i="12" s="1"/>
  <c r="L413" i="12" s="1"/>
  <c r="K416" i="12"/>
  <c r="H416" i="12"/>
  <c r="H415" i="12" s="1"/>
  <c r="G416" i="12"/>
  <c r="K415" i="12"/>
  <c r="K414" i="12" s="1"/>
  <c r="G415" i="12"/>
  <c r="H414" i="12"/>
  <c r="H413" i="12" s="1"/>
  <c r="G414" i="12"/>
  <c r="N413" i="12"/>
  <c r="K413" i="12"/>
  <c r="G413" i="12"/>
  <c r="N412" i="12"/>
  <c r="N411" i="12" s="1"/>
  <c r="N410" i="12" s="1"/>
  <c r="N409" i="12" s="1"/>
  <c r="M412" i="12"/>
  <c r="I412" i="12"/>
  <c r="L411" i="12"/>
  <c r="L410" i="12" s="1"/>
  <c r="L409" i="12" s="1"/>
  <c r="L408" i="12" s="1"/>
  <c r="L407" i="12" s="1"/>
  <c r="J411" i="12"/>
  <c r="J410" i="12" s="1"/>
  <c r="J409" i="12" s="1"/>
  <c r="J408" i="12" s="1"/>
  <c r="J407" i="12" s="1"/>
  <c r="I411" i="12"/>
  <c r="G411" i="12"/>
  <c r="K410" i="12"/>
  <c r="I410" i="12"/>
  <c r="I409" i="12" s="1"/>
  <c r="I408" i="12" s="1"/>
  <c r="I407" i="12" s="1"/>
  <c r="H410" i="12"/>
  <c r="G410" i="12"/>
  <c r="K409" i="12"/>
  <c r="H409" i="12"/>
  <c r="H408" i="12" s="1"/>
  <c r="H407" i="12" s="1"/>
  <c r="H400" i="12" s="1"/>
  <c r="G409" i="12"/>
  <c r="G408" i="12" s="1"/>
  <c r="G407" i="12" s="1"/>
  <c r="N408" i="12"/>
  <c r="K408" i="12"/>
  <c r="K407" i="12" s="1"/>
  <c r="N407" i="12"/>
  <c r="O406" i="12"/>
  <c r="O405" i="12" s="1"/>
  <c r="N406" i="12"/>
  <c r="I406" i="12"/>
  <c r="I405" i="12" s="1"/>
  <c r="I404" i="12" s="1"/>
  <c r="I403" i="12" s="1"/>
  <c r="I402" i="12" s="1"/>
  <c r="I401" i="12" s="1"/>
  <c r="I400" i="12" s="1"/>
  <c r="N405" i="12"/>
  <c r="N404" i="12" s="1"/>
  <c r="M405" i="12"/>
  <c r="L405" i="12"/>
  <c r="J405" i="12"/>
  <c r="H405" i="12"/>
  <c r="H404" i="12" s="1"/>
  <c r="H403" i="12" s="1"/>
  <c r="H402" i="12" s="1"/>
  <c r="H401" i="12" s="1"/>
  <c r="G405" i="12"/>
  <c r="O404" i="12"/>
  <c r="L404" i="12"/>
  <c r="L403" i="12" s="1"/>
  <c r="L402" i="12" s="1"/>
  <c r="K404" i="12"/>
  <c r="K403" i="12" s="1"/>
  <c r="K402" i="12" s="1"/>
  <c r="K401" i="12" s="1"/>
  <c r="K400" i="12" s="1"/>
  <c r="J404" i="12"/>
  <c r="G404" i="12"/>
  <c r="O403" i="12"/>
  <c r="N403" i="12"/>
  <c r="N402" i="12" s="1"/>
  <c r="N401" i="12" s="1"/>
  <c r="J403" i="12"/>
  <c r="G403" i="12"/>
  <c r="G402" i="12" s="1"/>
  <c r="G401" i="12" s="1"/>
  <c r="G400" i="12" s="1"/>
  <c r="J402" i="12"/>
  <c r="J401" i="12" s="1"/>
  <c r="L401" i="12"/>
  <c r="O398" i="12"/>
  <c r="O397" i="12" s="1"/>
  <c r="O396" i="12" s="1"/>
  <c r="N398" i="12"/>
  <c r="M398" i="12"/>
  <c r="L398" i="12"/>
  <c r="L397" i="12" s="1"/>
  <c r="L396" i="12" s="1"/>
  <c r="J398" i="12"/>
  <c r="I398" i="12"/>
  <c r="G398" i="12"/>
  <c r="G397" i="12" s="1"/>
  <c r="G396" i="12" s="1"/>
  <c r="G395" i="12" s="1"/>
  <c r="N397" i="12"/>
  <c r="N396" i="12" s="1"/>
  <c r="N395" i="12" s="1"/>
  <c r="K397" i="12"/>
  <c r="J397" i="12"/>
  <c r="J396" i="12" s="1"/>
  <c r="J395" i="12" s="1"/>
  <c r="I397" i="12"/>
  <c r="H397" i="12"/>
  <c r="K396" i="12"/>
  <c r="I396" i="12"/>
  <c r="I395" i="12" s="1"/>
  <c r="H396" i="12"/>
  <c r="O395" i="12"/>
  <c r="L395" i="12"/>
  <c r="K395" i="12"/>
  <c r="H395" i="12"/>
  <c r="O394" i="12"/>
  <c r="N394" i="12"/>
  <c r="M394" i="12"/>
  <c r="L394" i="12"/>
  <c r="N393" i="12"/>
  <c r="M393" i="12"/>
  <c r="L393" i="12"/>
  <c r="O393" i="12" s="1"/>
  <c r="O392" i="12"/>
  <c r="N392" i="12"/>
  <c r="N391" i="12" s="1"/>
  <c r="M392" i="12"/>
  <c r="I392" i="12"/>
  <c r="M391" i="12"/>
  <c r="L391" i="12"/>
  <c r="J391" i="12"/>
  <c r="I391" i="12"/>
  <c r="G391" i="12"/>
  <c r="N389" i="12"/>
  <c r="M389" i="12"/>
  <c r="L389" i="12"/>
  <c r="I389" i="12"/>
  <c r="I387" i="12" s="1"/>
  <c r="I386" i="12" s="1"/>
  <c r="O388" i="12"/>
  <c r="N388" i="12"/>
  <c r="N387" i="12" s="1"/>
  <c r="M388" i="12"/>
  <c r="I388" i="12"/>
  <c r="M387" i="12"/>
  <c r="L387" i="12"/>
  <c r="L386" i="12" s="1"/>
  <c r="K387" i="12"/>
  <c r="J387" i="12"/>
  <c r="H387" i="12"/>
  <c r="H386" i="12" s="1"/>
  <c r="G387" i="12"/>
  <c r="K386" i="12"/>
  <c r="J386" i="12"/>
  <c r="G386" i="12"/>
  <c r="O385" i="12"/>
  <c r="N385" i="12"/>
  <c r="N384" i="12" s="1"/>
  <c r="M385" i="12"/>
  <c r="I385" i="12"/>
  <c r="M384" i="12"/>
  <c r="L384" i="12"/>
  <c r="J384" i="12"/>
  <c r="I384" i="12"/>
  <c r="G384" i="12"/>
  <c r="N383" i="12"/>
  <c r="M383" i="12"/>
  <c r="L383" i="12"/>
  <c r="I383" i="12"/>
  <c r="N382" i="12"/>
  <c r="M382" i="12"/>
  <c r="L382" i="12"/>
  <c r="L381" i="12" s="1"/>
  <c r="L380" i="12" s="1"/>
  <c r="L379" i="12" s="1"/>
  <c r="L378" i="12" s="1"/>
  <c r="L377" i="12" s="1"/>
  <c r="I382" i="12"/>
  <c r="K381" i="12"/>
  <c r="J381" i="12"/>
  <c r="I381" i="12"/>
  <c r="H381" i="12"/>
  <c r="G381" i="12"/>
  <c r="K380" i="12"/>
  <c r="K379" i="12" s="1"/>
  <c r="K378" i="12" s="1"/>
  <c r="K377" i="12" s="1"/>
  <c r="J380" i="12"/>
  <c r="I380" i="12"/>
  <c r="G380" i="12"/>
  <c r="G379" i="12" s="1"/>
  <c r="J379" i="12"/>
  <c r="I379" i="12"/>
  <c r="I378" i="12" s="1"/>
  <c r="I377" i="12" s="1"/>
  <c r="O376" i="12"/>
  <c r="N376" i="12"/>
  <c r="M376" i="12"/>
  <c r="I376" i="12"/>
  <c r="M375" i="12"/>
  <c r="I375" i="12"/>
  <c r="H375" i="12"/>
  <c r="N375" i="12" s="1"/>
  <c r="G375" i="12"/>
  <c r="N374" i="12"/>
  <c r="M374" i="12"/>
  <c r="I374" i="12"/>
  <c r="O374" i="12" s="1"/>
  <c r="N373" i="12"/>
  <c r="G373" i="12"/>
  <c r="N372" i="12"/>
  <c r="M372" i="12"/>
  <c r="I372" i="12"/>
  <c r="I371" i="12" s="1"/>
  <c r="L371" i="12"/>
  <c r="L370" i="12" s="1"/>
  <c r="J371" i="12"/>
  <c r="H371" i="12"/>
  <c r="G371" i="12"/>
  <c r="G370" i="12" s="1"/>
  <c r="K370" i="12"/>
  <c r="J370" i="12"/>
  <c r="H370" i="12"/>
  <c r="N369" i="12"/>
  <c r="M369" i="12"/>
  <c r="I369" i="12"/>
  <c r="O369" i="12" s="1"/>
  <c r="N368" i="12"/>
  <c r="N367" i="12" s="1"/>
  <c r="L368" i="12"/>
  <c r="J368" i="12"/>
  <c r="J367" i="12" s="1"/>
  <c r="I368" i="12"/>
  <c r="I367" i="12" s="1"/>
  <c r="G368" i="12"/>
  <c r="L367" i="12"/>
  <c r="L366" i="12" s="1"/>
  <c r="L365" i="12" s="1"/>
  <c r="K367" i="12"/>
  <c r="H367" i="12"/>
  <c r="G367" i="12"/>
  <c r="K366" i="12"/>
  <c r="K365" i="12" s="1"/>
  <c r="K364" i="12" s="1"/>
  <c r="J366" i="12"/>
  <c r="G366" i="12"/>
  <c r="G365" i="12" s="1"/>
  <c r="G364" i="12" s="1"/>
  <c r="J365" i="12"/>
  <c r="J364" i="12" s="1"/>
  <c r="L364" i="12"/>
  <c r="N362" i="12"/>
  <c r="M362" i="12"/>
  <c r="I362" i="12"/>
  <c r="O362" i="12" s="1"/>
  <c r="O361" i="12"/>
  <c r="M361" i="12"/>
  <c r="I361" i="12"/>
  <c r="H361" i="12"/>
  <c r="O360" i="12"/>
  <c r="I360" i="12"/>
  <c r="H360" i="12"/>
  <c r="N360" i="12" s="1"/>
  <c r="I359" i="12"/>
  <c r="O359" i="12" s="1"/>
  <c r="O358" i="12"/>
  <c r="N358" i="12"/>
  <c r="M358" i="12"/>
  <c r="I358" i="12"/>
  <c r="N357" i="12"/>
  <c r="M357" i="12"/>
  <c r="I357" i="12"/>
  <c r="O357" i="12" s="1"/>
  <c r="N356" i="12"/>
  <c r="M356" i="12"/>
  <c r="I356" i="12"/>
  <c r="N355" i="12"/>
  <c r="N354" i="12" s="1"/>
  <c r="M355" i="12"/>
  <c r="I355" i="12"/>
  <c r="O355" i="12" s="1"/>
  <c r="L354" i="12"/>
  <c r="L353" i="12" s="1"/>
  <c r="L352" i="12" s="1"/>
  <c r="J354" i="12"/>
  <c r="J353" i="12" s="1"/>
  <c r="J352" i="12" s="1"/>
  <c r="H354" i="12"/>
  <c r="G354" i="12"/>
  <c r="G353" i="12" s="1"/>
  <c r="G352" i="12" s="1"/>
  <c r="N353" i="12"/>
  <c r="N352" i="12" s="1"/>
  <c r="K353" i="12"/>
  <c r="H353" i="12"/>
  <c r="K352" i="12"/>
  <c r="H352" i="12"/>
  <c r="O351" i="12"/>
  <c r="N351" i="12"/>
  <c r="M351" i="12"/>
  <c r="L351" i="12"/>
  <c r="L350" i="12" s="1"/>
  <c r="O350" i="12" s="1"/>
  <c r="N350" i="12"/>
  <c r="M350" i="12"/>
  <c r="K350" i="12"/>
  <c r="O348" i="12"/>
  <c r="N348" i="12"/>
  <c r="M348" i="12"/>
  <c r="L348" i="12"/>
  <c r="J348" i="12"/>
  <c r="J347" i="12" s="1"/>
  <c r="M347" i="12" s="1"/>
  <c r="M346" i="12" s="1"/>
  <c r="I348" i="12"/>
  <c r="I347" i="12" s="1"/>
  <c r="I346" i="12" s="1"/>
  <c r="G348" i="12"/>
  <c r="O347" i="12"/>
  <c r="L347" i="12"/>
  <c r="L346" i="12" s="1"/>
  <c r="L345" i="12" s="1"/>
  <c r="K347" i="12"/>
  <c r="N347" i="12" s="1"/>
  <c r="H347" i="12"/>
  <c r="H346" i="12" s="1"/>
  <c r="G347" i="12"/>
  <c r="G346" i="12" s="1"/>
  <c r="G345" i="12" s="1"/>
  <c r="N346" i="12"/>
  <c r="O346" i="12" s="1"/>
  <c r="K346" i="12"/>
  <c r="K345" i="12" s="1"/>
  <c r="N345" i="12" s="1"/>
  <c r="J346" i="12"/>
  <c r="J345" i="12" s="1"/>
  <c r="M345" i="12"/>
  <c r="I345" i="12"/>
  <c r="N344" i="12"/>
  <c r="M344" i="12"/>
  <c r="I344" i="12"/>
  <c r="O344" i="12" s="1"/>
  <c r="M343" i="12"/>
  <c r="J343" i="12"/>
  <c r="H343" i="12"/>
  <c r="G343" i="12"/>
  <c r="N342" i="12"/>
  <c r="N341" i="12" s="1"/>
  <c r="M342" i="12"/>
  <c r="L342" i="12"/>
  <c r="I342" i="12"/>
  <c r="O342" i="12" s="1"/>
  <c r="M341" i="12"/>
  <c r="L341" i="12"/>
  <c r="J341" i="12"/>
  <c r="I341" i="12"/>
  <c r="H341" i="12"/>
  <c r="G341" i="12"/>
  <c r="L340" i="12"/>
  <c r="L339" i="12" s="1"/>
  <c r="K340" i="12"/>
  <c r="J340" i="12"/>
  <c r="H340" i="12"/>
  <c r="H339" i="12" s="1"/>
  <c r="H338" i="12" s="1"/>
  <c r="G340" i="12"/>
  <c r="K339" i="12"/>
  <c r="K338" i="12" s="1"/>
  <c r="J339" i="12"/>
  <c r="J338" i="12" s="1"/>
  <c r="G339" i="12"/>
  <c r="L338" i="12"/>
  <c r="G338" i="12"/>
  <c r="O337" i="12"/>
  <c r="N337" i="12"/>
  <c r="M337" i="12"/>
  <c r="I337" i="12"/>
  <c r="N336" i="12"/>
  <c r="M336" i="12"/>
  <c r="I336" i="12"/>
  <c r="O336" i="12" s="1"/>
  <c r="G336" i="12"/>
  <c r="O334" i="12"/>
  <c r="N334" i="12"/>
  <c r="M334" i="12"/>
  <c r="G334" i="12"/>
  <c r="O333" i="12"/>
  <c r="N333" i="12"/>
  <c r="G333" i="12"/>
  <c r="M333" i="12" s="1"/>
  <c r="N332" i="12"/>
  <c r="M332" i="12"/>
  <c r="L332" i="12"/>
  <c r="I332" i="12"/>
  <c r="O332" i="12" s="1"/>
  <c r="M331" i="12"/>
  <c r="L331" i="12"/>
  <c r="K331" i="12"/>
  <c r="J331" i="12"/>
  <c r="I331" i="12"/>
  <c r="O331" i="12" s="1"/>
  <c r="H331" i="12"/>
  <c r="N331" i="12" s="1"/>
  <c r="G331" i="12"/>
  <c r="O330" i="12"/>
  <c r="N330" i="12"/>
  <c r="L330" i="12"/>
  <c r="I330" i="12"/>
  <c r="N329" i="12"/>
  <c r="L329" i="12"/>
  <c r="I329" i="12"/>
  <c r="O329" i="12" s="1"/>
  <c r="O328" i="12"/>
  <c r="N328" i="12"/>
  <c r="O327" i="12"/>
  <c r="L327" i="12"/>
  <c r="K327" i="12"/>
  <c r="N327" i="12" s="1"/>
  <c r="N326" i="12"/>
  <c r="L326" i="12"/>
  <c r="O326" i="12" s="1"/>
  <c r="O325" i="12"/>
  <c r="N325" i="12"/>
  <c r="L325" i="12"/>
  <c r="O324" i="12"/>
  <c r="N324" i="12"/>
  <c r="L324" i="12"/>
  <c r="N323" i="12"/>
  <c r="L323" i="12"/>
  <c r="O323" i="12" s="1"/>
  <c r="M322" i="12"/>
  <c r="L322" i="12"/>
  <c r="H322" i="12"/>
  <c r="M321" i="12"/>
  <c r="L321" i="12"/>
  <c r="K321" i="12"/>
  <c r="J321" i="12"/>
  <c r="G321" i="12"/>
  <c r="N320" i="12"/>
  <c r="M320" i="12"/>
  <c r="I320" i="12"/>
  <c r="O320" i="12" s="1"/>
  <c r="N319" i="12"/>
  <c r="L319" i="12"/>
  <c r="J319" i="12"/>
  <c r="H319" i="12"/>
  <c r="G319" i="12"/>
  <c r="N318" i="12"/>
  <c r="M318" i="12"/>
  <c r="L318" i="12"/>
  <c r="L317" i="12" s="1"/>
  <c r="I318" i="12"/>
  <c r="O318" i="12" s="1"/>
  <c r="O317" i="12" s="1"/>
  <c r="N317" i="12"/>
  <c r="M317" i="12"/>
  <c r="K317" i="12"/>
  <c r="J317" i="12"/>
  <c r="I317" i="12"/>
  <c r="H317" i="12"/>
  <c r="N316" i="12"/>
  <c r="M316" i="12"/>
  <c r="I316" i="12"/>
  <c r="O316" i="12" s="1"/>
  <c r="O315" i="12"/>
  <c r="N315" i="12"/>
  <c r="M315" i="12"/>
  <c r="I315" i="12"/>
  <c r="N314" i="12"/>
  <c r="M314" i="12"/>
  <c r="I314" i="12"/>
  <c r="I313" i="12" s="1"/>
  <c r="N313" i="12"/>
  <c r="M313" i="12"/>
  <c r="L313" i="12"/>
  <c r="J313" i="12"/>
  <c r="H313" i="12"/>
  <c r="G313" i="12"/>
  <c r="N312" i="12"/>
  <c r="M312" i="12"/>
  <c r="I312" i="12"/>
  <c r="N311" i="12"/>
  <c r="M311" i="12"/>
  <c r="L311" i="12"/>
  <c r="J311" i="12"/>
  <c r="G311" i="12"/>
  <c r="G306" i="12" s="1"/>
  <c r="G305" i="12" s="1"/>
  <c r="G304" i="12" s="1"/>
  <c r="N310" i="12"/>
  <c r="M310" i="12"/>
  <c r="L310" i="12"/>
  <c r="L309" i="12" s="1"/>
  <c r="I310" i="12"/>
  <c r="I309" i="12" s="1"/>
  <c r="M309" i="12"/>
  <c r="K309" i="12"/>
  <c r="J309" i="12"/>
  <c r="H309" i="12"/>
  <c r="G309" i="12"/>
  <c r="N308" i="12"/>
  <c r="M308" i="12"/>
  <c r="I308" i="12"/>
  <c r="O308" i="12" s="1"/>
  <c r="N307" i="12"/>
  <c r="L307" i="12"/>
  <c r="J307" i="12"/>
  <c r="J306" i="12" s="1"/>
  <c r="J305" i="12" s="1"/>
  <c r="H307" i="12"/>
  <c r="G307" i="12"/>
  <c r="L306" i="12"/>
  <c r="L305" i="12" s="1"/>
  <c r="L304" i="12" s="1"/>
  <c r="L303" i="12" s="1"/>
  <c r="K306" i="12"/>
  <c r="K305" i="12"/>
  <c r="K304" i="12"/>
  <c r="K303" i="12" s="1"/>
  <c r="J304" i="12"/>
  <c r="O302" i="12"/>
  <c r="N302" i="12"/>
  <c r="I302" i="12"/>
  <c r="N301" i="12"/>
  <c r="N300" i="12" s="1"/>
  <c r="M301" i="12"/>
  <c r="I301" i="12"/>
  <c r="O301" i="12" s="1"/>
  <c r="H301" i="12"/>
  <c r="M300" i="12"/>
  <c r="M299" i="12" s="1"/>
  <c r="I300" i="12"/>
  <c r="H300" i="12"/>
  <c r="G300" i="12"/>
  <c r="I298" i="12"/>
  <c r="H299" i="12"/>
  <c r="N299" i="12" s="1"/>
  <c r="G299" i="12"/>
  <c r="M298" i="12"/>
  <c r="H298" i="12"/>
  <c r="N298" i="12" s="1"/>
  <c r="G298" i="12"/>
  <c r="M297" i="12"/>
  <c r="I297" i="12"/>
  <c r="O297" i="12" s="1"/>
  <c r="H297" i="12"/>
  <c r="N297" i="12" s="1"/>
  <c r="H296" i="12"/>
  <c r="N295" i="12"/>
  <c r="N294" i="12" s="1"/>
  <c r="N293" i="12" s="1"/>
  <c r="H295" i="12"/>
  <c r="G295" i="12"/>
  <c r="L294" i="12"/>
  <c r="K294" i="12"/>
  <c r="J294" i="12"/>
  <c r="J293" i="12" s="1"/>
  <c r="H294" i="12"/>
  <c r="L293" i="12"/>
  <c r="K293" i="12"/>
  <c r="H293" i="12"/>
  <c r="N292" i="12"/>
  <c r="M292" i="12"/>
  <c r="L292" i="12"/>
  <c r="N291" i="12"/>
  <c r="M291" i="12"/>
  <c r="J291" i="12"/>
  <c r="I291" i="12"/>
  <c r="H291" i="12"/>
  <c r="G291" i="12"/>
  <c r="O290" i="12"/>
  <c r="N290" i="12"/>
  <c r="M290" i="12"/>
  <c r="I290" i="12"/>
  <c r="I288" i="12" s="1"/>
  <c r="I287" i="12" s="1"/>
  <c r="I286" i="12" s="1"/>
  <c r="N289" i="12"/>
  <c r="N288" i="12" s="1"/>
  <c r="M289" i="12"/>
  <c r="K289" i="12"/>
  <c r="I289" i="12"/>
  <c r="O289" i="12" s="1"/>
  <c r="O288" i="12" s="1"/>
  <c r="M288" i="12"/>
  <c r="L288" i="12"/>
  <c r="J288" i="12"/>
  <c r="H288" i="12"/>
  <c r="H287" i="12" s="1"/>
  <c r="H286" i="12" s="1"/>
  <c r="G288" i="12"/>
  <c r="G287" i="12" s="1"/>
  <c r="G286" i="12" s="1"/>
  <c r="N287" i="12"/>
  <c r="K287" i="12"/>
  <c r="K286" i="12" s="1"/>
  <c r="K285" i="12" s="1"/>
  <c r="J287" i="12"/>
  <c r="J286" i="12" s="1"/>
  <c r="J285" i="12" s="1"/>
  <c r="N286" i="12"/>
  <c r="N285" i="12" s="1"/>
  <c r="H285" i="12"/>
  <c r="N284" i="12"/>
  <c r="M284" i="12"/>
  <c r="I284" i="12"/>
  <c r="I283" i="12" s="1"/>
  <c r="N283" i="12"/>
  <c r="M283" i="12"/>
  <c r="H283" i="12"/>
  <c r="G283" i="12"/>
  <c r="N282" i="12"/>
  <c r="N281" i="12" s="1"/>
  <c r="N280" i="12" s="1"/>
  <c r="H282" i="12"/>
  <c r="G282" i="12"/>
  <c r="L281" i="12"/>
  <c r="K281" i="12"/>
  <c r="K280" i="12" s="1"/>
  <c r="J281" i="12"/>
  <c r="H281" i="12"/>
  <c r="H280" i="12" s="1"/>
  <c r="L280" i="12"/>
  <c r="J280" i="12"/>
  <c r="O279" i="12"/>
  <c r="N279" i="12"/>
  <c r="L279" i="12"/>
  <c r="J279" i="12"/>
  <c r="I279" i="12"/>
  <c r="N278" i="12"/>
  <c r="L278" i="12"/>
  <c r="I278" i="12"/>
  <c r="G278" i="12"/>
  <c r="N277" i="12"/>
  <c r="M277" i="12"/>
  <c r="L277" i="12"/>
  <c r="L276" i="12" s="1"/>
  <c r="L270" i="12" s="1"/>
  <c r="L269" i="12" s="1"/>
  <c r="L268" i="12" s="1"/>
  <c r="J277" i="12"/>
  <c r="I277" i="12"/>
  <c r="N276" i="12"/>
  <c r="J276" i="12"/>
  <c r="I276" i="12"/>
  <c r="H276" i="12"/>
  <c r="G276" i="12"/>
  <c r="O275" i="12"/>
  <c r="N275" i="12"/>
  <c r="N274" i="12" s="1"/>
  <c r="M275" i="12"/>
  <c r="L275" i="12"/>
  <c r="M274" i="12"/>
  <c r="L274" i="12"/>
  <c r="J274" i="12"/>
  <c r="I274" i="12"/>
  <c r="G274" i="12"/>
  <c r="N273" i="12"/>
  <c r="M273" i="12"/>
  <c r="M271" i="12" s="1"/>
  <c r="I273" i="12"/>
  <c r="O272" i="12"/>
  <c r="N272" i="12"/>
  <c r="M272" i="12"/>
  <c r="L272" i="12"/>
  <c r="L271" i="12" s="1"/>
  <c r="K271" i="12"/>
  <c r="J271" i="12"/>
  <c r="I271" i="12"/>
  <c r="H271" i="12"/>
  <c r="G271" i="12"/>
  <c r="K270" i="12"/>
  <c r="I270" i="12"/>
  <c r="I269" i="12" s="1"/>
  <c r="H270" i="12"/>
  <c r="K269" i="12"/>
  <c r="H269" i="12"/>
  <c r="H268" i="12" s="1"/>
  <c r="K268" i="12"/>
  <c r="M266" i="12"/>
  <c r="M265" i="12" s="1"/>
  <c r="M262" i="12" s="1"/>
  <c r="I266" i="12"/>
  <c r="I265" i="12" s="1"/>
  <c r="H266" i="12"/>
  <c r="N266" i="12" s="1"/>
  <c r="L265" i="12"/>
  <c r="J265" i="12"/>
  <c r="H265" i="12"/>
  <c r="G265" i="12"/>
  <c r="G262" i="12" s="1"/>
  <c r="O263" i="12"/>
  <c r="N263" i="12"/>
  <c r="M263" i="12"/>
  <c r="L263" i="12"/>
  <c r="J263" i="12"/>
  <c r="I263" i="12"/>
  <c r="G263" i="12"/>
  <c r="L262" i="12"/>
  <c r="L261" i="12" s="1"/>
  <c r="L260" i="12" s="1"/>
  <c r="L253" i="12" s="1"/>
  <c r="K262" i="12"/>
  <c r="I262" i="12"/>
  <c r="I261" i="12" s="1"/>
  <c r="I260" i="12" s="1"/>
  <c r="H262" i="12"/>
  <c r="K261" i="12"/>
  <c r="H261" i="12"/>
  <c r="H260" i="12" s="1"/>
  <c r="G261" i="12"/>
  <c r="G260" i="12" s="1"/>
  <c r="G253" i="12" s="1"/>
  <c r="K260" i="12"/>
  <c r="K253" i="12" s="1"/>
  <c r="N258" i="12"/>
  <c r="M258" i="12"/>
  <c r="I258" i="12"/>
  <c r="O258" i="12" s="1"/>
  <c r="N257" i="12"/>
  <c r="M257" i="12"/>
  <c r="I257" i="12"/>
  <c r="O257" i="12" s="1"/>
  <c r="I256" i="12"/>
  <c r="O256" i="12" s="1"/>
  <c r="H256" i="12"/>
  <c r="G256" i="12"/>
  <c r="M256" i="12" s="1"/>
  <c r="G255" i="12"/>
  <c r="M255" i="12" s="1"/>
  <c r="M254" i="12" s="1"/>
  <c r="G254" i="12"/>
  <c r="N251" i="12"/>
  <c r="N250" i="12" s="1"/>
  <c r="N249" i="12" s="1"/>
  <c r="N248" i="12" s="1"/>
  <c r="M251" i="12"/>
  <c r="I251" i="12"/>
  <c r="O251" i="12" s="1"/>
  <c r="O250" i="12"/>
  <c r="L250" i="12"/>
  <c r="J250" i="12"/>
  <c r="J249" i="12" s="1"/>
  <c r="J248" i="12" s="1"/>
  <c r="I250" i="12"/>
  <c r="G250" i="12"/>
  <c r="L249" i="12"/>
  <c r="L248" i="12" s="1"/>
  <c r="K249" i="12"/>
  <c r="I249" i="12"/>
  <c r="I248" i="12" s="1"/>
  <c r="H249" i="12"/>
  <c r="H248" i="12" s="1"/>
  <c r="G249" i="12"/>
  <c r="K248" i="12"/>
  <c r="G248" i="12"/>
  <c r="O247" i="12"/>
  <c r="N247" i="12"/>
  <c r="I247" i="12"/>
  <c r="O246" i="12"/>
  <c r="N246" i="12"/>
  <c r="I246" i="12"/>
  <c r="O244" i="12"/>
  <c r="N244" i="12"/>
  <c r="N243" i="12" s="1"/>
  <c r="M244" i="12"/>
  <c r="I244" i="12"/>
  <c r="M243" i="12"/>
  <c r="L243" i="12"/>
  <c r="L242" i="12" s="1"/>
  <c r="L241" i="12" s="1"/>
  <c r="J243" i="12"/>
  <c r="I243" i="12"/>
  <c r="G243" i="12"/>
  <c r="G242" i="12" s="1"/>
  <c r="G241" i="12" s="1"/>
  <c r="N242" i="12"/>
  <c r="N241" i="12" s="1"/>
  <c r="M242" i="12"/>
  <c r="K242" i="12"/>
  <c r="J242" i="12"/>
  <c r="J241" i="12" s="1"/>
  <c r="I242" i="12"/>
  <c r="I241" i="12" s="1"/>
  <c r="H242" i="12"/>
  <c r="M241" i="12"/>
  <c r="K241" i="12"/>
  <c r="H241" i="12"/>
  <c r="O238" i="12"/>
  <c r="N238" i="12"/>
  <c r="N237" i="12" s="1"/>
  <c r="N236" i="12" s="1"/>
  <c r="N235" i="12" s="1"/>
  <c r="M238" i="12"/>
  <c r="L238" i="12"/>
  <c r="J238" i="12"/>
  <c r="J237" i="12" s="1"/>
  <c r="I238" i="12"/>
  <c r="I237" i="12" s="1"/>
  <c r="I236" i="12" s="1"/>
  <c r="I235" i="12" s="1"/>
  <c r="G238" i="12"/>
  <c r="O237" i="12"/>
  <c r="L237" i="12"/>
  <c r="L236" i="12" s="1"/>
  <c r="K237" i="12"/>
  <c r="H237" i="12"/>
  <c r="H236" i="12" s="1"/>
  <c r="H235" i="12" s="1"/>
  <c r="G237" i="12"/>
  <c r="G236" i="12" s="1"/>
  <c r="G235" i="12" s="1"/>
  <c r="K236" i="12"/>
  <c r="K235" i="12" s="1"/>
  <c r="J236" i="12"/>
  <c r="J235" i="12" s="1"/>
  <c r="N234" i="12"/>
  <c r="M234" i="12"/>
  <c r="I234" i="12"/>
  <c r="O234" i="12" s="1"/>
  <c r="M233" i="12"/>
  <c r="H233" i="12"/>
  <c r="G233" i="12"/>
  <c r="O232" i="12"/>
  <c r="N232" i="12"/>
  <c r="M232" i="12"/>
  <c r="I231" i="12"/>
  <c r="O231" i="12" s="1"/>
  <c r="H231" i="12"/>
  <c r="N231" i="12" s="1"/>
  <c r="G231" i="12"/>
  <c r="M231" i="12" s="1"/>
  <c r="L229" i="12"/>
  <c r="K229" i="12"/>
  <c r="J229" i="12"/>
  <c r="N228" i="12"/>
  <c r="N227" i="12" s="1"/>
  <c r="M228" i="12"/>
  <c r="I228" i="12"/>
  <c r="L227" i="12"/>
  <c r="L226" i="12" s="1"/>
  <c r="J227" i="12"/>
  <c r="I227" i="12"/>
  <c r="H227" i="12"/>
  <c r="G227" i="12"/>
  <c r="G226" i="12" s="1"/>
  <c r="N226" i="12"/>
  <c r="K226" i="12"/>
  <c r="J226" i="12"/>
  <c r="I226" i="12"/>
  <c r="H226" i="12"/>
  <c r="N225" i="12"/>
  <c r="M225" i="12"/>
  <c r="I225" i="12"/>
  <c r="O225" i="12" s="1"/>
  <c r="N224" i="12"/>
  <c r="G224" i="12"/>
  <c r="N223" i="12"/>
  <c r="M223" i="12"/>
  <c r="I223" i="12"/>
  <c r="O223" i="12" s="1"/>
  <c r="G223" i="12"/>
  <c r="N222" i="12"/>
  <c r="M222" i="12"/>
  <c r="O222" i="12" s="1"/>
  <c r="I222" i="12"/>
  <c r="I220" i="12" s="1"/>
  <c r="I219" i="12" s="1"/>
  <c r="I218" i="12" s="1"/>
  <c r="O221" i="12"/>
  <c r="N221" i="12"/>
  <c r="N220" i="12" s="1"/>
  <c r="M221" i="12"/>
  <c r="I221" i="12"/>
  <c r="M220" i="12"/>
  <c r="M219" i="12" s="1"/>
  <c r="L220" i="12"/>
  <c r="L219" i="12" s="1"/>
  <c r="L218" i="12" s="1"/>
  <c r="J220" i="12"/>
  <c r="H220" i="12"/>
  <c r="H219" i="12" s="1"/>
  <c r="H218" i="12" s="1"/>
  <c r="G220" i="12"/>
  <c r="N219" i="12"/>
  <c r="K219" i="12"/>
  <c r="K218" i="12" s="1"/>
  <c r="J219" i="12"/>
  <c r="G219" i="12"/>
  <c r="G218" i="12" s="1"/>
  <c r="N218" i="12"/>
  <c r="J218" i="12"/>
  <c r="N217" i="12"/>
  <c r="M217" i="12"/>
  <c r="M216" i="12" s="1"/>
  <c r="L217" i="12"/>
  <c r="I217" i="12"/>
  <c r="O217" i="12" s="1"/>
  <c r="O216" i="12" s="1"/>
  <c r="N216" i="12"/>
  <c r="L216" i="12"/>
  <c r="K216" i="12"/>
  <c r="K209" i="12" s="1"/>
  <c r="K208" i="12" s="1"/>
  <c r="K207" i="12" s="1"/>
  <c r="K206" i="12" s="1"/>
  <c r="J216" i="12"/>
  <c r="H216" i="12"/>
  <c r="G216" i="12"/>
  <c r="G209" i="12" s="1"/>
  <c r="G208" i="12" s="1"/>
  <c r="N215" i="12"/>
  <c r="M215" i="12"/>
  <c r="L215" i="12"/>
  <c r="I215" i="12"/>
  <c r="O215" i="12" s="1"/>
  <c r="N214" i="12"/>
  <c r="M214" i="12"/>
  <c r="L214" i="12"/>
  <c r="O214" i="12" s="1"/>
  <c r="I214" i="12"/>
  <c r="N213" i="12"/>
  <c r="M213" i="12"/>
  <c r="L213" i="12"/>
  <c r="O213" i="12" s="1"/>
  <c r="N212" i="12"/>
  <c r="J212" i="12"/>
  <c r="I212" i="12"/>
  <c r="O211" i="12"/>
  <c r="N211" i="12"/>
  <c r="N210" i="12" s="1"/>
  <c r="M211" i="12"/>
  <c r="I211" i="12"/>
  <c r="M210" i="12"/>
  <c r="O210" i="12" s="1"/>
  <c r="I210" i="12"/>
  <c r="H210" i="12"/>
  <c r="H209" i="12"/>
  <c r="O205" i="12"/>
  <c r="N205" i="12"/>
  <c r="M205" i="12"/>
  <c r="I205" i="12"/>
  <c r="N204" i="12"/>
  <c r="N203" i="12" s="1"/>
  <c r="N202" i="12" s="1"/>
  <c r="N201" i="12" s="1"/>
  <c r="N200" i="12" s="1"/>
  <c r="M204" i="12"/>
  <c r="L204" i="12"/>
  <c r="L203" i="12" s="1"/>
  <c r="L202" i="12" s="1"/>
  <c r="J204" i="12"/>
  <c r="I204" i="12"/>
  <c r="I203" i="12" s="1"/>
  <c r="G204" i="12"/>
  <c r="K203" i="12"/>
  <c r="K202" i="12" s="1"/>
  <c r="K201" i="12" s="1"/>
  <c r="K200" i="12" s="1"/>
  <c r="J203" i="12"/>
  <c r="H203" i="12"/>
  <c r="G203" i="12"/>
  <c r="G202" i="12" s="1"/>
  <c r="G201" i="12" s="1"/>
  <c r="G200" i="12" s="1"/>
  <c r="J202" i="12"/>
  <c r="J201" i="12" s="1"/>
  <c r="J200" i="12" s="1"/>
  <c r="I202" i="12"/>
  <c r="I201" i="12" s="1"/>
  <c r="I200" i="12" s="1"/>
  <c r="H202" i="12"/>
  <c r="L201" i="12"/>
  <c r="L200" i="12" s="1"/>
  <c r="H201" i="12"/>
  <c r="H200" i="12"/>
  <c r="O199" i="12"/>
  <c r="N199" i="12"/>
  <c r="M199" i="12"/>
  <c r="I199" i="12"/>
  <c r="M198" i="12"/>
  <c r="I198" i="12"/>
  <c r="O198" i="12" s="1"/>
  <c r="H198" i="12"/>
  <c r="N198" i="12" s="1"/>
  <c r="G198" i="12"/>
  <c r="M197" i="12"/>
  <c r="I197" i="12"/>
  <c r="O197" i="12" s="1"/>
  <c r="H197" i="12"/>
  <c r="N197" i="12" s="1"/>
  <c r="G197" i="12"/>
  <c r="N195" i="12"/>
  <c r="M195" i="12"/>
  <c r="I195" i="12"/>
  <c r="N194" i="12"/>
  <c r="L194" i="12"/>
  <c r="J194" i="12"/>
  <c r="J193" i="12" s="1"/>
  <c r="J192" i="12" s="1"/>
  <c r="I194" i="12"/>
  <c r="I193" i="12" s="1"/>
  <c r="I192" i="12" s="1"/>
  <c r="I191" i="12" s="1"/>
  <c r="H194" i="12"/>
  <c r="G194" i="12"/>
  <c r="L193" i="12"/>
  <c r="K193" i="12"/>
  <c r="H193" i="12"/>
  <c r="G193" i="12"/>
  <c r="G192" i="12" s="1"/>
  <c r="G191" i="12" s="1"/>
  <c r="L192" i="12"/>
  <c r="L191" i="12" s="1"/>
  <c r="K192" i="12"/>
  <c r="K191" i="12" s="1"/>
  <c r="J191" i="12"/>
  <c r="N190" i="12"/>
  <c r="N189" i="12" s="1"/>
  <c r="M190" i="12"/>
  <c r="I190" i="12"/>
  <c r="O190" i="12" s="1"/>
  <c r="L189" i="12"/>
  <c r="L188" i="12" s="1"/>
  <c r="J189" i="12"/>
  <c r="I189" i="12"/>
  <c r="H189" i="12"/>
  <c r="G189" i="12"/>
  <c r="G188" i="12" s="1"/>
  <c r="N188" i="12"/>
  <c r="K188" i="12"/>
  <c r="J188" i="12"/>
  <c r="I188" i="12"/>
  <c r="H188" i="12"/>
  <c r="K187" i="12"/>
  <c r="O186" i="12"/>
  <c r="N186" i="12"/>
  <c r="M186" i="12"/>
  <c r="L186" i="12"/>
  <c r="J186" i="12"/>
  <c r="I186" i="12"/>
  <c r="G186" i="12"/>
  <c r="N185" i="12"/>
  <c r="M185" i="12"/>
  <c r="M184" i="12" s="1"/>
  <c r="L185" i="12"/>
  <c r="I185" i="12"/>
  <c r="O185" i="12" s="1"/>
  <c r="O184" i="12" s="1"/>
  <c r="N184" i="12"/>
  <c r="L184" i="12"/>
  <c r="K184" i="12"/>
  <c r="K180" i="12" s="1"/>
  <c r="K179" i="12" s="1"/>
  <c r="K178" i="12" s="1"/>
  <c r="K177" i="12" s="1"/>
  <c r="J184" i="12"/>
  <c r="H184" i="12"/>
  <c r="G184" i="12"/>
  <c r="G180" i="12" s="1"/>
  <c r="O183" i="12"/>
  <c r="N183" i="12"/>
  <c r="M183" i="12"/>
  <c r="L183" i="12"/>
  <c r="I183" i="12"/>
  <c r="I181" i="12" s="1"/>
  <c r="N182" i="12"/>
  <c r="M182" i="12"/>
  <c r="L182" i="12"/>
  <c r="K182" i="12"/>
  <c r="I182" i="12"/>
  <c r="O182" i="12" s="1"/>
  <c r="N181" i="12"/>
  <c r="N180" i="12" s="1"/>
  <c r="N179" i="12" s="1"/>
  <c r="N178" i="12" s="1"/>
  <c r="L181" i="12"/>
  <c r="K181" i="12"/>
  <c r="J181" i="12"/>
  <c r="J180" i="12" s="1"/>
  <c r="H181" i="12"/>
  <c r="H180" i="12" s="1"/>
  <c r="H179" i="12" s="1"/>
  <c r="H178" i="12" s="1"/>
  <c r="G181" i="12"/>
  <c r="L180" i="12"/>
  <c r="L179" i="12"/>
  <c r="L178" i="12" s="1"/>
  <c r="G179" i="12"/>
  <c r="G178" i="12"/>
  <c r="N176" i="12"/>
  <c r="M176" i="12"/>
  <c r="M175" i="12" s="1"/>
  <c r="I176" i="12"/>
  <c r="O176" i="12" s="1"/>
  <c r="N175" i="12"/>
  <c r="H175" i="12"/>
  <c r="G175" i="12"/>
  <c r="N174" i="12"/>
  <c r="M174" i="12"/>
  <c r="L174" i="12"/>
  <c r="I174" i="12"/>
  <c r="I173" i="12" s="1"/>
  <c r="M173" i="12"/>
  <c r="L173" i="12"/>
  <c r="K173" i="12"/>
  <c r="J173" i="12"/>
  <c r="J172" i="12" s="1"/>
  <c r="G173" i="12"/>
  <c r="L172" i="12"/>
  <c r="L171" i="12" s="1"/>
  <c r="L170" i="12" s="1"/>
  <c r="K172" i="12"/>
  <c r="H172" i="12"/>
  <c r="H171" i="12" s="1"/>
  <c r="H170" i="12" s="1"/>
  <c r="H169" i="12" s="1"/>
  <c r="G172" i="12"/>
  <c r="M172" i="12" s="1"/>
  <c r="M171" i="12" s="1"/>
  <c r="K171" i="12"/>
  <c r="K170" i="12" s="1"/>
  <c r="K169" i="12" s="1"/>
  <c r="K168" i="12" s="1"/>
  <c r="J171" i="12"/>
  <c r="J170" i="12" s="1"/>
  <c r="J169" i="12" s="1"/>
  <c r="M170" i="12"/>
  <c r="M169" i="12" s="1"/>
  <c r="L169" i="12"/>
  <c r="O166" i="12"/>
  <c r="O165" i="12" s="1"/>
  <c r="N166" i="12"/>
  <c r="M166" i="12"/>
  <c r="L166" i="12"/>
  <c r="L165" i="12" s="1"/>
  <c r="L164" i="12" s="1"/>
  <c r="J166" i="12"/>
  <c r="I166" i="12"/>
  <c r="G166" i="12"/>
  <c r="G165" i="12" s="1"/>
  <c r="G164" i="12" s="1"/>
  <c r="N165" i="12"/>
  <c r="N164" i="12" s="1"/>
  <c r="M165" i="12"/>
  <c r="K165" i="12"/>
  <c r="J165" i="12"/>
  <c r="J164" i="12" s="1"/>
  <c r="I165" i="12"/>
  <c r="I164" i="12" s="1"/>
  <c r="H165" i="12"/>
  <c r="M164" i="12"/>
  <c r="K164" i="12"/>
  <c r="H164" i="12"/>
  <c r="O162" i="12"/>
  <c r="N162" i="12"/>
  <c r="N161" i="12" s="1"/>
  <c r="N160" i="12" s="1"/>
  <c r="M162" i="12"/>
  <c r="L162" i="12"/>
  <c r="L161" i="12" s="1"/>
  <c r="L160" i="12" s="1"/>
  <c r="J162" i="12"/>
  <c r="I162" i="12"/>
  <c r="I161" i="12" s="1"/>
  <c r="G162" i="12"/>
  <c r="O161" i="12"/>
  <c r="K161" i="12"/>
  <c r="K160" i="12" s="1"/>
  <c r="J161" i="12"/>
  <c r="H161" i="12"/>
  <c r="G161" i="12"/>
  <c r="G160" i="12" s="1"/>
  <c r="J160" i="12"/>
  <c r="I160" i="12"/>
  <c r="H160" i="12"/>
  <c r="O158" i="12"/>
  <c r="N158" i="12"/>
  <c r="M158" i="12"/>
  <c r="L158" i="12"/>
  <c r="J158" i="12"/>
  <c r="J155" i="12" s="1"/>
  <c r="J154" i="12" s="1"/>
  <c r="J153" i="12" s="1"/>
  <c r="J152" i="12" s="1"/>
  <c r="I158" i="12"/>
  <c r="G158" i="12"/>
  <c r="O157" i="12"/>
  <c r="N157" i="12"/>
  <c r="M157" i="12"/>
  <c r="I157" i="12"/>
  <c r="I156" i="12" s="1"/>
  <c r="I155" i="12" s="1"/>
  <c r="I154" i="12" s="1"/>
  <c r="I153" i="12" s="1"/>
  <c r="I152" i="12" s="1"/>
  <c r="N156" i="12"/>
  <c r="N155" i="12" s="1"/>
  <c r="M156" i="12"/>
  <c r="L156" i="12"/>
  <c r="J156" i="12"/>
  <c r="H156" i="12"/>
  <c r="G156" i="12"/>
  <c r="L155" i="12"/>
  <c r="L154" i="12" s="1"/>
  <c r="K155" i="12"/>
  <c r="H155" i="12"/>
  <c r="H154" i="12" s="1"/>
  <c r="H153" i="12" s="1"/>
  <c r="H152" i="12" s="1"/>
  <c r="G155" i="12"/>
  <c r="G154" i="12" s="1"/>
  <c r="G153" i="12" s="1"/>
  <c r="G152" i="12" s="1"/>
  <c r="N154" i="12"/>
  <c r="K154" i="12"/>
  <c r="K153" i="12" s="1"/>
  <c r="K152" i="12" s="1"/>
  <c r="N153" i="12"/>
  <c r="N152" i="12" s="1"/>
  <c r="O150" i="12"/>
  <c r="N150" i="12"/>
  <c r="M150" i="12"/>
  <c r="L150" i="12"/>
  <c r="L149" i="12" s="1"/>
  <c r="L148" i="12" s="1"/>
  <c r="J150" i="12"/>
  <c r="I150" i="12"/>
  <c r="I149" i="12" s="1"/>
  <c r="G150" i="12"/>
  <c r="O149" i="12"/>
  <c r="N149" i="12"/>
  <c r="N148" i="12" s="1"/>
  <c r="K149" i="12"/>
  <c r="K148" i="12" s="1"/>
  <c r="J149" i="12"/>
  <c r="H149" i="12"/>
  <c r="G149" i="12"/>
  <c r="G148" i="12" s="1"/>
  <c r="J148" i="12"/>
  <c r="J123" i="12" s="1"/>
  <c r="J122" i="12" s="1"/>
  <c r="J115" i="12" s="1"/>
  <c r="I148" i="12"/>
  <c r="H148" i="12"/>
  <c r="N147" i="12"/>
  <c r="M147" i="12"/>
  <c r="I147" i="12"/>
  <c r="N146" i="12"/>
  <c r="N145" i="12" s="1"/>
  <c r="N144" i="12" s="1"/>
  <c r="L146" i="12"/>
  <c r="J146" i="12"/>
  <c r="J145" i="12" s="1"/>
  <c r="J144" i="12" s="1"/>
  <c r="I146" i="12"/>
  <c r="I145" i="12" s="1"/>
  <c r="I144" i="12" s="1"/>
  <c r="H146" i="12"/>
  <c r="G146" i="12"/>
  <c r="L145" i="12"/>
  <c r="K145" i="12"/>
  <c r="H145" i="12"/>
  <c r="G145" i="12"/>
  <c r="L144" i="12"/>
  <c r="K144" i="12"/>
  <c r="H144" i="12"/>
  <c r="G144" i="12"/>
  <c r="O143" i="12"/>
  <c r="N143" i="12"/>
  <c r="M143" i="12"/>
  <c r="I143" i="12"/>
  <c r="N142" i="12"/>
  <c r="M142" i="12"/>
  <c r="I142" i="12"/>
  <c r="O142" i="12" s="1"/>
  <c r="O141" i="12"/>
  <c r="N141" i="12"/>
  <c r="M141" i="12"/>
  <c r="I141" i="12"/>
  <c r="N140" i="12"/>
  <c r="M140" i="12"/>
  <c r="I140" i="12"/>
  <c r="O140" i="12" s="1"/>
  <c r="O139" i="12"/>
  <c r="M139" i="12"/>
  <c r="I139" i="12"/>
  <c r="G139" i="12"/>
  <c r="N138" i="12"/>
  <c r="L138" i="12"/>
  <c r="L137" i="12" s="1"/>
  <c r="J138" i="12"/>
  <c r="I138" i="12"/>
  <c r="G138" i="12"/>
  <c r="G137" i="12" s="1"/>
  <c r="N137" i="12"/>
  <c r="K137" i="12"/>
  <c r="J137" i="12"/>
  <c r="I137" i="12"/>
  <c r="H137" i="12"/>
  <c r="O136" i="12"/>
  <c r="M136" i="12"/>
  <c r="K136" i="12"/>
  <c r="I136" i="12"/>
  <c r="I135" i="12" s="1"/>
  <c r="H136" i="12"/>
  <c r="G136" i="12"/>
  <c r="O135" i="12"/>
  <c r="N135" i="12"/>
  <c r="M135" i="12"/>
  <c r="L135" i="12"/>
  <c r="L134" i="12" s="1"/>
  <c r="J135" i="12"/>
  <c r="G135" i="12"/>
  <c r="G134" i="12" s="1"/>
  <c r="O134" i="12"/>
  <c r="N134" i="12"/>
  <c r="M134" i="12"/>
  <c r="K134" i="12"/>
  <c r="J134" i="12"/>
  <c r="I134" i="12"/>
  <c r="H134" i="12"/>
  <c r="O132" i="12"/>
  <c r="N132" i="12"/>
  <c r="M132" i="12"/>
  <c r="L132" i="12"/>
  <c r="J132" i="12"/>
  <c r="J125" i="12" s="1"/>
  <c r="J124" i="12" s="1"/>
  <c r="I132" i="12"/>
  <c r="G132" i="12"/>
  <c r="O131" i="12"/>
  <c r="N131" i="12"/>
  <c r="M131" i="12"/>
  <c r="I131" i="12"/>
  <c r="I130" i="12" s="1"/>
  <c r="N130" i="12"/>
  <c r="M130" i="12"/>
  <c r="L130" i="12"/>
  <c r="J130" i="12"/>
  <c r="H130" i="12"/>
  <c r="G130" i="12"/>
  <c r="N128" i="12"/>
  <c r="M128" i="12"/>
  <c r="I128" i="12"/>
  <c r="O128" i="12" s="1"/>
  <c r="N127" i="12"/>
  <c r="M127" i="12"/>
  <c r="I127" i="12"/>
  <c r="O127" i="12" s="1"/>
  <c r="N126" i="12"/>
  <c r="N125" i="12" s="1"/>
  <c r="N124" i="12" s="1"/>
  <c r="N123" i="12" s="1"/>
  <c r="M126" i="12"/>
  <c r="L126" i="12"/>
  <c r="J126" i="12"/>
  <c r="I126" i="12"/>
  <c r="H126" i="12"/>
  <c r="H125" i="12" s="1"/>
  <c r="H124" i="12" s="1"/>
  <c r="H123" i="12" s="1"/>
  <c r="H122" i="12" s="1"/>
  <c r="G126" i="12"/>
  <c r="L125" i="12"/>
  <c r="L124" i="12" s="1"/>
  <c r="L123" i="12" s="1"/>
  <c r="L122" i="12" s="1"/>
  <c r="K125" i="12"/>
  <c r="K124" i="12" s="1"/>
  <c r="K123" i="12" s="1"/>
  <c r="K122" i="12" s="1"/>
  <c r="K115" i="12" s="1"/>
  <c r="K114" i="12" s="1"/>
  <c r="G125" i="12"/>
  <c r="G124" i="12"/>
  <c r="N121" i="12"/>
  <c r="M121" i="12"/>
  <c r="I121" i="12"/>
  <c r="O121" i="12" s="1"/>
  <c r="N120" i="12"/>
  <c r="M120" i="12"/>
  <c r="I120" i="12"/>
  <c r="O120" i="12" s="1"/>
  <c r="M119" i="12"/>
  <c r="I119" i="12"/>
  <c r="O119" i="12" s="1"/>
  <c r="H119" i="12"/>
  <c r="N119" i="12" s="1"/>
  <c r="O118" i="12"/>
  <c r="N118" i="12"/>
  <c r="N117" i="12" s="1"/>
  <c r="M118" i="12"/>
  <c r="I118" i="12"/>
  <c r="H118" i="12"/>
  <c r="O117" i="12"/>
  <c r="M117" i="12"/>
  <c r="L117" i="12"/>
  <c r="K117" i="12"/>
  <c r="J117" i="12"/>
  <c r="I117" i="12"/>
  <c r="H117" i="12"/>
  <c r="G117" i="12"/>
  <c r="O116" i="12"/>
  <c r="N116" i="12"/>
  <c r="M116" i="12"/>
  <c r="I116" i="12"/>
  <c r="H116" i="12"/>
  <c r="M114" i="12"/>
  <c r="M113" i="12" s="1"/>
  <c r="M112" i="12" s="1"/>
  <c r="I114" i="12"/>
  <c r="O114" i="12" s="1"/>
  <c r="O113" i="12" s="1"/>
  <c r="O112" i="12" s="1"/>
  <c r="H114" i="12"/>
  <c r="N114" i="12" s="1"/>
  <c r="N113" i="12" s="1"/>
  <c r="L113" i="12"/>
  <c r="L112" i="12" s="1"/>
  <c r="L111" i="12" s="1"/>
  <c r="J113" i="12"/>
  <c r="H113" i="12"/>
  <c r="H112" i="12" s="1"/>
  <c r="H111" i="12" s="1"/>
  <c r="G113" i="12"/>
  <c r="G112" i="12" s="1"/>
  <c r="G111" i="12" s="1"/>
  <c r="N112" i="12"/>
  <c r="K112" i="12"/>
  <c r="K111" i="12" s="1"/>
  <c r="K106" i="12" s="1"/>
  <c r="J112" i="12"/>
  <c r="J111" i="12" s="1"/>
  <c r="N111" i="12"/>
  <c r="O110" i="12"/>
  <c r="N110" i="12"/>
  <c r="M110" i="12"/>
  <c r="I110" i="12"/>
  <c r="O109" i="12"/>
  <c r="O108" i="12" s="1"/>
  <c r="O107" i="12" s="1"/>
  <c r="N109" i="12"/>
  <c r="N108" i="12" s="1"/>
  <c r="N107" i="12" s="1"/>
  <c r="M109" i="12"/>
  <c r="L109" i="12"/>
  <c r="K109" i="12"/>
  <c r="J109" i="12"/>
  <c r="J108" i="12" s="1"/>
  <c r="J107" i="12" s="1"/>
  <c r="I109" i="12"/>
  <c r="H109" i="12"/>
  <c r="G109" i="12"/>
  <c r="G108" i="12" s="1"/>
  <c r="G107" i="12" s="1"/>
  <c r="M108" i="12"/>
  <c r="L108" i="12"/>
  <c r="L107" i="12" s="1"/>
  <c r="K108" i="12"/>
  <c r="K107" i="12" s="1"/>
  <c r="I108" i="12"/>
  <c r="H108" i="12"/>
  <c r="M107" i="12"/>
  <c r="I107" i="12"/>
  <c r="H107" i="12"/>
  <c r="O105" i="12"/>
  <c r="N105" i="12"/>
  <c r="N104" i="12" s="1"/>
  <c r="M105" i="12"/>
  <c r="L105" i="12"/>
  <c r="J105" i="12"/>
  <c r="J104" i="12" s="1"/>
  <c r="I105" i="12"/>
  <c r="I104" i="12" s="1"/>
  <c r="I103" i="12" s="1"/>
  <c r="G105" i="12"/>
  <c r="O104" i="12"/>
  <c r="M104" i="12"/>
  <c r="L104" i="12"/>
  <c r="L103" i="12" s="1"/>
  <c r="L89" i="12" s="1"/>
  <c r="K104" i="12"/>
  <c r="H104" i="12"/>
  <c r="H103" i="12" s="1"/>
  <c r="G104" i="12"/>
  <c r="G103" i="12" s="1"/>
  <c r="O103" i="12"/>
  <c r="M103" i="12"/>
  <c r="K103" i="12"/>
  <c r="J103" i="12"/>
  <c r="N102" i="12"/>
  <c r="M102" i="12"/>
  <c r="I102" i="12"/>
  <c r="O102" i="12" s="1"/>
  <c r="O101" i="12"/>
  <c r="N101" i="12"/>
  <c r="M101" i="12"/>
  <c r="I101" i="12"/>
  <c r="N100" i="12"/>
  <c r="L100" i="12"/>
  <c r="J100" i="12"/>
  <c r="I100" i="12"/>
  <c r="I96" i="12" s="1"/>
  <c r="H100" i="12"/>
  <c r="G100" i="12"/>
  <c r="O99" i="12"/>
  <c r="N99" i="12"/>
  <c r="I99" i="12"/>
  <c r="N98" i="12"/>
  <c r="M98" i="12"/>
  <c r="M97" i="12" s="1"/>
  <c r="I98" i="12"/>
  <c r="O98" i="12" s="1"/>
  <c r="N97" i="12"/>
  <c r="L97" i="12"/>
  <c r="J97" i="12"/>
  <c r="J96" i="12" s="1"/>
  <c r="J90" i="12" s="1"/>
  <c r="I97" i="12"/>
  <c r="H97" i="12"/>
  <c r="G97" i="12"/>
  <c r="L96" i="12"/>
  <c r="K96" i="12"/>
  <c r="H96" i="12"/>
  <c r="H90" i="12" s="1"/>
  <c r="G96" i="12"/>
  <c r="N94" i="12"/>
  <c r="N92" i="12" s="1"/>
  <c r="N91" i="12" s="1"/>
  <c r="M94" i="12"/>
  <c r="I94" i="12"/>
  <c r="O94" i="12" s="1"/>
  <c r="N93" i="12"/>
  <c r="M93" i="12"/>
  <c r="I93" i="12"/>
  <c r="M92" i="12"/>
  <c r="L92" i="12"/>
  <c r="J92" i="12"/>
  <c r="H92" i="12"/>
  <c r="G92" i="12"/>
  <c r="L91" i="12"/>
  <c r="L90" i="12" s="1"/>
  <c r="K91" i="12"/>
  <c r="K90" i="12" s="1"/>
  <c r="K89" i="12" s="1"/>
  <c r="J91" i="12"/>
  <c r="G91" i="12"/>
  <c r="G90" i="12" s="1"/>
  <c r="H89" i="12"/>
  <c r="O88" i="12"/>
  <c r="N88" i="12"/>
  <c r="M88" i="12"/>
  <c r="L88" i="12"/>
  <c r="L87" i="12" s="1"/>
  <c r="N87" i="12"/>
  <c r="K87" i="12"/>
  <c r="J87" i="12"/>
  <c r="M87" i="12" s="1"/>
  <c r="N86" i="12"/>
  <c r="K86" i="12"/>
  <c r="J86" i="12"/>
  <c r="O84" i="12"/>
  <c r="N84" i="12"/>
  <c r="M84" i="12"/>
  <c r="I84" i="12"/>
  <c r="I83" i="12" s="1"/>
  <c r="I82" i="12" s="1"/>
  <c r="I81" i="12" s="1"/>
  <c r="N83" i="12"/>
  <c r="N82" i="12" s="1"/>
  <c r="M83" i="12"/>
  <c r="L83" i="12"/>
  <c r="J83" i="12"/>
  <c r="H83" i="12"/>
  <c r="G83" i="12"/>
  <c r="L82" i="12"/>
  <c r="K82" i="12"/>
  <c r="K81" i="12" s="1"/>
  <c r="K70" i="12" s="1"/>
  <c r="J82" i="12"/>
  <c r="H82" i="12"/>
  <c r="H81" i="12" s="1"/>
  <c r="G82" i="12"/>
  <c r="N81" i="12"/>
  <c r="G81" i="12"/>
  <c r="O79" i="12"/>
  <c r="N79" i="12"/>
  <c r="M79" i="12"/>
  <c r="L79" i="12"/>
  <c r="J79" i="12"/>
  <c r="J78" i="12" s="1"/>
  <c r="J77" i="12" s="1"/>
  <c r="I79" i="12"/>
  <c r="G79" i="12"/>
  <c r="N78" i="12"/>
  <c r="M78" i="12"/>
  <c r="M77" i="12" s="1"/>
  <c r="L78" i="12"/>
  <c r="K78" i="12"/>
  <c r="I78" i="12"/>
  <c r="I77" i="12" s="1"/>
  <c r="H78" i="12"/>
  <c r="G78" i="12"/>
  <c r="N77" i="12"/>
  <c r="L77" i="12"/>
  <c r="K77" i="12"/>
  <c r="H77" i="12"/>
  <c r="G77" i="12"/>
  <c r="O75" i="12"/>
  <c r="N75" i="12"/>
  <c r="M75" i="12"/>
  <c r="M72" i="12" s="1"/>
  <c r="L75" i="12"/>
  <c r="L72" i="12" s="1"/>
  <c r="L71" i="12" s="1"/>
  <c r="J75" i="12"/>
  <c r="I75" i="12"/>
  <c r="G75" i="12"/>
  <c r="G72" i="12" s="1"/>
  <c r="G71" i="12" s="1"/>
  <c r="G70" i="12" s="1"/>
  <c r="N74" i="12"/>
  <c r="I74" i="12"/>
  <c r="N73" i="12"/>
  <c r="N72" i="12" s="1"/>
  <c r="N71" i="12" s="1"/>
  <c r="N70" i="12" s="1"/>
  <c r="M73" i="12"/>
  <c r="L73" i="12"/>
  <c r="J73" i="12"/>
  <c r="J72" i="12" s="1"/>
  <c r="I73" i="12"/>
  <c r="I72" i="12" s="1"/>
  <c r="I71" i="12" s="1"/>
  <c r="H73" i="12"/>
  <c r="G73" i="12"/>
  <c r="K72" i="12"/>
  <c r="H72" i="12"/>
  <c r="M71" i="12"/>
  <c r="K71" i="12"/>
  <c r="J71" i="12"/>
  <c r="H71" i="12"/>
  <c r="H70" i="12"/>
  <c r="O68" i="12"/>
  <c r="N68" i="12"/>
  <c r="M68" i="12"/>
  <c r="L68" i="12"/>
  <c r="L67" i="12" s="1"/>
  <c r="L66" i="12" s="1"/>
  <c r="L65" i="12" s="1"/>
  <c r="J68" i="12"/>
  <c r="I68" i="12"/>
  <c r="I67" i="12" s="1"/>
  <c r="G68" i="12"/>
  <c r="G67" i="12" s="1"/>
  <c r="G66" i="12" s="1"/>
  <c r="G65" i="12" s="1"/>
  <c r="O67" i="12"/>
  <c r="N67" i="12"/>
  <c r="N66" i="12" s="1"/>
  <c r="N65" i="12" s="1"/>
  <c r="K67" i="12"/>
  <c r="K66" i="12" s="1"/>
  <c r="K65" i="12" s="1"/>
  <c r="J67" i="12"/>
  <c r="J66" i="12" s="1"/>
  <c r="J65" i="12" s="1"/>
  <c r="H67" i="12"/>
  <c r="I66" i="12"/>
  <c r="I65" i="12" s="1"/>
  <c r="H66" i="12"/>
  <c r="H65" i="12"/>
  <c r="O63" i="12"/>
  <c r="N63" i="12"/>
  <c r="M63" i="12"/>
  <c r="L63" i="12"/>
  <c r="L62" i="12" s="1"/>
  <c r="L61" i="12" s="1"/>
  <c r="J63" i="12"/>
  <c r="I63" i="12"/>
  <c r="I62" i="12" s="1"/>
  <c r="G63" i="12"/>
  <c r="G62" i="12" s="1"/>
  <c r="G61" i="12" s="1"/>
  <c r="G60" i="12" s="1"/>
  <c r="O62" i="12"/>
  <c r="N62" i="12"/>
  <c r="N61" i="12" s="1"/>
  <c r="N60" i="12" s="1"/>
  <c r="K62" i="12"/>
  <c r="K61" i="12" s="1"/>
  <c r="K60" i="12" s="1"/>
  <c r="K59" i="12" s="1"/>
  <c r="J62" i="12"/>
  <c r="J61" i="12" s="1"/>
  <c r="J60" i="12" s="1"/>
  <c r="H62" i="12"/>
  <c r="I61" i="12"/>
  <c r="I60" i="12" s="1"/>
  <c r="H61" i="12"/>
  <c r="L60" i="12"/>
  <c r="H60" i="12"/>
  <c r="H59" i="12" s="1"/>
  <c r="O58" i="12"/>
  <c r="N58" i="12"/>
  <c r="N57" i="12" s="1"/>
  <c r="M58" i="12"/>
  <c r="I58" i="12"/>
  <c r="M57" i="12"/>
  <c r="M56" i="12" s="1"/>
  <c r="L57" i="12"/>
  <c r="L56" i="12" s="1"/>
  <c r="L55" i="12" s="1"/>
  <c r="J57" i="12"/>
  <c r="I57" i="12"/>
  <c r="H57" i="12"/>
  <c r="H56" i="12" s="1"/>
  <c r="H55" i="12" s="1"/>
  <c r="G57" i="12"/>
  <c r="G56" i="12" s="1"/>
  <c r="G55" i="12" s="1"/>
  <c r="G54" i="12" s="1"/>
  <c r="N56" i="12"/>
  <c r="N55" i="12" s="1"/>
  <c r="N54" i="12" s="1"/>
  <c r="K56" i="12"/>
  <c r="K55" i="12" s="1"/>
  <c r="K54" i="12" s="1"/>
  <c r="J56" i="12"/>
  <c r="J55" i="12" s="1"/>
  <c r="J54" i="12" s="1"/>
  <c r="I56" i="12"/>
  <c r="M55" i="12"/>
  <c r="I55" i="12"/>
  <c r="I54" i="12" s="1"/>
  <c r="L54" i="12"/>
  <c r="H54" i="12"/>
  <c r="O52" i="12"/>
  <c r="N52" i="12"/>
  <c r="N47" i="12" s="1"/>
  <c r="N41" i="12" s="1"/>
  <c r="N40" i="12" s="1"/>
  <c r="M52" i="12"/>
  <c r="L52" i="12"/>
  <c r="J52" i="12"/>
  <c r="I52" i="12"/>
  <c r="I47" i="12" s="1"/>
  <c r="G52" i="12"/>
  <c r="K51" i="12"/>
  <c r="K46" i="12" s="1"/>
  <c r="H51" i="12"/>
  <c r="O48" i="12"/>
  <c r="N48" i="12"/>
  <c r="M48" i="12"/>
  <c r="L48" i="12"/>
  <c r="J48" i="12"/>
  <c r="J47" i="12" s="1"/>
  <c r="I48" i="12"/>
  <c r="G48" i="12"/>
  <c r="O47" i="12"/>
  <c r="L47" i="12"/>
  <c r="K47" i="12"/>
  <c r="H47" i="12"/>
  <c r="G47" i="12"/>
  <c r="N46" i="12"/>
  <c r="N43" i="12" s="1"/>
  <c r="N42" i="12" s="1"/>
  <c r="M46" i="12"/>
  <c r="I46" i="12"/>
  <c r="O46" i="12" s="1"/>
  <c r="N45" i="12"/>
  <c r="I45" i="12"/>
  <c r="I43" i="12" s="1"/>
  <c r="I42" i="12" s="1"/>
  <c r="H45" i="12"/>
  <c r="O44" i="12"/>
  <c r="N44" i="12"/>
  <c r="M44" i="12"/>
  <c r="I44" i="12"/>
  <c r="M43" i="12"/>
  <c r="L43" i="12"/>
  <c r="J43" i="12"/>
  <c r="H43" i="12"/>
  <c r="H42" i="12" s="1"/>
  <c r="H41" i="12" s="1"/>
  <c r="H40" i="12" s="1"/>
  <c r="G43" i="12"/>
  <c r="L42" i="12"/>
  <c r="L41" i="12" s="1"/>
  <c r="L40" i="12" s="1"/>
  <c r="K42" i="12"/>
  <c r="K41" i="12" s="1"/>
  <c r="J42" i="12"/>
  <c r="G42" i="12"/>
  <c r="J41" i="12"/>
  <c r="J40" i="12" s="1"/>
  <c r="N39" i="12"/>
  <c r="M39" i="12"/>
  <c r="M38" i="12" s="1"/>
  <c r="I39" i="12"/>
  <c r="O39" i="12" s="1"/>
  <c r="N38" i="12"/>
  <c r="N37" i="12" s="1"/>
  <c r="L38" i="12"/>
  <c r="J38" i="12"/>
  <c r="J37" i="12" s="1"/>
  <c r="I38" i="12"/>
  <c r="I37" i="12" s="1"/>
  <c r="I36" i="12" s="1"/>
  <c r="I35" i="12" s="1"/>
  <c r="G38" i="12"/>
  <c r="L37" i="12"/>
  <c r="L36" i="12" s="1"/>
  <c r="L35" i="12" s="1"/>
  <c r="K37" i="12"/>
  <c r="K36" i="12" s="1"/>
  <c r="K35" i="12" s="1"/>
  <c r="H37" i="12"/>
  <c r="H36" i="12" s="1"/>
  <c r="H35" i="12" s="1"/>
  <c r="G37" i="12"/>
  <c r="G36" i="12" s="1"/>
  <c r="G35" i="12" s="1"/>
  <c r="N36" i="12"/>
  <c r="N35" i="12" s="1"/>
  <c r="J36" i="12"/>
  <c r="J35" i="12" s="1"/>
  <c r="O32" i="12"/>
  <c r="M32" i="12"/>
  <c r="I32" i="12"/>
  <c r="I31" i="12" s="1"/>
  <c r="I30" i="12" s="1"/>
  <c r="I29" i="12" s="1"/>
  <c r="I28" i="12" s="1"/>
  <c r="G32" i="12"/>
  <c r="N31" i="12"/>
  <c r="L31" i="12"/>
  <c r="L30" i="12" s="1"/>
  <c r="L29" i="12" s="1"/>
  <c r="L28" i="12" s="1"/>
  <c r="J31" i="12"/>
  <c r="G31" i="12"/>
  <c r="G30" i="12" s="1"/>
  <c r="G29" i="12" s="1"/>
  <c r="N30" i="12"/>
  <c r="N29" i="12" s="1"/>
  <c r="N28" i="12" s="1"/>
  <c r="K30" i="12"/>
  <c r="J30" i="12"/>
  <c r="J29" i="12" s="1"/>
  <c r="J28" i="12" s="1"/>
  <c r="H30" i="12"/>
  <c r="K29" i="12"/>
  <c r="H29" i="12"/>
  <c r="H28" i="12" s="1"/>
  <c r="K28" i="12"/>
  <c r="G28" i="12"/>
  <c r="O27" i="12"/>
  <c r="M27" i="12"/>
  <c r="I27" i="12"/>
  <c r="I26" i="12" s="1"/>
  <c r="I25" i="12" s="1"/>
  <c r="I24" i="12" s="1"/>
  <c r="I23" i="12" s="1"/>
  <c r="I22" i="12" s="1"/>
  <c r="I21" i="12" s="1"/>
  <c r="G27" i="12"/>
  <c r="N26" i="12"/>
  <c r="L26" i="12"/>
  <c r="L25" i="12" s="1"/>
  <c r="J26" i="12"/>
  <c r="G26" i="12"/>
  <c r="G25" i="12" s="1"/>
  <c r="G24" i="12" s="1"/>
  <c r="N25" i="12"/>
  <c r="N24" i="12" s="1"/>
  <c r="N23" i="12" s="1"/>
  <c r="K25" i="12"/>
  <c r="J25" i="12"/>
  <c r="J24" i="12" s="1"/>
  <c r="J23" i="12" s="1"/>
  <c r="J22" i="12" s="1"/>
  <c r="J21" i="12" s="1"/>
  <c r="H25" i="12"/>
  <c r="L24" i="12"/>
  <c r="L23" i="12" s="1"/>
  <c r="K24" i="12"/>
  <c r="H24" i="12"/>
  <c r="H23" i="12" s="1"/>
  <c r="H22" i="12" s="1"/>
  <c r="H21" i="12" s="1"/>
  <c r="K23" i="12"/>
  <c r="K22" i="12" s="1"/>
  <c r="K21" i="12" s="1"/>
  <c r="G23" i="12"/>
  <c r="G22" i="12" s="1"/>
  <c r="G21" i="12" s="1"/>
  <c r="N22" i="12"/>
  <c r="N21" i="12" s="1"/>
  <c r="N460" i="13" l="1"/>
  <c r="N459" i="13" s="1"/>
  <c r="N458" i="13" s="1"/>
  <c r="N457" i="13" s="1"/>
  <c r="O460" i="13"/>
  <c r="O459" i="13" s="1"/>
  <c r="I458" i="13"/>
  <c r="I457" i="13" s="1"/>
  <c r="I173" i="13"/>
  <c r="I172" i="13" s="1"/>
  <c r="I171" i="13" s="1"/>
  <c r="I170" i="13" s="1"/>
  <c r="M458" i="13"/>
  <c r="M457" i="13" s="1"/>
  <c r="O393" i="13"/>
  <c r="O392" i="13" s="1"/>
  <c r="O391" i="13" s="1"/>
  <c r="I256" i="13"/>
  <c r="K34" i="13"/>
  <c r="K21" i="13" s="1"/>
  <c r="I313" i="13"/>
  <c r="I312" i="13" s="1"/>
  <c r="I299" i="13" s="1"/>
  <c r="O313" i="13"/>
  <c r="O312" i="13" s="1"/>
  <c r="O299" i="13" s="1"/>
  <c r="L34" i="13"/>
  <c r="L21" i="13" s="1"/>
  <c r="J34" i="13"/>
  <c r="J21" i="13" s="1"/>
  <c r="N282" i="13"/>
  <c r="O60" i="13"/>
  <c r="O35" i="13" s="1"/>
  <c r="O208" i="13"/>
  <c r="O170" i="13" s="1"/>
  <c r="H366" i="12"/>
  <c r="H365" i="12" s="1"/>
  <c r="H364" i="12" s="1"/>
  <c r="G177" i="12"/>
  <c r="G230" i="12"/>
  <c r="G254" i="13"/>
  <c r="G34" i="13" s="1"/>
  <c r="G21" i="13" s="1"/>
  <c r="I281" i="13"/>
  <c r="I295" i="13"/>
  <c r="I294" i="13" s="1"/>
  <c r="O296" i="13"/>
  <c r="O295" i="13" s="1"/>
  <c r="O294" i="13" s="1"/>
  <c r="M282" i="13"/>
  <c r="M281" i="13" s="1"/>
  <c r="O261" i="13"/>
  <c r="O255" i="13" s="1"/>
  <c r="M256" i="13"/>
  <c r="M255" i="13"/>
  <c r="H312" i="13"/>
  <c r="N312" i="13" s="1"/>
  <c r="M86" i="12"/>
  <c r="J81" i="12"/>
  <c r="J70" i="12" s="1"/>
  <c r="J59" i="12" s="1"/>
  <c r="J34" i="12" s="1"/>
  <c r="O97" i="12"/>
  <c r="L22" i="12"/>
  <c r="L21" i="12" s="1"/>
  <c r="M31" i="12"/>
  <c r="G41" i="12"/>
  <c r="G40" i="12" s="1"/>
  <c r="G34" i="12" s="1"/>
  <c r="M54" i="12"/>
  <c r="M62" i="12"/>
  <c r="M67" i="12"/>
  <c r="I70" i="12"/>
  <c r="I59" i="12" s="1"/>
  <c r="O93" i="12"/>
  <c r="I92" i="12"/>
  <c r="I91" i="12" s="1"/>
  <c r="I90" i="12" s="1"/>
  <c r="I89" i="12" s="1"/>
  <c r="M111" i="12"/>
  <c r="O83" i="12"/>
  <c r="O38" i="12"/>
  <c r="M26" i="12"/>
  <c r="M37" i="12"/>
  <c r="H34" i="12"/>
  <c r="I172" i="12"/>
  <c r="M42" i="12"/>
  <c r="I41" i="12"/>
  <c r="I40" i="12" s="1"/>
  <c r="I34" i="12" s="1"/>
  <c r="O111" i="12"/>
  <c r="J179" i="12"/>
  <c r="J178" i="12" s="1"/>
  <c r="J177" i="12" s="1"/>
  <c r="K40" i="12"/>
  <c r="K34" i="12" s="1"/>
  <c r="M47" i="12"/>
  <c r="J89" i="12"/>
  <c r="M100" i="12"/>
  <c r="H115" i="12"/>
  <c r="N115" i="12" s="1"/>
  <c r="N122" i="12"/>
  <c r="M125" i="12"/>
  <c r="O130" i="12"/>
  <c r="M138" i="12"/>
  <c r="O156" i="12"/>
  <c r="N173" i="12"/>
  <c r="N172" i="12" s="1"/>
  <c r="O174" i="12"/>
  <c r="L177" i="12"/>
  <c r="N193" i="12"/>
  <c r="N192" i="12" s="1"/>
  <c r="N191" i="12" s="1"/>
  <c r="H192" i="12"/>
  <c r="H191" i="12" s="1"/>
  <c r="H177" i="12" s="1"/>
  <c r="H168" i="12" s="1"/>
  <c r="N209" i="12"/>
  <c r="N208" i="12" s="1"/>
  <c r="N207" i="12" s="1"/>
  <c r="N206" i="12" s="1"/>
  <c r="H208" i="12"/>
  <c r="H207" i="12" s="1"/>
  <c r="H206" i="12" s="1"/>
  <c r="G123" i="12"/>
  <c r="G122" i="12" s="1"/>
  <c r="G115" i="12" s="1"/>
  <c r="O164" i="12"/>
  <c r="N177" i="12"/>
  <c r="O189" i="12"/>
  <c r="G207" i="12"/>
  <c r="I285" i="12"/>
  <c r="O300" i="12"/>
  <c r="O312" i="12"/>
  <c r="I311" i="12"/>
  <c r="M319" i="12"/>
  <c r="N361" i="12"/>
  <c r="H359" i="12"/>
  <c r="N359" i="12" s="1"/>
  <c r="G378" i="12"/>
  <c r="G377" i="12" s="1"/>
  <c r="M397" i="12"/>
  <c r="O78" i="12"/>
  <c r="O126" i="12"/>
  <c r="I125" i="12"/>
  <c r="I124" i="12" s="1"/>
  <c r="I123" i="12" s="1"/>
  <c r="I122" i="12" s="1"/>
  <c r="I115" i="12" s="1"/>
  <c r="M189" i="12"/>
  <c r="O274" i="12"/>
  <c r="I295" i="12"/>
  <c r="G294" i="12"/>
  <c r="G293" i="12" s="1"/>
  <c r="M295" i="12"/>
  <c r="O375" i="12"/>
  <c r="O45" i="12"/>
  <c r="O61" i="12"/>
  <c r="O66" i="12"/>
  <c r="M82" i="12"/>
  <c r="L86" i="12"/>
  <c r="O86" i="12" s="1"/>
  <c r="O87" i="12"/>
  <c r="G89" i="12"/>
  <c r="G59" i="12" s="1"/>
  <c r="O147" i="12"/>
  <c r="M146" i="12"/>
  <c r="M149" i="12"/>
  <c r="L153" i="12"/>
  <c r="L152" i="12" s="1"/>
  <c r="L115" i="12" s="1"/>
  <c r="M155" i="12"/>
  <c r="O160" i="12"/>
  <c r="G171" i="12"/>
  <c r="G170" i="12" s="1"/>
  <c r="G169" i="12" s="1"/>
  <c r="I175" i="12"/>
  <c r="O175" i="12" s="1"/>
  <c r="O181" i="12"/>
  <c r="M224" i="12"/>
  <c r="I224" i="12"/>
  <c r="O224" i="12" s="1"/>
  <c r="G285" i="12"/>
  <c r="M287" i="12"/>
  <c r="O310" i="12"/>
  <c r="O314" i="12"/>
  <c r="M368" i="12"/>
  <c r="O428" i="12"/>
  <c r="O278" i="12"/>
  <c r="H321" i="12"/>
  <c r="H306" i="12" s="1"/>
  <c r="H305" i="12" s="1"/>
  <c r="H304" i="12" s="1"/>
  <c r="H303" i="12" s="1"/>
  <c r="I322" i="12"/>
  <c r="N322" i="12"/>
  <c r="N321" i="12" s="1"/>
  <c r="M354" i="12"/>
  <c r="M417" i="12"/>
  <c r="M448" i="12"/>
  <c r="M91" i="12"/>
  <c r="O100" i="12"/>
  <c r="O138" i="12"/>
  <c r="O148" i="12"/>
  <c r="O204" i="12"/>
  <c r="O228" i="12"/>
  <c r="M227" i="12"/>
  <c r="H230" i="12"/>
  <c r="I233" i="12"/>
  <c r="O233" i="12" s="1"/>
  <c r="O249" i="12"/>
  <c r="O266" i="12"/>
  <c r="N265" i="12"/>
  <c r="K267" i="12"/>
  <c r="K252" i="12" s="1"/>
  <c r="O273" i="12"/>
  <c r="N271" i="12"/>
  <c r="N270" i="12" s="1"/>
  <c r="N269" i="12" s="1"/>
  <c r="N268" i="12" s="1"/>
  <c r="N267" i="12" s="1"/>
  <c r="M276" i="12"/>
  <c r="M279" i="12"/>
  <c r="J278" i="12"/>
  <c r="M282" i="12"/>
  <c r="G281" i="12"/>
  <c r="G280" i="12" s="1"/>
  <c r="N296" i="12"/>
  <c r="I296" i="12"/>
  <c r="O296" i="12" s="1"/>
  <c r="N306" i="12"/>
  <c r="N305" i="12" s="1"/>
  <c r="N304" i="12" s="1"/>
  <c r="N303" i="12" s="1"/>
  <c r="O345" i="12"/>
  <c r="O26" i="12"/>
  <c r="O31" i="12"/>
  <c r="O57" i="12"/>
  <c r="O74" i="12"/>
  <c r="N96" i="12"/>
  <c r="N90" i="12" s="1"/>
  <c r="N89" i="12" s="1"/>
  <c r="N59" i="12" s="1"/>
  <c r="N34" i="12" s="1"/>
  <c r="N103" i="12"/>
  <c r="M161" i="12"/>
  <c r="M181" i="12"/>
  <c r="O195" i="12"/>
  <c r="M194" i="12"/>
  <c r="M203" i="12"/>
  <c r="M212" i="12"/>
  <c r="J209" i="12"/>
  <c r="J208" i="12" s="1"/>
  <c r="J207" i="12" s="1"/>
  <c r="J206" i="12" s="1"/>
  <c r="J168" i="12" s="1"/>
  <c r="L212" i="12"/>
  <c r="O220" i="12"/>
  <c r="N233" i="12"/>
  <c r="O236" i="12"/>
  <c r="L235" i="12"/>
  <c r="O243" i="12"/>
  <c r="N256" i="12"/>
  <c r="H255" i="12"/>
  <c r="M261" i="12"/>
  <c r="H267" i="12"/>
  <c r="J270" i="12"/>
  <c r="J269" i="12" s="1"/>
  <c r="J268" i="12" s="1"/>
  <c r="J267" i="12" s="1"/>
  <c r="L291" i="12"/>
  <c r="O292" i="12"/>
  <c r="J303" i="12"/>
  <c r="M307" i="12"/>
  <c r="M304" i="12"/>
  <c r="G303" i="12"/>
  <c r="O321" i="12"/>
  <c r="I340" i="12"/>
  <c r="I339" i="12" s="1"/>
  <c r="I338" i="12" s="1"/>
  <c r="N371" i="12"/>
  <c r="N370" i="12" s="1"/>
  <c r="N366" i="12" s="1"/>
  <c r="N365" i="12" s="1"/>
  <c r="N364" i="12" s="1"/>
  <c r="O372" i="12"/>
  <c r="G444" i="12"/>
  <c r="I113" i="12"/>
  <c r="I112" i="12" s="1"/>
  <c r="I111" i="12" s="1"/>
  <c r="I184" i="12"/>
  <c r="I180" i="12" s="1"/>
  <c r="I179" i="12" s="1"/>
  <c r="I178" i="12" s="1"/>
  <c r="I177" i="12" s="1"/>
  <c r="I216" i="12"/>
  <c r="I209" i="12" s="1"/>
  <c r="I208" i="12" s="1"/>
  <c r="M237" i="12"/>
  <c r="G270" i="12"/>
  <c r="G269" i="12" s="1"/>
  <c r="G268" i="12" s="1"/>
  <c r="O277" i="12"/>
  <c r="O284" i="12"/>
  <c r="I307" i="12"/>
  <c r="O307" i="12"/>
  <c r="N309" i="12"/>
  <c r="I319" i="12"/>
  <c r="O319" i="12"/>
  <c r="O341" i="12"/>
  <c r="I354" i="12"/>
  <c r="I353" i="12" s="1"/>
  <c r="I352" i="12" s="1"/>
  <c r="O356" i="12"/>
  <c r="J378" i="12"/>
  <c r="J377" i="12" s="1"/>
  <c r="N381" i="12"/>
  <c r="N380" i="12" s="1"/>
  <c r="H380" i="12"/>
  <c r="H379" i="12" s="1"/>
  <c r="H378" i="12" s="1"/>
  <c r="H377" i="12" s="1"/>
  <c r="O382" i="12"/>
  <c r="M381" i="12"/>
  <c r="J400" i="12"/>
  <c r="N400" i="12"/>
  <c r="G426" i="12"/>
  <c r="G425" i="12" s="1"/>
  <c r="M477" i="12"/>
  <c r="M250" i="12"/>
  <c r="J262" i="12"/>
  <c r="J261" i="12" s="1"/>
  <c r="J260" i="12" s="1"/>
  <c r="J253" i="12" s="1"/>
  <c r="I268" i="12"/>
  <c r="I267" i="12" s="1"/>
  <c r="I282" i="12"/>
  <c r="O283" i="12"/>
  <c r="L287" i="12"/>
  <c r="L286" i="12" s="1"/>
  <c r="L285" i="12" s="1"/>
  <c r="L267" i="12" s="1"/>
  <c r="L252" i="12" s="1"/>
  <c r="I343" i="12"/>
  <c r="O343" i="12" s="1"/>
  <c r="N343" i="12"/>
  <c r="O354" i="12"/>
  <c r="O384" i="12"/>
  <c r="O389" i="12"/>
  <c r="L400" i="12"/>
  <c r="O402" i="12"/>
  <c r="O412" i="12"/>
  <c r="M411" i="12"/>
  <c r="O416" i="12"/>
  <c r="M457" i="12"/>
  <c r="O476" i="12"/>
  <c r="N340" i="12"/>
  <c r="N339" i="12" s="1"/>
  <c r="N338" i="12" s="1"/>
  <c r="O368" i="12"/>
  <c r="M373" i="12"/>
  <c r="I373" i="12"/>
  <c r="O373" i="12" s="1"/>
  <c r="M386" i="12"/>
  <c r="M404" i="12"/>
  <c r="O433" i="12"/>
  <c r="N457" i="12"/>
  <c r="N456" i="12" s="1"/>
  <c r="N455" i="12" s="1"/>
  <c r="O491" i="12"/>
  <c r="I489" i="12"/>
  <c r="I488" i="12" s="1"/>
  <c r="M340" i="12"/>
  <c r="M360" i="12"/>
  <c r="M371" i="12"/>
  <c r="O383" i="12"/>
  <c r="N386" i="12"/>
  <c r="O391" i="12"/>
  <c r="O421" i="12"/>
  <c r="K444" i="12"/>
  <c r="K443" i="12" s="1"/>
  <c r="J446" i="12"/>
  <c r="J445" i="12" s="1"/>
  <c r="J444" i="12" s="1"/>
  <c r="J443" i="12" s="1"/>
  <c r="M489" i="12"/>
  <c r="M422" i="12"/>
  <c r="L426" i="12"/>
  <c r="L425" i="12" s="1"/>
  <c r="O439" i="12"/>
  <c r="I448" i="12"/>
  <c r="I447" i="12" s="1"/>
  <c r="N448" i="12"/>
  <c r="N447" i="12" s="1"/>
  <c r="G482" i="12"/>
  <c r="G481" i="12" s="1"/>
  <c r="O487" i="12"/>
  <c r="M485" i="12"/>
  <c r="N494" i="12"/>
  <c r="N493" i="12" s="1"/>
  <c r="N482" i="12" s="1"/>
  <c r="N481" i="12" s="1"/>
  <c r="H493" i="12"/>
  <c r="H482" i="12" s="1"/>
  <c r="H481" i="12" s="1"/>
  <c r="H444" i="12" s="1"/>
  <c r="H443" i="12" s="1"/>
  <c r="H499" i="12"/>
  <c r="I505" i="12"/>
  <c r="I504" i="12" s="1"/>
  <c r="I503" i="12" s="1"/>
  <c r="I502" i="12" s="1"/>
  <c r="I501" i="12" s="1"/>
  <c r="I500" i="12" s="1"/>
  <c r="I499" i="12" s="1"/>
  <c r="O507" i="12"/>
  <c r="O509" i="12"/>
  <c r="M428" i="12"/>
  <c r="O451" i="12"/>
  <c r="L455" i="12"/>
  <c r="L446" i="12" s="1"/>
  <c r="L445" i="12" s="1"/>
  <c r="M495" i="12"/>
  <c r="O505" i="12"/>
  <c r="M517" i="12"/>
  <c r="M440" i="12"/>
  <c r="O449" i="12"/>
  <c r="I457" i="12"/>
  <c r="I456" i="12" s="1"/>
  <c r="I455" i="12" s="1"/>
  <c r="N462" i="12"/>
  <c r="I462" i="12"/>
  <c r="O462" i="12" s="1"/>
  <c r="O464" i="12"/>
  <c r="L482" i="12"/>
  <c r="L481" i="12" s="1"/>
  <c r="M505" i="12"/>
  <c r="M508" i="12"/>
  <c r="I483" i="12"/>
  <c r="I482" i="12" s="1"/>
  <c r="I481" i="12" s="1"/>
  <c r="I517" i="12"/>
  <c r="I516" i="12" s="1"/>
  <c r="I515" i="12" s="1"/>
  <c r="I514" i="12" s="1"/>
  <c r="I513" i="12" s="1"/>
  <c r="I512" i="12" s="1"/>
  <c r="O517" i="12"/>
  <c r="O495" i="12"/>
  <c r="O458" i="13" l="1"/>
  <c r="O457" i="13" s="1"/>
  <c r="O256" i="13"/>
  <c r="M230" i="12"/>
  <c r="M229" i="12" s="1"/>
  <c r="G229" i="12"/>
  <c r="G206" i="12"/>
  <c r="O282" i="13"/>
  <c r="O281" i="13" s="1"/>
  <c r="M254" i="13"/>
  <c r="M34" i="13" s="1"/>
  <c r="M21" i="13" s="1"/>
  <c r="N299" i="13"/>
  <c r="N281" i="13" s="1"/>
  <c r="H299" i="13"/>
  <c r="H281" i="13" s="1"/>
  <c r="L443" i="12"/>
  <c r="L444" i="12"/>
  <c r="O444" i="12" s="1"/>
  <c r="K33" i="12"/>
  <c r="K20" i="12" s="1"/>
  <c r="O516" i="12"/>
  <c r="M427" i="12"/>
  <c r="M484" i="12"/>
  <c r="I446" i="12"/>
  <c r="I445" i="12" s="1"/>
  <c r="I444" i="12" s="1"/>
  <c r="M410" i="12"/>
  <c r="O353" i="12"/>
  <c r="M380" i="12"/>
  <c r="O340" i="12"/>
  <c r="M260" i="12"/>
  <c r="M516" i="12"/>
  <c r="M494" i="12"/>
  <c r="M488" i="12"/>
  <c r="O367" i="12"/>
  <c r="O415" i="12"/>
  <c r="O282" i="12"/>
  <c r="I281" i="12"/>
  <c r="I280" i="12" s="1"/>
  <c r="O371" i="12"/>
  <c r="O291" i="12"/>
  <c r="O56" i="12"/>
  <c r="M278" i="12"/>
  <c r="M226" i="12"/>
  <c r="O203" i="12"/>
  <c r="O137" i="12"/>
  <c r="M447" i="12"/>
  <c r="M148" i="12"/>
  <c r="O65" i="12"/>
  <c r="I370" i="12"/>
  <c r="I366" i="12" s="1"/>
  <c r="I365" i="12" s="1"/>
  <c r="I364" i="12" s="1"/>
  <c r="O271" i="12"/>
  <c r="O188" i="12"/>
  <c r="N171" i="12"/>
  <c r="I171" i="12"/>
  <c r="I170" i="12" s="1"/>
  <c r="I169" i="12" s="1"/>
  <c r="O172" i="12"/>
  <c r="O37" i="12"/>
  <c r="O82" i="12"/>
  <c r="O96" i="12"/>
  <c r="O494" i="12"/>
  <c r="M439" i="12"/>
  <c r="O504" i="12"/>
  <c r="N443" i="12"/>
  <c r="O432" i="12"/>
  <c r="O475" i="12"/>
  <c r="O401" i="12"/>
  <c r="J252" i="12"/>
  <c r="J33" i="12" s="1"/>
  <c r="J20" i="12" s="1"/>
  <c r="N379" i="12"/>
  <c r="N378" i="12" s="1"/>
  <c r="N377" i="12" s="1"/>
  <c r="O276" i="12"/>
  <c r="O242" i="12"/>
  <c r="O219" i="12"/>
  <c r="M193" i="12"/>
  <c r="M160" i="12"/>
  <c r="O73" i="12"/>
  <c r="O30" i="12"/>
  <c r="O248" i="12"/>
  <c r="O227" i="12"/>
  <c r="M90" i="12"/>
  <c r="O427" i="12"/>
  <c r="M367" i="12"/>
  <c r="O313" i="12"/>
  <c r="M286" i="12"/>
  <c r="G168" i="12"/>
  <c r="G33" i="12" s="1"/>
  <c r="G20" i="12" s="1"/>
  <c r="M154" i="12"/>
  <c r="M81" i="12"/>
  <c r="O60" i="12"/>
  <c r="O295" i="12"/>
  <c r="I294" i="12"/>
  <c r="I293" i="12" s="1"/>
  <c r="O125" i="12"/>
  <c r="O311" i="12"/>
  <c r="M137" i="12"/>
  <c r="O43" i="12"/>
  <c r="M41" i="12"/>
  <c r="M36" i="12"/>
  <c r="O92" i="12"/>
  <c r="M61" i="12"/>
  <c r="M421" i="12"/>
  <c r="O420" i="12"/>
  <c r="M370" i="12"/>
  <c r="M339" i="12"/>
  <c r="M456" i="12"/>
  <c r="M236" i="12"/>
  <c r="M306" i="12"/>
  <c r="O194" i="12"/>
  <c r="O25" i="12"/>
  <c r="M281" i="12"/>
  <c r="M280" i="12" s="1"/>
  <c r="N262" i="12"/>
  <c r="M416" i="12"/>
  <c r="O322" i="12"/>
  <c r="I321" i="12"/>
  <c r="O309" i="12"/>
  <c r="O180" i="12"/>
  <c r="M145" i="12"/>
  <c r="M188" i="12"/>
  <c r="M396" i="12"/>
  <c r="M124" i="12"/>
  <c r="M25" i="12"/>
  <c r="M30" i="12"/>
  <c r="O489" i="12"/>
  <c r="M504" i="12"/>
  <c r="O448" i="12"/>
  <c r="O508" i="12"/>
  <c r="O485" i="12"/>
  <c r="O438" i="12"/>
  <c r="O457" i="12"/>
  <c r="M403" i="12"/>
  <c r="O411" i="12"/>
  <c r="M249" i="12"/>
  <c r="M476" i="12"/>
  <c r="O387" i="12"/>
  <c r="O381" i="12"/>
  <c r="I306" i="12"/>
  <c r="I305" i="12" s="1"/>
  <c r="I304" i="12" s="1"/>
  <c r="I303" i="12" s="1"/>
  <c r="G267" i="12"/>
  <c r="G252" i="12" s="1"/>
  <c r="O209" i="12"/>
  <c r="I207" i="12"/>
  <c r="G443" i="12"/>
  <c r="N255" i="12"/>
  <c r="H254" i="12"/>
  <c r="H253" i="12"/>
  <c r="H252" i="12" s="1"/>
  <c r="H33" i="12" s="1"/>
  <c r="H20" i="12" s="1"/>
  <c r="I255" i="12"/>
  <c r="O212" i="12"/>
  <c r="L209" i="12"/>
  <c r="L208" i="12" s="1"/>
  <c r="L207" i="12" s="1"/>
  <c r="L206" i="12" s="1"/>
  <c r="L168" i="12" s="1"/>
  <c r="M202" i="12"/>
  <c r="M180" i="12"/>
  <c r="O265" i="12"/>
  <c r="N230" i="12"/>
  <c r="H229" i="12"/>
  <c r="I230" i="12"/>
  <c r="M353" i="12"/>
  <c r="O146" i="12"/>
  <c r="L81" i="12"/>
  <c r="L70" i="12" s="1"/>
  <c r="L59" i="12" s="1"/>
  <c r="L34" i="12" s="1"/>
  <c r="M294" i="12"/>
  <c r="O77" i="12"/>
  <c r="O299" i="12"/>
  <c r="M209" i="12"/>
  <c r="O173" i="12"/>
  <c r="O155" i="12"/>
  <c r="M96" i="12"/>
  <c r="M66" i="12"/>
  <c r="I206" i="12" l="1"/>
  <c r="O154" i="12"/>
  <c r="M293" i="12"/>
  <c r="N254" i="12"/>
  <c r="O208" i="12"/>
  <c r="O380" i="12"/>
  <c r="M248" i="12"/>
  <c r="O456" i="12"/>
  <c r="O484" i="12"/>
  <c r="O447" i="12"/>
  <c r="O488" i="12"/>
  <c r="M395" i="12"/>
  <c r="M144" i="12"/>
  <c r="O179" i="12"/>
  <c r="M235" i="12"/>
  <c r="M455" i="12"/>
  <c r="M40" i="12"/>
  <c r="M153" i="12"/>
  <c r="O426" i="12"/>
  <c r="O226" i="12"/>
  <c r="O474" i="12"/>
  <c r="M438" i="12"/>
  <c r="O55" i="12"/>
  <c r="O287" i="12"/>
  <c r="O370" i="12"/>
  <c r="O414" i="12"/>
  <c r="M515" i="12"/>
  <c r="O352" i="12"/>
  <c r="I443" i="12"/>
  <c r="M426" i="12"/>
  <c r="O298" i="12"/>
  <c r="O230" i="12"/>
  <c r="I229" i="12"/>
  <c r="O262" i="12"/>
  <c r="M201" i="12"/>
  <c r="I254" i="12"/>
  <c r="O255" i="12"/>
  <c r="I253" i="12"/>
  <c r="I252" i="12" s="1"/>
  <c r="O386" i="12"/>
  <c r="M415" i="12"/>
  <c r="M305" i="12"/>
  <c r="O306" i="12"/>
  <c r="M60" i="12"/>
  <c r="O42" i="12"/>
  <c r="O29" i="12"/>
  <c r="O503" i="12"/>
  <c r="M446" i="12"/>
  <c r="O339" i="12"/>
  <c r="O515" i="12"/>
  <c r="L33" i="12"/>
  <c r="L20" i="12" s="1"/>
  <c r="M352" i="12"/>
  <c r="M443" i="12"/>
  <c r="M402" i="12"/>
  <c r="O437" i="12"/>
  <c r="M503" i="12"/>
  <c r="M29" i="12"/>
  <c r="M123" i="12"/>
  <c r="N261" i="12"/>
  <c r="O24" i="12"/>
  <c r="M338" i="12"/>
  <c r="O419" i="12"/>
  <c r="M35" i="12"/>
  <c r="O294" i="12"/>
  <c r="M70" i="12"/>
  <c r="M285" i="12"/>
  <c r="M366" i="12"/>
  <c r="M89" i="12"/>
  <c r="M192" i="12"/>
  <c r="O493" i="12"/>
  <c r="O81" i="12"/>
  <c r="O171" i="12"/>
  <c r="O270" i="12"/>
  <c r="O202" i="12"/>
  <c r="M270" i="12"/>
  <c r="O366" i="12"/>
  <c r="M493" i="12"/>
  <c r="M409" i="12"/>
  <c r="M483" i="12"/>
  <c r="M65" i="12"/>
  <c r="M208" i="12"/>
  <c r="O145" i="12"/>
  <c r="N229" i="12"/>
  <c r="M179" i="12"/>
  <c r="M475" i="12"/>
  <c r="O410" i="12"/>
  <c r="M24" i="12"/>
  <c r="O193" i="12"/>
  <c r="M420" i="12"/>
  <c r="O91" i="12"/>
  <c r="O124" i="12"/>
  <c r="O72" i="12"/>
  <c r="O241" i="12"/>
  <c r="O36" i="12"/>
  <c r="I168" i="12"/>
  <c r="I33" i="12" s="1"/>
  <c r="I20" i="12" s="1"/>
  <c r="N170" i="12"/>
  <c r="M218" i="12"/>
  <c r="O281" i="12"/>
  <c r="O280" i="12" s="1"/>
  <c r="M253" i="12"/>
  <c r="M379" i="12"/>
  <c r="O123" i="12" l="1"/>
  <c r="M419" i="12"/>
  <c r="M23" i="12"/>
  <c r="M269" i="12"/>
  <c r="M365" i="12"/>
  <c r="N260" i="12"/>
  <c r="O514" i="12"/>
  <c r="M445" i="12"/>
  <c r="O502" i="12"/>
  <c r="O443" i="12"/>
  <c r="M514" i="12"/>
  <c r="O473" i="12"/>
  <c r="M152" i="12"/>
  <c r="O35" i="12"/>
  <c r="O235" i="12"/>
  <c r="M474" i="12"/>
  <c r="M473" i="12" s="1"/>
  <c r="M207" i="12"/>
  <c r="M482" i="12"/>
  <c r="O269" i="12"/>
  <c r="M122" i="12"/>
  <c r="M502" i="12"/>
  <c r="M401" i="12"/>
  <c r="M303" i="12"/>
  <c r="M59" i="12"/>
  <c r="M200" i="12"/>
  <c r="M425" i="12"/>
  <c r="O286" i="12"/>
  <c r="O483" i="12"/>
  <c r="M378" i="12"/>
  <c r="O71" i="12"/>
  <c r="O90" i="12"/>
  <c r="O192" i="12"/>
  <c r="O144" i="12"/>
  <c r="O365" i="12"/>
  <c r="O201" i="12"/>
  <c r="O170" i="12"/>
  <c r="O293" i="12"/>
  <c r="O23" i="12"/>
  <c r="O338" i="12"/>
  <c r="O28" i="12"/>
  <c r="M414" i="12"/>
  <c r="O229" i="12"/>
  <c r="O413" i="12"/>
  <c r="M437" i="12"/>
  <c r="O218" i="12"/>
  <c r="O425" i="12"/>
  <c r="O446" i="12"/>
  <c r="O379" i="12"/>
  <c r="O153" i="12"/>
  <c r="N169" i="12"/>
  <c r="O409" i="12"/>
  <c r="M178" i="12"/>
  <c r="M408" i="12"/>
  <c r="M191" i="12"/>
  <c r="M34" i="12"/>
  <c r="M28" i="12"/>
  <c r="O436" i="12"/>
  <c r="O41" i="12"/>
  <c r="O305" i="12"/>
  <c r="O254" i="12"/>
  <c r="O261" i="12"/>
  <c r="O54" i="12"/>
  <c r="O178" i="12"/>
  <c r="O455" i="12"/>
  <c r="O364" i="12" l="1"/>
  <c r="O70" i="12"/>
  <c r="M481" i="12"/>
  <c r="O513" i="12"/>
  <c r="O122" i="12"/>
  <c r="O152" i="12"/>
  <c r="M22" i="12"/>
  <c r="M407" i="12"/>
  <c r="M436" i="12"/>
  <c r="O89" i="12"/>
  <c r="M377" i="12"/>
  <c r="O285" i="12"/>
  <c r="O268" i="12"/>
  <c r="M206" i="12"/>
  <c r="O207" i="12"/>
  <c r="O40" i="12"/>
  <c r="M177" i="12"/>
  <c r="N168" i="12"/>
  <c r="O169" i="12"/>
  <c r="M115" i="12"/>
  <c r="O501" i="12"/>
  <c r="M364" i="12"/>
  <c r="O177" i="12"/>
  <c r="O304" i="12"/>
  <c r="M413" i="12"/>
  <c r="O191" i="12"/>
  <c r="O482" i="12"/>
  <c r="M513" i="12"/>
  <c r="O260" i="12"/>
  <c r="O408" i="12"/>
  <c r="O445" i="12"/>
  <c r="O378" i="12"/>
  <c r="O22" i="12"/>
  <c r="O200" i="12"/>
  <c r="M501" i="12"/>
  <c r="N253" i="12"/>
  <c r="M268" i="12"/>
  <c r="O407" i="12" l="1"/>
  <c r="O481" i="12"/>
  <c r="O206" i="12"/>
  <c r="M21" i="12"/>
  <c r="M400" i="12"/>
  <c r="M500" i="12"/>
  <c r="O377" i="12"/>
  <c r="M267" i="12"/>
  <c r="O253" i="12"/>
  <c r="O115" i="12"/>
  <c r="O303" i="12"/>
  <c r="M168" i="12"/>
  <c r="O267" i="12"/>
  <c r="O512" i="12"/>
  <c r="N252" i="12"/>
  <c r="N33" i="12" s="1"/>
  <c r="N20" i="12" s="1"/>
  <c r="M512" i="12"/>
  <c r="O168" i="12"/>
  <c r="O21" i="12"/>
  <c r="O500" i="12"/>
  <c r="O59" i="12"/>
  <c r="M20" i="12" l="1"/>
  <c r="O400" i="12"/>
  <c r="M33" i="12"/>
  <c r="M252" i="12"/>
  <c r="M499" i="12"/>
  <c r="O499" i="12"/>
  <c r="O34" i="12"/>
  <c r="O252" i="12"/>
  <c r="O33" i="12" l="1"/>
  <c r="O20" i="12" s="1"/>
  <c r="N200" i="9" l="1"/>
  <c r="H228" i="9"/>
  <c r="M200" i="9"/>
  <c r="O200" i="9"/>
  <c r="O203" i="9"/>
  <c r="M203" i="9"/>
  <c r="I200" i="9"/>
  <c r="H200" i="9"/>
  <c r="H223" i="9"/>
  <c r="H489" i="9" l="1"/>
  <c r="H488" i="9" s="1"/>
  <c r="N490" i="9"/>
  <c r="O490" i="9" s="1"/>
  <c r="I490" i="9"/>
  <c r="H185" i="9" l="1"/>
  <c r="H177" i="9"/>
  <c r="H296" i="9" l="1"/>
  <c r="H222" i="9"/>
  <c r="O315" i="9"/>
  <c r="N315" i="9"/>
  <c r="O316" i="9"/>
  <c r="N316" i="9"/>
  <c r="O318" i="9"/>
  <c r="N318" i="9"/>
  <c r="O319" i="9"/>
  <c r="N319" i="9"/>
  <c r="I318" i="9"/>
  <c r="I319" i="9"/>
  <c r="H110" i="9"/>
  <c r="I225" i="9" l="1"/>
  <c r="H461" i="9" l="1"/>
  <c r="H473" i="9"/>
  <c r="O475" i="9"/>
  <c r="N475" i="9"/>
  <c r="I475" i="9"/>
  <c r="I485" i="9"/>
  <c r="O497" i="9" l="1"/>
  <c r="N497" i="9"/>
  <c r="H496" i="9"/>
  <c r="I497" i="9"/>
  <c r="N350" i="9"/>
  <c r="O350" i="9" s="1"/>
  <c r="I350" i="9"/>
  <c r="H225" i="9"/>
  <c r="H190" i="9"/>
  <c r="O215" i="9" l="1"/>
  <c r="N215" i="9"/>
  <c r="I215" i="9"/>
  <c r="H90" i="9"/>
  <c r="H96" i="9"/>
  <c r="O98" i="9"/>
  <c r="N98" i="9"/>
  <c r="H97" i="9"/>
  <c r="I98" i="9"/>
  <c r="H91" i="9" l="1"/>
  <c r="I91" i="9"/>
  <c r="H92" i="9"/>
  <c r="I369" i="9"/>
  <c r="O235" i="9" l="1"/>
  <c r="I235" i="9"/>
  <c r="H235" i="9"/>
  <c r="O237" i="9"/>
  <c r="N237" i="9"/>
  <c r="I237" i="9"/>
  <c r="O474" i="9"/>
  <c r="I474" i="9"/>
  <c r="I469" i="9"/>
  <c r="I122" i="9"/>
  <c r="O476" i="9"/>
  <c r="N476" i="9"/>
  <c r="O477" i="9"/>
  <c r="N477" i="9"/>
  <c r="I477" i="9"/>
  <c r="I476" i="9"/>
  <c r="H306" i="9" l="1"/>
  <c r="H302" i="9"/>
  <c r="H282" i="9"/>
  <c r="I280" i="9"/>
  <c r="O224" i="9"/>
  <c r="O225" i="9"/>
  <c r="N225" i="9"/>
  <c r="I224" i="9"/>
  <c r="H224" i="9"/>
  <c r="N224" i="9" s="1"/>
  <c r="N457" i="9" l="1"/>
  <c r="O457" i="9" s="1"/>
  <c r="L457" i="9"/>
  <c r="N465" i="9"/>
  <c r="O465" i="9" s="1"/>
  <c r="L465" i="9"/>
  <c r="I465" i="9"/>
  <c r="H455" i="9"/>
  <c r="I457" i="9"/>
  <c r="N439" i="9"/>
  <c r="N441" i="9"/>
  <c r="K438" i="9"/>
  <c r="N332" i="9"/>
  <c r="K331" i="9"/>
  <c r="K328" i="9" s="1"/>
  <c r="N328" i="9" s="1"/>
  <c r="L332" i="9"/>
  <c r="L331" i="9" s="1"/>
  <c r="O331" i="9" s="1"/>
  <c r="N331" i="9" l="1"/>
  <c r="O332" i="9"/>
  <c r="O439" i="9"/>
  <c r="N222" i="9"/>
  <c r="O222" i="9" s="1"/>
  <c r="H221" i="9"/>
  <c r="I222" i="9"/>
  <c r="N88" i="9" l="1"/>
  <c r="K87" i="9"/>
  <c r="N87" i="9" s="1"/>
  <c r="L88" i="9"/>
  <c r="O88" i="9" s="1"/>
  <c r="L87" i="9" l="1"/>
  <c r="K86" i="9"/>
  <c r="N86" i="9" s="1"/>
  <c r="I282" i="9"/>
  <c r="N364" i="9"/>
  <c r="H362" i="9"/>
  <c r="I362" i="9" s="1"/>
  <c r="I364" i="9"/>
  <c r="O364" i="9" s="1"/>
  <c r="O362" i="9" s="1"/>
  <c r="N366" i="9"/>
  <c r="O366" i="9" s="1"/>
  <c r="I366" i="9"/>
  <c r="N362" i="9" l="1"/>
  <c r="O87" i="9"/>
  <c r="L86" i="9"/>
  <c r="O86" i="9" s="1"/>
  <c r="N46" i="9"/>
  <c r="O46" i="9" s="1"/>
  <c r="H43" i="9"/>
  <c r="I46" i="9"/>
  <c r="I193" i="9" l="1"/>
  <c r="I94" i="9" l="1"/>
  <c r="I227" i="9" l="1"/>
  <c r="H487" i="9" l="1"/>
  <c r="I303" i="9" l="1"/>
  <c r="I304" i="9"/>
  <c r="I258" i="9" l="1"/>
  <c r="N489" i="9" l="1"/>
  <c r="O489" i="9" s="1"/>
  <c r="I489" i="9"/>
  <c r="N169" i="9" l="1"/>
  <c r="L198" i="8" l="1"/>
  <c r="K198" i="8"/>
  <c r="K168" i="9" l="1"/>
  <c r="L169" i="9"/>
  <c r="N199" i="9" l="1"/>
  <c r="O199" i="9" s="1"/>
  <c r="I199" i="9"/>
  <c r="H168" i="9" l="1"/>
  <c r="N170" i="9"/>
  <c r="N168" i="9" s="1"/>
  <c r="O171" i="9"/>
  <c r="N171" i="9"/>
  <c r="I170" i="9"/>
  <c r="O170" i="9" s="1"/>
  <c r="I171" i="9"/>
  <c r="I169" i="9"/>
  <c r="I168" i="9" l="1"/>
  <c r="H84" i="9"/>
  <c r="H308" i="9" l="1"/>
  <c r="N300" i="9"/>
  <c r="O300" i="9" s="1"/>
  <c r="I300" i="9"/>
  <c r="N309" i="9" l="1"/>
  <c r="N310" i="9"/>
  <c r="L309" i="9"/>
  <c r="O309" i="9" s="1"/>
  <c r="L310" i="9"/>
  <c r="O310" i="9" s="1"/>
  <c r="N311" i="9"/>
  <c r="N312" i="9"/>
  <c r="L311" i="9"/>
  <c r="O311" i="9" s="1"/>
  <c r="L312" i="9"/>
  <c r="O312" i="9" s="1"/>
  <c r="I446" i="9" l="1"/>
  <c r="N393" i="9" l="1"/>
  <c r="O393" i="9" s="1"/>
  <c r="I393" i="9"/>
  <c r="N84" i="9"/>
  <c r="O84" i="9" s="1"/>
  <c r="I84" i="9"/>
  <c r="N45" i="9" l="1"/>
  <c r="O45" i="9" s="1"/>
  <c r="I45" i="9"/>
  <c r="I190" i="9" l="1"/>
  <c r="I325" i="9" l="1"/>
  <c r="N486" i="9" l="1"/>
  <c r="O486" i="9" s="1"/>
  <c r="H484" i="9"/>
  <c r="I486" i="9"/>
  <c r="N306" i="9" l="1"/>
  <c r="O306" i="9" s="1"/>
  <c r="H305" i="9"/>
  <c r="I306" i="9"/>
  <c r="I302" i="9"/>
  <c r="N185" i="9"/>
  <c r="O185" i="9" s="1"/>
  <c r="H184" i="9"/>
  <c r="I185" i="9"/>
  <c r="M34" i="8" l="1"/>
  <c r="M112" i="9"/>
  <c r="M113" i="9"/>
  <c r="M114" i="9"/>
  <c r="M115" i="9"/>
  <c r="M116" i="9"/>
  <c r="I115" i="9"/>
  <c r="I116" i="9"/>
  <c r="O116" i="9" s="1"/>
  <c r="O102" i="9"/>
  <c r="M102" i="9"/>
  <c r="M485" i="9"/>
  <c r="M484" i="9" s="1"/>
  <c r="M483" i="9" s="1"/>
  <c r="I484" i="9"/>
  <c r="I483" i="9" s="1"/>
  <c r="M459" i="9"/>
  <c r="I459" i="9"/>
  <c r="G458" i="9"/>
  <c r="I458" i="9" s="1"/>
  <c r="O458" i="9" s="1"/>
  <c r="M337" i="9"/>
  <c r="G335" i="9"/>
  <c r="I337" i="9"/>
  <c r="M288" i="9"/>
  <c r="M287" i="9" s="1"/>
  <c r="M286" i="9" s="1"/>
  <c r="G288" i="9"/>
  <c r="M289" i="9"/>
  <c r="G287" i="9"/>
  <c r="G286" i="9" s="1"/>
  <c r="I289" i="9"/>
  <c r="I288" i="9" s="1"/>
  <c r="I271" i="9"/>
  <c r="I270" i="9" s="1"/>
  <c r="M244" i="9"/>
  <c r="I244" i="9"/>
  <c r="O244" i="9" s="1"/>
  <c r="M208" i="9"/>
  <c r="M209" i="9"/>
  <c r="L208" i="9"/>
  <c r="L209" i="9"/>
  <c r="I208" i="9"/>
  <c r="I209" i="9"/>
  <c r="M191" i="9"/>
  <c r="M192" i="9"/>
  <c r="M193" i="9"/>
  <c r="O496" i="9"/>
  <c r="O495" i="9" s="1"/>
  <c r="O494" i="9" s="1"/>
  <c r="O493" i="9" s="1"/>
  <c r="O492" i="9" s="1"/>
  <c r="O491" i="9" s="1"/>
  <c r="N496" i="9"/>
  <c r="N495" i="9" s="1"/>
  <c r="N494" i="9" s="1"/>
  <c r="N493" i="9" s="1"/>
  <c r="N492" i="9" s="1"/>
  <c r="N491" i="9" s="1"/>
  <c r="M496" i="9"/>
  <c r="M495" i="9" s="1"/>
  <c r="M494" i="9" s="1"/>
  <c r="M493" i="9" s="1"/>
  <c r="M492" i="9" s="1"/>
  <c r="M491" i="9" s="1"/>
  <c r="L496" i="9"/>
  <c r="L495" i="9" s="1"/>
  <c r="L494" i="9" s="1"/>
  <c r="L493" i="9" s="1"/>
  <c r="L492" i="9" s="1"/>
  <c r="L491" i="9" s="1"/>
  <c r="J496" i="9"/>
  <c r="J495" i="9" s="1"/>
  <c r="J494" i="9" s="1"/>
  <c r="J493" i="9" s="1"/>
  <c r="J492" i="9" s="1"/>
  <c r="J491" i="9" s="1"/>
  <c r="I496" i="9"/>
  <c r="I495" i="9" s="1"/>
  <c r="I494" i="9" s="1"/>
  <c r="I493" i="9" s="1"/>
  <c r="I492" i="9" s="1"/>
  <c r="I491" i="9" s="1"/>
  <c r="G496" i="9"/>
  <c r="G495" i="9" s="1"/>
  <c r="G494" i="9" s="1"/>
  <c r="G493" i="9" s="1"/>
  <c r="G492" i="9" s="1"/>
  <c r="G491" i="9" s="1"/>
  <c r="K495" i="9"/>
  <c r="K494" i="9" s="1"/>
  <c r="K493" i="9" s="1"/>
  <c r="K492" i="9" s="1"/>
  <c r="K491" i="9" s="1"/>
  <c r="K490" i="9" s="1"/>
  <c r="H495" i="9"/>
  <c r="H494" i="9" s="1"/>
  <c r="H493" i="9" s="1"/>
  <c r="H492" i="9" s="1"/>
  <c r="H491" i="9" s="1"/>
  <c r="O488" i="9"/>
  <c r="O487" i="9" s="1"/>
  <c r="M490" i="9"/>
  <c r="I488" i="9"/>
  <c r="I487" i="9" s="1"/>
  <c r="G490" i="9"/>
  <c r="M489" i="9"/>
  <c r="G489" i="9"/>
  <c r="N488" i="9"/>
  <c r="N487" i="9" s="1"/>
  <c r="L488" i="9"/>
  <c r="L487" i="9" s="1"/>
  <c r="J488" i="9"/>
  <c r="J487" i="9" s="1"/>
  <c r="K487" i="9"/>
  <c r="K486" i="9" s="1"/>
  <c r="N485" i="9"/>
  <c r="N484" i="9" s="1"/>
  <c r="N483" i="9" s="1"/>
  <c r="L484" i="9"/>
  <c r="L483" i="9" s="1"/>
  <c r="J484" i="9"/>
  <c r="J483" i="9" s="1"/>
  <c r="H483" i="9"/>
  <c r="H482" i="9" s="1"/>
  <c r="G484" i="9"/>
  <c r="G483" i="9" s="1"/>
  <c r="K482" i="9"/>
  <c r="M476" i="9"/>
  <c r="G476" i="9"/>
  <c r="M475" i="9"/>
  <c r="M474" i="9" s="1"/>
  <c r="M473" i="9" s="1"/>
  <c r="M472" i="9" s="1"/>
  <c r="G475" i="9"/>
  <c r="G474" i="9" s="1"/>
  <c r="G473" i="9" s="1"/>
  <c r="G472" i="9" s="1"/>
  <c r="O473" i="9"/>
  <c r="O472" i="9" s="1"/>
  <c r="L474" i="9"/>
  <c r="L473" i="9" s="1"/>
  <c r="L472" i="9" s="1"/>
  <c r="J474" i="9"/>
  <c r="J473" i="9" s="1"/>
  <c r="J472" i="9" s="1"/>
  <c r="K473" i="9"/>
  <c r="K472" i="9" s="1"/>
  <c r="O471" i="9"/>
  <c r="M471" i="9"/>
  <c r="I471" i="9"/>
  <c r="G471" i="9"/>
  <c r="G468" i="9" s="1"/>
  <c r="G467" i="9" s="1"/>
  <c r="N470" i="9"/>
  <c r="M470" i="9"/>
  <c r="I470" i="9"/>
  <c r="O470" i="9" s="1"/>
  <c r="N469" i="9"/>
  <c r="M469" i="9"/>
  <c r="L468" i="9"/>
  <c r="L467" i="9" s="1"/>
  <c r="J468" i="9"/>
  <c r="J467" i="9" s="1"/>
  <c r="H468" i="9"/>
  <c r="H467" i="9" s="1"/>
  <c r="K467" i="9"/>
  <c r="N466" i="9"/>
  <c r="M466" i="9"/>
  <c r="I466" i="9"/>
  <c r="M465" i="9"/>
  <c r="G465" i="9"/>
  <c r="G464" i="9" s="1"/>
  <c r="G463" i="9" s="1"/>
  <c r="L464" i="9"/>
  <c r="L463" i="9" s="1"/>
  <c r="L462" i="9" s="1"/>
  <c r="J464" i="9"/>
  <c r="J463" i="9" s="1"/>
  <c r="H463" i="9"/>
  <c r="K462" i="9"/>
  <c r="K461" i="9" s="1"/>
  <c r="K460" i="9" s="1"/>
  <c r="N459" i="9"/>
  <c r="O459" i="9"/>
  <c r="N458" i="9"/>
  <c r="M457" i="9"/>
  <c r="M456" i="9" s="1"/>
  <c r="I456" i="9"/>
  <c r="G457" i="9"/>
  <c r="G456" i="9" s="1"/>
  <c r="O456" i="9"/>
  <c r="N456" i="9"/>
  <c r="L456" i="9"/>
  <c r="L455" i="9" s="1"/>
  <c r="L454" i="9" s="1"/>
  <c r="L453" i="9" s="1"/>
  <c r="L452" i="9" s="1"/>
  <c r="J456" i="9"/>
  <c r="J455" i="9" s="1"/>
  <c r="J454" i="9" s="1"/>
  <c r="J453" i="9" s="1"/>
  <c r="J452" i="9" s="1"/>
  <c r="K455" i="9"/>
  <c r="N455" i="9" s="1"/>
  <c r="N454" i="9" s="1"/>
  <c r="N453" i="9" s="1"/>
  <c r="N452" i="9" s="1"/>
  <c r="H454" i="9"/>
  <c r="H453" i="9" s="1"/>
  <c r="H452" i="9" s="1"/>
  <c r="K454" i="9"/>
  <c r="K453" i="9" s="1"/>
  <c r="K452" i="9" s="1"/>
  <c r="O451" i="9"/>
  <c r="M451" i="9"/>
  <c r="O450" i="9"/>
  <c r="M450" i="9"/>
  <c r="O449" i="9"/>
  <c r="M449" i="9"/>
  <c r="O448" i="9"/>
  <c r="O447" i="9" s="1"/>
  <c r="M448" i="9"/>
  <c r="M447" i="9" s="1"/>
  <c r="N447" i="9"/>
  <c r="L447" i="9"/>
  <c r="J447" i="9"/>
  <c r="I447" i="9"/>
  <c r="G447" i="9"/>
  <c r="N446" i="9"/>
  <c r="M446" i="9"/>
  <c r="M445" i="9" s="1"/>
  <c r="L445" i="9"/>
  <c r="J445" i="9"/>
  <c r="H445" i="9"/>
  <c r="G445" i="9"/>
  <c r="N444" i="9"/>
  <c r="M444" i="9"/>
  <c r="L444" i="9"/>
  <c r="I444" i="9"/>
  <c r="K443" i="9"/>
  <c r="K437" i="9" s="1"/>
  <c r="K436" i="9" s="1"/>
  <c r="J443" i="9"/>
  <c r="H443" i="9"/>
  <c r="G443" i="9"/>
  <c r="O442" i="9"/>
  <c r="M442" i="9"/>
  <c r="I442" i="9"/>
  <c r="G442" i="9"/>
  <c r="O441" i="9"/>
  <c r="M441" i="9"/>
  <c r="I441" i="9"/>
  <c r="G441" i="9"/>
  <c r="O440" i="9"/>
  <c r="N440" i="9"/>
  <c r="N438" i="9" s="1"/>
  <c r="N437" i="9" s="1"/>
  <c r="N436" i="9" s="1"/>
  <c r="M440" i="9"/>
  <c r="I440" i="9"/>
  <c r="M439" i="9"/>
  <c r="I439" i="9"/>
  <c r="G439" i="9"/>
  <c r="J438" i="9"/>
  <c r="H438" i="9"/>
  <c r="H437" i="9" s="1"/>
  <c r="H436" i="9" s="1"/>
  <c r="G438" i="9"/>
  <c r="G437" i="9" s="1"/>
  <c r="G436" i="9" s="1"/>
  <c r="O434" i="9"/>
  <c r="N434" i="9"/>
  <c r="M434" i="9"/>
  <c r="L434" i="9"/>
  <c r="J434" i="9"/>
  <c r="I434" i="9"/>
  <c r="G434" i="9"/>
  <c r="O433" i="9"/>
  <c r="M433" i="9"/>
  <c r="I433" i="9"/>
  <c r="I432" i="9" s="1"/>
  <c r="G433" i="9"/>
  <c r="G432" i="9" s="1"/>
  <c r="O432" i="9"/>
  <c r="N432" i="9"/>
  <c r="M432" i="9"/>
  <c r="L432" i="9"/>
  <c r="J432" i="9"/>
  <c r="N431" i="9"/>
  <c r="N430" i="9" s="1"/>
  <c r="M431" i="9"/>
  <c r="I431" i="9"/>
  <c r="I430" i="9" s="1"/>
  <c r="M430" i="9"/>
  <c r="L430" i="9"/>
  <c r="J430" i="9"/>
  <c r="H430" i="9"/>
  <c r="H429" i="9" s="1"/>
  <c r="H428" i="9" s="1"/>
  <c r="H427" i="9" s="1"/>
  <c r="H426" i="9" s="1"/>
  <c r="G430" i="9"/>
  <c r="K429" i="9"/>
  <c r="K428" i="9" s="1"/>
  <c r="O423" i="9"/>
  <c r="O422" i="9" s="1"/>
  <c r="O421" i="9" s="1"/>
  <c r="O420" i="9" s="1"/>
  <c r="O419" i="9" s="1"/>
  <c r="O418" i="9" s="1"/>
  <c r="O417" i="9" s="1"/>
  <c r="N423" i="9"/>
  <c r="N422" i="9" s="1"/>
  <c r="N421" i="9" s="1"/>
  <c r="M423" i="9"/>
  <c r="M422" i="9" s="1"/>
  <c r="M421" i="9" s="1"/>
  <c r="M420" i="9" s="1"/>
  <c r="M419" i="9" s="1"/>
  <c r="M418" i="9" s="1"/>
  <c r="M417" i="9" s="1"/>
  <c r="L422" i="9"/>
  <c r="L421" i="9" s="1"/>
  <c r="L420" i="9" s="1"/>
  <c r="L419" i="9" s="1"/>
  <c r="L418" i="9" s="1"/>
  <c r="L417" i="9" s="1"/>
  <c r="J422" i="9"/>
  <c r="J421" i="9" s="1"/>
  <c r="J420" i="9" s="1"/>
  <c r="I422" i="9"/>
  <c r="H422" i="9"/>
  <c r="H421" i="9" s="1"/>
  <c r="H420" i="9" s="1"/>
  <c r="H419" i="9" s="1"/>
  <c r="H418" i="9" s="1"/>
  <c r="H417" i="9" s="1"/>
  <c r="G422" i="9"/>
  <c r="G421" i="9" s="1"/>
  <c r="G420" i="9" s="1"/>
  <c r="G419" i="9" s="1"/>
  <c r="G418" i="9" s="1"/>
  <c r="G417" i="9" s="1"/>
  <c r="K421" i="9"/>
  <c r="K420" i="9" s="1"/>
  <c r="I421" i="9"/>
  <c r="I420" i="9" s="1"/>
  <c r="I419" i="9" s="1"/>
  <c r="I418" i="9" s="1"/>
  <c r="I417" i="9" s="1"/>
  <c r="N420" i="9"/>
  <c r="N419" i="9" s="1"/>
  <c r="N418" i="9" s="1"/>
  <c r="N417" i="9" s="1"/>
  <c r="K419" i="9"/>
  <c r="K418" i="9" s="1"/>
  <c r="K417" i="9" s="1"/>
  <c r="K416" i="9" s="1"/>
  <c r="J419" i="9"/>
  <c r="J418" i="9" s="1"/>
  <c r="J417" i="9" s="1"/>
  <c r="O415" i="9"/>
  <c r="O414" i="9" s="1"/>
  <c r="O413" i="9" s="1"/>
  <c r="N415" i="9"/>
  <c r="N414" i="9" s="1"/>
  <c r="N413" i="9" s="1"/>
  <c r="M415" i="9"/>
  <c r="M414" i="9" s="1"/>
  <c r="M413" i="9" s="1"/>
  <c r="L415" i="9"/>
  <c r="L414" i="9" s="1"/>
  <c r="L413" i="9" s="1"/>
  <c r="J415" i="9"/>
  <c r="J414" i="9" s="1"/>
  <c r="J413" i="9" s="1"/>
  <c r="I415" i="9"/>
  <c r="I414" i="9" s="1"/>
  <c r="I413" i="9" s="1"/>
  <c r="G415" i="9"/>
  <c r="G414" i="9" s="1"/>
  <c r="G413" i="9" s="1"/>
  <c r="K414" i="9"/>
  <c r="K413" i="9" s="1"/>
  <c r="H414" i="9"/>
  <c r="H413" i="9" s="1"/>
  <c r="O410" i="9"/>
  <c r="O409" i="9" s="1"/>
  <c r="O408" i="9" s="1"/>
  <c r="O407" i="9" s="1"/>
  <c r="O406" i="9" s="1"/>
  <c r="N410" i="9"/>
  <c r="N409" i="9" s="1"/>
  <c r="N408" i="9" s="1"/>
  <c r="M410" i="9"/>
  <c r="L410" i="9"/>
  <c r="L409" i="9" s="1"/>
  <c r="L408" i="9" s="1"/>
  <c r="J410" i="9"/>
  <c r="J409" i="9" s="1"/>
  <c r="J408" i="9" s="1"/>
  <c r="J407" i="9" s="1"/>
  <c r="J406" i="9" s="1"/>
  <c r="I410" i="9"/>
  <c r="I409" i="9" s="1"/>
  <c r="I408" i="9" s="1"/>
  <c r="G410" i="9"/>
  <c r="M409" i="9"/>
  <c r="M408" i="9" s="1"/>
  <c r="K409" i="9"/>
  <c r="K408" i="9" s="1"/>
  <c r="K407" i="9" s="1"/>
  <c r="K406" i="9" s="1"/>
  <c r="H409" i="9"/>
  <c r="H408" i="9" s="1"/>
  <c r="H407" i="9" s="1"/>
  <c r="H406" i="9" s="1"/>
  <c r="G409" i="9"/>
  <c r="G408" i="9" s="1"/>
  <c r="O404" i="9"/>
  <c r="O403" i="9" s="1"/>
  <c r="O402" i="9" s="1"/>
  <c r="O401" i="9" s="1"/>
  <c r="O400" i="9" s="1"/>
  <c r="N404" i="9"/>
  <c r="N403" i="9" s="1"/>
  <c r="N402" i="9" s="1"/>
  <c r="N401" i="9" s="1"/>
  <c r="N400" i="9" s="1"/>
  <c r="M404" i="9"/>
  <c r="M403" i="9" s="1"/>
  <c r="M402" i="9" s="1"/>
  <c r="M401" i="9" s="1"/>
  <c r="M400" i="9" s="1"/>
  <c r="L404" i="9"/>
  <c r="J404" i="9"/>
  <c r="J403" i="9" s="1"/>
  <c r="J402" i="9" s="1"/>
  <c r="J401" i="9" s="1"/>
  <c r="J400" i="9" s="1"/>
  <c r="I404" i="9"/>
  <c r="I403" i="9" s="1"/>
  <c r="I402" i="9" s="1"/>
  <c r="I401" i="9" s="1"/>
  <c r="I400" i="9" s="1"/>
  <c r="G404" i="9"/>
  <c r="G403" i="9" s="1"/>
  <c r="G402" i="9" s="1"/>
  <c r="G401" i="9" s="1"/>
  <c r="G400" i="9" s="1"/>
  <c r="L403" i="9"/>
  <c r="L402" i="9" s="1"/>
  <c r="L401" i="9" s="1"/>
  <c r="L400" i="9" s="1"/>
  <c r="K403" i="9"/>
  <c r="K402" i="9" s="1"/>
  <c r="K401" i="9" s="1"/>
  <c r="K400" i="9" s="1"/>
  <c r="H403" i="9"/>
  <c r="H402" i="9" s="1"/>
  <c r="H401" i="9" s="1"/>
  <c r="H400" i="9" s="1"/>
  <c r="O399" i="9"/>
  <c r="O398" i="9" s="1"/>
  <c r="O397" i="9" s="1"/>
  <c r="O396" i="9" s="1"/>
  <c r="O395" i="9" s="1"/>
  <c r="O394" i="9" s="1"/>
  <c r="M399" i="9"/>
  <c r="M398" i="9" s="1"/>
  <c r="M397" i="9" s="1"/>
  <c r="M396" i="9" s="1"/>
  <c r="M395" i="9" s="1"/>
  <c r="M394" i="9" s="1"/>
  <c r="N398" i="9"/>
  <c r="N397" i="9" s="1"/>
  <c r="N396" i="9" s="1"/>
  <c r="N395" i="9" s="1"/>
  <c r="N394" i="9" s="1"/>
  <c r="L398" i="9"/>
  <c r="L397" i="9" s="1"/>
  <c r="L396" i="9" s="1"/>
  <c r="L395" i="9" s="1"/>
  <c r="L394" i="9" s="1"/>
  <c r="J398" i="9"/>
  <c r="J397" i="9" s="1"/>
  <c r="J396" i="9" s="1"/>
  <c r="J395" i="9" s="1"/>
  <c r="J394" i="9" s="1"/>
  <c r="I398" i="9"/>
  <c r="I397" i="9" s="1"/>
  <c r="I396" i="9" s="1"/>
  <c r="I395" i="9" s="1"/>
  <c r="I394" i="9" s="1"/>
  <c r="G398" i="9"/>
  <c r="G397" i="9" s="1"/>
  <c r="G396" i="9" s="1"/>
  <c r="G395" i="9" s="1"/>
  <c r="G394" i="9" s="1"/>
  <c r="K397" i="9"/>
  <c r="K396" i="9" s="1"/>
  <c r="K395" i="9" s="1"/>
  <c r="K394" i="9" s="1"/>
  <c r="H397" i="9"/>
  <c r="H396" i="9" s="1"/>
  <c r="H395" i="9" s="1"/>
  <c r="H394" i="9" s="1"/>
  <c r="O392" i="9"/>
  <c r="O391" i="9" s="1"/>
  <c r="O390" i="9" s="1"/>
  <c r="O389" i="9" s="1"/>
  <c r="O388" i="9" s="1"/>
  <c r="N392" i="9"/>
  <c r="N391" i="9" s="1"/>
  <c r="N390" i="9" s="1"/>
  <c r="N389" i="9" s="1"/>
  <c r="N388" i="9" s="1"/>
  <c r="M392" i="9"/>
  <c r="M391" i="9" s="1"/>
  <c r="M390" i="9" s="1"/>
  <c r="M389" i="9" s="1"/>
  <c r="M388" i="9" s="1"/>
  <c r="L392" i="9"/>
  <c r="L391" i="9" s="1"/>
  <c r="L390" i="9" s="1"/>
  <c r="L389" i="9" s="1"/>
  <c r="L388" i="9" s="1"/>
  <c r="J392" i="9"/>
  <c r="J391" i="9" s="1"/>
  <c r="J390" i="9" s="1"/>
  <c r="J389" i="9" s="1"/>
  <c r="J388" i="9" s="1"/>
  <c r="I392" i="9"/>
  <c r="I391" i="9" s="1"/>
  <c r="I390" i="9" s="1"/>
  <c r="I389" i="9" s="1"/>
  <c r="I388" i="9" s="1"/>
  <c r="G392" i="9"/>
  <c r="K391" i="9"/>
  <c r="K390" i="9" s="1"/>
  <c r="K389" i="9" s="1"/>
  <c r="K388" i="9" s="1"/>
  <c r="H391" i="9"/>
  <c r="H390" i="9" s="1"/>
  <c r="H389" i="9" s="1"/>
  <c r="H388" i="9" s="1"/>
  <c r="G391" i="9"/>
  <c r="G390" i="9" s="1"/>
  <c r="G389" i="9" s="1"/>
  <c r="G388" i="9" s="1"/>
  <c r="O386" i="9"/>
  <c r="O385" i="9" s="1"/>
  <c r="O384" i="9" s="1"/>
  <c r="O383" i="9" s="1"/>
  <c r="O382" i="9" s="1"/>
  <c r="N386" i="9"/>
  <c r="N385" i="9" s="1"/>
  <c r="N384" i="9" s="1"/>
  <c r="N383" i="9" s="1"/>
  <c r="N382" i="9" s="1"/>
  <c r="M386" i="9"/>
  <c r="M385" i="9" s="1"/>
  <c r="M384" i="9" s="1"/>
  <c r="M383" i="9" s="1"/>
  <c r="M382" i="9" s="1"/>
  <c r="L386" i="9"/>
  <c r="J386" i="9"/>
  <c r="J385" i="9" s="1"/>
  <c r="J384" i="9" s="1"/>
  <c r="J383" i="9" s="1"/>
  <c r="J382" i="9" s="1"/>
  <c r="I386" i="9"/>
  <c r="I385" i="9" s="1"/>
  <c r="I384" i="9" s="1"/>
  <c r="I383" i="9" s="1"/>
  <c r="I382" i="9" s="1"/>
  <c r="G386" i="9"/>
  <c r="G385" i="9" s="1"/>
  <c r="G384" i="9" s="1"/>
  <c r="G383" i="9" s="1"/>
  <c r="G382" i="9" s="1"/>
  <c r="L385" i="9"/>
  <c r="L384" i="9" s="1"/>
  <c r="L383" i="9" s="1"/>
  <c r="L382" i="9" s="1"/>
  <c r="K385" i="9"/>
  <c r="K384" i="9" s="1"/>
  <c r="K383" i="9" s="1"/>
  <c r="K382" i="9" s="1"/>
  <c r="K381" i="9" s="1"/>
  <c r="H385" i="9"/>
  <c r="H384" i="9" s="1"/>
  <c r="H383" i="9" s="1"/>
  <c r="H382" i="9" s="1"/>
  <c r="O379" i="9"/>
  <c r="O378" i="9" s="1"/>
  <c r="O377" i="9" s="1"/>
  <c r="O376" i="9" s="1"/>
  <c r="N379" i="9"/>
  <c r="N378" i="9" s="1"/>
  <c r="N377" i="9" s="1"/>
  <c r="N376" i="9" s="1"/>
  <c r="M379" i="9"/>
  <c r="M378" i="9" s="1"/>
  <c r="M377" i="9" s="1"/>
  <c r="M376" i="9" s="1"/>
  <c r="L379" i="9"/>
  <c r="L378" i="9" s="1"/>
  <c r="L377" i="9" s="1"/>
  <c r="L376" i="9" s="1"/>
  <c r="J379" i="9"/>
  <c r="J378" i="9" s="1"/>
  <c r="J377" i="9" s="1"/>
  <c r="J376" i="9" s="1"/>
  <c r="I379" i="9"/>
  <c r="G379" i="9"/>
  <c r="G378" i="9" s="1"/>
  <c r="G377" i="9" s="1"/>
  <c r="G376" i="9" s="1"/>
  <c r="K378" i="9"/>
  <c r="K377" i="9" s="1"/>
  <c r="K376" i="9" s="1"/>
  <c r="I378" i="9"/>
  <c r="I377" i="9" s="1"/>
  <c r="I376" i="9" s="1"/>
  <c r="H378" i="9"/>
  <c r="H377" i="9" s="1"/>
  <c r="H376" i="9" s="1"/>
  <c r="N375" i="9"/>
  <c r="M375" i="9"/>
  <c r="L375" i="9"/>
  <c r="O375" i="9" s="1"/>
  <c r="N374" i="9"/>
  <c r="M374" i="9"/>
  <c r="N373" i="9"/>
  <c r="M373" i="9"/>
  <c r="O373" i="9" s="1"/>
  <c r="O372" i="9" s="1"/>
  <c r="I373" i="9"/>
  <c r="N372" i="9"/>
  <c r="L372" i="9"/>
  <c r="J372" i="9"/>
  <c r="I372" i="9"/>
  <c r="G372" i="9"/>
  <c r="N370" i="9"/>
  <c r="M370" i="9"/>
  <c r="L370" i="9"/>
  <c r="I370" i="9"/>
  <c r="O370" i="9" s="1"/>
  <c r="N369" i="9"/>
  <c r="M369" i="9"/>
  <c r="L368" i="9"/>
  <c r="K368" i="9"/>
  <c r="J368" i="9"/>
  <c r="J367" i="9" s="1"/>
  <c r="H368" i="9"/>
  <c r="H367" i="9" s="1"/>
  <c r="G368" i="9"/>
  <c r="G367" i="9" s="1"/>
  <c r="K367" i="9"/>
  <c r="O365" i="9"/>
  <c r="N365" i="9"/>
  <c r="N361" i="9" s="1"/>
  <c r="M365" i="9"/>
  <c r="L365" i="9"/>
  <c r="J365" i="9"/>
  <c r="I365" i="9"/>
  <c r="I361" i="9" s="1"/>
  <c r="G365" i="9"/>
  <c r="M362" i="9"/>
  <c r="L362" i="9"/>
  <c r="L361" i="9" s="1"/>
  <c r="J362" i="9"/>
  <c r="G362" i="9"/>
  <c r="G361" i="9" s="1"/>
  <c r="K361" i="9"/>
  <c r="K360" i="9" s="1"/>
  <c r="K359" i="9" s="1"/>
  <c r="K358" i="9" s="1"/>
  <c r="H361" i="9"/>
  <c r="N357" i="9"/>
  <c r="M357" i="9"/>
  <c r="I357" i="9"/>
  <c r="O357" i="9" s="1"/>
  <c r="H356" i="9"/>
  <c r="N356" i="9" s="1"/>
  <c r="G356" i="9"/>
  <c r="M356" i="9" s="1"/>
  <c r="N355" i="9"/>
  <c r="M355" i="9"/>
  <c r="I355" i="9"/>
  <c r="O355" i="9" s="1"/>
  <c r="N354" i="9"/>
  <c r="G354" i="9"/>
  <c r="M354" i="9" s="1"/>
  <c r="N353" i="9"/>
  <c r="N352" i="9" s="1"/>
  <c r="M353" i="9"/>
  <c r="M352" i="9" s="1"/>
  <c r="M351" i="9" s="1"/>
  <c r="I353" i="9"/>
  <c r="I352" i="9" s="1"/>
  <c r="L352" i="9"/>
  <c r="L351" i="9" s="1"/>
  <c r="J352" i="9"/>
  <c r="J351" i="9" s="1"/>
  <c r="H352" i="9"/>
  <c r="H351" i="9" s="1"/>
  <c r="G352" i="9"/>
  <c r="K351" i="9"/>
  <c r="O349" i="9"/>
  <c r="O348" i="9" s="1"/>
  <c r="N349" i="9"/>
  <c r="N348" i="9" s="1"/>
  <c r="M349" i="9"/>
  <c r="M348" i="9" s="1"/>
  <c r="L349" i="9"/>
  <c r="L348" i="9" s="1"/>
  <c r="J349" i="9"/>
  <c r="J348" i="9" s="1"/>
  <c r="I349" i="9"/>
  <c r="I348" i="9" s="1"/>
  <c r="G349" i="9"/>
  <c r="K348" i="9"/>
  <c r="K347" i="9" s="1"/>
  <c r="K346" i="9" s="1"/>
  <c r="K345" i="9" s="1"/>
  <c r="H348" i="9"/>
  <c r="H347" i="9" s="1"/>
  <c r="H346" i="9" s="1"/>
  <c r="G348" i="9"/>
  <c r="N343" i="9"/>
  <c r="M343" i="9"/>
  <c r="M341" i="9" s="1"/>
  <c r="I343" i="9"/>
  <c r="O343" i="9" s="1"/>
  <c r="M342" i="9"/>
  <c r="I342" i="9"/>
  <c r="O342" i="9" s="1"/>
  <c r="H342" i="9"/>
  <c r="I341" i="9"/>
  <c r="O341" i="9" s="1"/>
  <c r="H341" i="9"/>
  <c r="N341" i="9" s="1"/>
  <c r="I340" i="9"/>
  <c r="O340" i="9" s="1"/>
  <c r="N339" i="9"/>
  <c r="M339" i="9"/>
  <c r="I339" i="9"/>
  <c r="O339" i="9" s="1"/>
  <c r="N338" i="9"/>
  <c r="M338" i="9"/>
  <c r="I338" i="9"/>
  <c r="O338" i="9" s="1"/>
  <c r="N337" i="9"/>
  <c r="O337" i="9"/>
  <c r="N336" i="9"/>
  <c r="M336" i="9"/>
  <c r="L335" i="9"/>
  <c r="J335" i="9"/>
  <c r="J334" i="9" s="1"/>
  <c r="H335" i="9"/>
  <c r="H334" i="9" s="1"/>
  <c r="H333" i="9" s="1"/>
  <c r="G334" i="9"/>
  <c r="G333" i="9" s="1"/>
  <c r="L334" i="9"/>
  <c r="L333" i="9" s="1"/>
  <c r="K334" i="9"/>
  <c r="K333" i="9" s="1"/>
  <c r="J333" i="9"/>
  <c r="O329" i="9"/>
  <c r="N329" i="9"/>
  <c r="N327" i="9" s="1"/>
  <c r="M329" i="9"/>
  <c r="M328" i="9" s="1"/>
  <c r="M327" i="9" s="1"/>
  <c r="M326" i="9" s="1"/>
  <c r="L329" i="9"/>
  <c r="L328" i="9" s="1"/>
  <c r="J329" i="9"/>
  <c r="J328" i="9" s="1"/>
  <c r="J327" i="9" s="1"/>
  <c r="J326" i="9" s="1"/>
  <c r="I329" i="9"/>
  <c r="I328" i="9" s="1"/>
  <c r="I327" i="9" s="1"/>
  <c r="I326" i="9" s="1"/>
  <c r="G329" i="9"/>
  <c r="G328" i="9" s="1"/>
  <c r="G327" i="9" s="1"/>
  <c r="G326" i="9" s="1"/>
  <c r="L327" i="9"/>
  <c r="L326" i="9" s="1"/>
  <c r="H328" i="9"/>
  <c r="H327" i="9" s="1"/>
  <c r="K327" i="9"/>
  <c r="K326" i="9" s="1"/>
  <c r="N326" i="9" s="1"/>
  <c r="N325" i="9"/>
  <c r="M325" i="9"/>
  <c r="O325" i="9"/>
  <c r="J324" i="9"/>
  <c r="H324" i="9"/>
  <c r="G324" i="9"/>
  <c r="N323" i="9"/>
  <c r="N322" i="9" s="1"/>
  <c r="M323" i="9"/>
  <c r="M322" i="9" s="1"/>
  <c r="L323" i="9"/>
  <c r="L322" i="9" s="1"/>
  <c r="L321" i="9" s="1"/>
  <c r="L320" i="9" s="1"/>
  <c r="I323" i="9"/>
  <c r="I322" i="9" s="1"/>
  <c r="J322" i="9"/>
  <c r="H322" i="9"/>
  <c r="G322" i="9"/>
  <c r="K321" i="9"/>
  <c r="K320" i="9" s="1"/>
  <c r="N314" i="9"/>
  <c r="M314" i="9"/>
  <c r="L314" i="9"/>
  <c r="L313" i="9" s="1"/>
  <c r="I314" i="9"/>
  <c r="K313" i="9"/>
  <c r="K294" i="9" s="1"/>
  <c r="K293" i="9" s="1"/>
  <c r="K292" i="9" s="1"/>
  <c r="J313" i="9"/>
  <c r="H313" i="9"/>
  <c r="G313" i="9"/>
  <c r="N308" i="9"/>
  <c r="N307" i="9" s="1"/>
  <c r="M308" i="9"/>
  <c r="M307" i="9" s="1"/>
  <c r="L308" i="9"/>
  <c r="L307" i="9" s="1"/>
  <c r="I308" i="9"/>
  <c r="O308" i="9" s="1"/>
  <c r="K307" i="9"/>
  <c r="J307" i="9"/>
  <c r="H307" i="9"/>
  <c r="G307" i="9"/>
  <c r="O305" i="9"/>
  <c r="N305" i="9"/>
  <c r="M305" i="9"/>
  <c r="L305" i="9"/>
  <c r="J305" i="9"/>
  <c r="I305" i="9"/>
  <c r="G305" i="9"/>
  <c r="O304" i="9"/>
  <c r="N304" i="9"/>
  <c r="M304" i="9"/>
  <c r="O303" i="9"/>
  <c r="N303" i="9"/>
  <c r="M303" i="9"/>
  <c r="O302" i="9"/>
  <c r="O301" i="9" s="1"/>
  <c r="N302" i="9"/>
  <c r="N301" i="9" s="1"/>
  <c r="M302" i="9"/>
  <c r="M301" i="9" s="1"/>
  <c r="I301" i="9"/>
  <c r="L301" i="9"/>
  <c r="J301" i="9"/>
  <c r="H301" i="9"/>
  <c r="G301" i="9"/>
  <c r="O299" i="9"/>
  <c r="N299" i="9"/>
  <c r="M299" i="9"/>
  <c r="L299" i="9"/>
  <c r="J299" i="9"/>
  <c r="I299" i="9"/>
  <c r="G299" i="9"/>
  <c r="N298" i="9"/>
  <c r="N297" i="9" s="1"/>
  <c r="M298" i="9"/>
  <c r="M297" i="9" s="1"/>
  <c r="L298" i="9"/>
  <c r="L297" i="9" s="1"/>
  <c r="I298" i="9"/>
  <c r="K297" i="9"/>
  <c r="J297" i="9"/>
  <c r="H297" i="9"/>
  <c r="G297" i="9"/>
  <c r="N296" i="9"/>
  <c r="N295" i="9" s="1"/>
  <c r="M296" i="9"/>
  <c r="M295" i="9" s="1"/>
  <c r="I296" i="9"/>
  <c r="O296" i="9" s="1"/>
  <c r="O295" i="9" s="1"/>
  <c r="L295" i="9"/>
  <c r="J295" i="9"/>
  <c r="H295" i="9"/>
  <c r="G295" i="9"/>
  <c r="N290" i="9"/>
  <c r="O290" i="9" s="1"/>
  <c r="I290" i="9"/>
  <c r="N289" i="9"/>
  <c r="N288" i="9"/>
  <c r="N287" i="9"/>
  <c r="N286" i="9"/>
  <c r="N285" i="9"/>
  <c r="M285" i="9"/>
  <c r="I285" i="9"/>
  <c r="O285" i="9" s="1"/>
  <c r="H284" i="9"/>
  <c r="N284" i="9" s="1"/>
  <c r="H283" i="9"/>
  <c r="N283" i="9" s="1"/>
  <c r="G283" i="9"/>
  <c r="M283" i="9" s="1"/>
  <c r="N282" i="9"/>
  <c r="N281" i="9" s="1"/>
  <c r="M282" i="9"/>
  <c r="M281" i="9" s="1"/>
  <c r="L282" i="9"/>
  <c r="O282" i="9" s="1"/>
  <c r="O281" i="9" s="1"/>
  <c r="J281" i="9"/>
  <c r="I281" i="9"/>
  <c r="H281" i="9"/>
  <c r="G281" i="9"/>
  <c r="N280" i="9"/>
  <c r="M280" i="9"/>
  <c r="N279" i="9"/>
  <c r="M279" i="9"/>
  <c r="K279" i="9"/>
  <c r="I279" i="9"/>
  <c r="O279" i="9" s="1"/>
  <c r="L278" i="9"/>
  <c r="J278" i="9"/>
  <c r="H278" i="9"/>
  <c r="G278" i="9"/>
  <c r="K277" i="9"/>
  <c r="K276" i="9" s="1"/>
  <c r="K275" i="9" s="1"/>
  <c r="J277" i="9"/>
  <c r="J276" i="9" s="1"/>
  <c r="J275" i="9" s="1"/>
  <c r="N274" i="9"/>
  <c r="M274" i="9"/>
  <c r="I274" i="9"/>
  <c r="O274" i="9" s="1"/>
  <c r="H273" i="9"/>
  <c r="N273" i="9" s="1"/>
  <c r="G273" i="9"/>
  <c r="G272" i="9" s="1"/>
  <c r="M272" i="9" s="1"/>
  <c r="N271" i="9"/>
  <c r="N270" i="9" s="1"/>
  <c r="L271" i="9"/>
  <c r="J271" i="9"/>
  <c r="J270" i="9" s="1"/>
  <c r="G270" i="9"/>
  <c r="N269" i="9"/>
  <c r="L269" i="9"/>
  <c r="J269" i="9"/>
  <c r="M269" i="9" s="1"/>
  <c r="M268" i="9" s="1"/>
  <c r="I269" i="9"/>
  <c r="N268" i="9"/>
  <c r="L268" i="9"/>
  <c r="J268" i="9"/>
  <c r="I268" i="9"/>
  <c r="H268" i="9"/>
  <c r="G268" i="9"/>
  <c r="O267" i="9"/>
  <c r="O266" i="9" s="1"/>
  <c r="M267" i="9"/>
  <c r="M266" i="9" s="1"/>
  <c r="N266" i="9"/>
  <c r="L266" i="9"/>
  <c r="J266" i="9"/>
  <c r="I266" i="9"/>
  <c r="G266" i="9"/>
  <c r="N265" i="9"/>
  <c r="M265" i="9"/>
  <c r="O265" i="9" s="1"/>
  <c r="I265" i="9"/>
  <c r="I263" i="9" s="1"/>
  <c r="N264" i="9"/>
  <c r="M264" i="9"/>
  <c r="L264" i="9"/>
  <c r="O264" i="9" s="1"/>
  <c r="K263" i="9"/>
  <c r="K262" i="9" s="1"/>
  <c r="K261" i="9" s="1"/>
  <c r="K260" i="9" s="1"/>
  <c r="J263" i="9"/>
  <c r="H263" i="9"/>
  <c r="G263" i="9"/>
  <c r="N258" i="9"/>
  <c r="M258" i="9"/>
  <c r="M257" i="9" s="1"/>
  <c r="L257" i="9"/>
  <c r="J257" i="9"/>
  <c r="I257" i="9"/>
  <c r="H257" i="9"/>
  <c r="H254" i="9" s="1"/>
  <c r="H253" i="9" s="1"/>
  <c r="H252" i="9" s="1"/>
  <c r="G257" i="9"/>
  <c r="O255" i="9"/>
  <c r="N255" i="9"/>
  <c r="M255" i="9"/>
  <c r="M254" i="9" s="1"/>
  <c r="M253" i="9" s="1"/>
  <c r="M252" i="9" s="1"/>
  <c r="L255" i="9"/>
  <c r="L254" i="9" s="1"/>
  <c r="L253" i="9" s="1"/>
  <c r="L252" i="9" s="1"/>
  <c r="L246" i="9" s="1"/>
  <c r="J255" i="9"/>
  <c r="I255" i="9"/>
  <c r="G255" i="9"/>
  <c r="K254" i="9"/>
  <c r="K253" i="9" s="1"/>
  <c r="K252" i="9" s="1"/>
  <c r="K246" i="9" s="1"/>
  <c r="J254" i="9"/>
  <c r="J253" i="9" s="1"/>
  <c r="J252" i="9" s="1"/>
  <c r="J246" i="9" s="1"/>
  <c r="I254" i="9"/>
  <c r="I253" i="9" s="1"/>
  <c r="I252" i="9" s="1"/>
  <c r="N250" i="9"/>
  <c r="M250" i="9"/>
  <c r="I250" i="9"/>
  <c r="O250" i="9" s="1"/>
  <c r="N249" i="9"/>
  <c r="M249" i="9"/>
  <c r="I249" i="9"/>
  <c r="O249" i="9" s="1"/>
  <c r="H248" i="9"/>
  <c r="N248" i="9" s="1"/>
  <c r="G248" i="9"/>
  <c r="M248" i="9" s="1"/>
  <c r="N244" i="9"/>
  <c r="M243" i="9"/>
  <c r="M242" i="9" s="1"/>
  <c r="M241" i="9" s="1"/>
  <c r="L243" i="9"/>
  <c r="L242" i="9" s="1"/>
  <c r="L241" i="9" s="1"/>
  <c r="J243" i="9"/>
  <c r="J242" i="9" s="1"/>
  <c r="J241" i="9" s="1"/>
  <c r="I243" i="9"/>
  <c r="I242" i="9" s="1"/>
  <c r="I241" i="9" s="1"/>
  <c r="G243" i="9"/>
  <c r="G242" i="9" s="1"/>
  <c r="G241" i="9" s="1"/>
  <c r="K242" i="9"/>
  <c r="K241" i="9" s="1"/>
  <c r="H242" i="9"/>
  <c r="H241" i="9" s="1"/>
  <c r="O240" i="9"/>
  <c r="N240" i="9"/>
  <c r="I240" i="9"/>
  <c r="O239" i="9"/>
  <c r="N239" i="9"/>
  <c r="I239" i="9"/>
  <c r="O236" i="9"/>
  <c r="N236" i="9"/>
  <c r="M236" i="9"/>
  <c r="L236" i="9"/>
  <c r="L235" i="9" s="1"/>
  <c r="L234" i="9" s="1"/>
  <c r="J236" i="9"/>
  <c r="J235" i="9" s="1"/>
  <c r="J234" i="9" s="1"/>
  <c r="I236" i="9"/>
  <c r="G236" i="9"/>
  <c r="M235" i="9"/>
  <c r="M234" i="9" s="1"/>
  <c r="K235" i="9"/>
  <c r="K234" i="9" s="1"/>
  <c r="N235" i="9"/>
  <c r="N234" i="9" s="1"/>
  <c r="G235" i="9"/>
  <c r="G234" i="9" s="1"/>
  <c r="O231" i="9"/>
  <c r="O230" i="9" s="1"/>
  <c r="O229" i="9" s="1"/>
  <c r="N231" i="9"/>
  <c r="N230" i="9" s="1"/>
  <c r="N229" i="9" s="1"/>
  <c r="M231" i="9"/>
  <c r="M230" i="9" s="1"/>
  <c r="M229" i="9" s="1"/>
  <c r="L231" i="9"/>
  <c r="L230" i="9" s="1"/>
  <c r="L229" i="9" s="1"/>
  <c r="J231" i="9"/>
  <c r="I231" i="9"/>
  <c r="I230" i="9" s="1"/>
  <c r="I229" i="9" s="1"/>
  <c r="G231" i="9"/>
  <c r="G230" i="9" s="1"/>
  <c r="G229" i="9" s="1"/>
  <c r="K230" i="9"/>
  <c r="J230" i="9"/>
  <c r="J229" i="9" s="1"/>
  <c r="H230" i="9"/>
  <c r="H229" i="9" s="1"/>
  <c r="K229" i="9"/>
  <c r="K228" i="9" s="1"/>
  <c r="O227" i="9"/>
  <c r="N227" i="9"/>
  <c r="M227" i="9"/>
  <c r="M226" i="9"/>
  <c r="H226" i="9"/>
  <c r="G226" i="9"/>
  <c r="G223" i="9"/>
  <c r="M223" i="9" s="1"/>
  <c r="O221" i="9"/>
  <c r="O220" i="9" s="1"/>
  <c r="N221" i="9"/>
  <c r="N220" i="9" s="1"/>
  <c r="M221" i="9"/>
  <c r="M220" i="9" s="1"/>
  <c r="L221" i="9"/>
  <c r="J221" i="9"/>
  <c r="J220" i="9" s="1"/>
  <c r="I221" i="9"/>
  <c r="I220" i="9" s="1"/>
  <c r="G221" i="9"/>
  <c r="G220" i="9" s="1"/>
  <c r="L220" i="9"/>
  <c r="K220" i="9"/>
  <c r="H220" i="9"/>
  <c r="N219" i="9"/>
  <c r="M219" i="9"/>
  <c r="I219" i="9"/>
  <c r="O219" i="9" s="1"/>
  <c r="N218" i="9"/>
  <c r="G218" i="9"/>
  <c r="I218" i="9" s="1"/>
  <c r="O218" i="9" s="1"/>
  <c r="N217" i="9"/>
  <c r="G217" i="9"/>
  <c r="M217" i="9" s="1"/>
  <c r="N216" i="9"/>
  <c r="N214" i="9" s="1"/>
  <c r="N213" i="9" s="1"/>
  <c r="M216" i="9"/>
  <c r="O216" i="9" s="1"/>
  <c r="O214" i="9" s="1"/>
  <c r="O213" i="9" s="1"/>
  <c r="I216" i="9"/>
  <c r="L214" i="9"/>
  <c r="J214" i="9"/>
  <c r="J213" i="9" s="1"/>
  <c r="I214" i="9"/>
  <c r="I213" i="9" s="1"/>
  <c r="H214" i="9"/>
  <c r="H213" i="9" s="1"/>
  <c r="G214" i="9"/>
  <c r="L213" i="9"/>
  <c r="L212" i="9" s="1"/>
  <c r="K213" i="9"/>
  <c r="K212" i="9" s="1"/>
  <c r="G213" i="9"/>
  <c r="N211" i="9"/>
  <c r="N210" i="9" s="1"/>
  <c r="M211" i="9"/>
  <c r="M210" i="9" s="1"/>
  <c r="L211" i="9"/>
  <c r="L210" i="9" s="1"/>
  <c r="I211" i="9"/>
  <c r="I210" i="9" s="1"/>
  <c r="K210" i="9"/>
  <c r="K203" i="9" s="1"/>
  <c r="K202" i="9" s="1"/>
  <c r="K201" i="9" s="1"/>
  <c r="K200" i="9" s="1"/>
  <c r="J210" i="9"/>
  <c r="H210" i="9"/>
  <c r="G210" i="9"/>
  <c r="G203" i="9" s="1"/>
  <c r="G202" i="9" s="1"/>
  <c r="N209" i="9"/>
  <c r="N208" i="9"/>
  <c r="O208" i="9"/>
  <c r="N207" i="9"/>
  <c r="M207" i="9"/>
  <c r="L207" i="9"/>
  <c r="O207" i="9" s="1"/>
  <c r="N206" i="9"/>
  <c r="J206" i="9"/>
  <c r="M206" i="9" s="1"/>
  <c r="I206" i="9"/>
  <c r="N205" i="9"/>
  <c r="N204" i="9" s="1"/>
  <c r="M205" i="9"/>
  <c r="O205" i="9" s="1"/>
  <c r="I205" i="9"/>
  <c r="M204" i="9"/>
  <c r="O204" i="9" s="1"/>
  <c r="I204" i="9"/>
  <c r="H204" i="9"/>
  <c r="O198" i="9"/>
  <c r="O197" i="9" s="1"/>
  <c r="O196" i="9" s="1"/>
  <c r="O195" i="9" s="1"/>
  <c r="O194" i="9" s="1"/>
  <c r="N198" i="9"/>
  <c r="N197" i="9" s="1"/>
  <c r="N196" i="9" s="1"/>
  <c r="N195" i="9" s="1"/>
  <c r="N194" i="9" s="1"/>
  <c r="M198" i="9"/>
  <c r="M197" i="9" s="1"/>
  <c r="M196" i="9" s="1"/>
  <c r="M195" i="9" s="1"/>
  <c r="M194" i="9" s="1"/>
  <c r="L198" i="9"/>
  <c r="L197" i="9" s="1"/>
  <c r="L196" i="9" s="1"/>
  <c r="L195" i="9" s="1"/>
  <c r="L194" i="9" s="1"/>
  <c r="J198" i="9"/>
  <c r="J197" i="9" s="1"/>
  <c r="J196" i="9" s="1"/>
  <c r="J195" i="9" s="1"/>
  <c r="J194" i="9" s="1"/>
  <c r="I198" i="9"/>
  <c r="I197" i="9" s="1"/>
  <c r="I196" i="9" s="1"/>
  <c r="I195" i="9" s="1"/>
  <c r="I194" i="9" s="1"/>
  <c r="G198" i="9"/>
  <c r="G197" i="9" s="1"/>
  <c r="G196" i="9" s="1"/>
  <c r="G195" i="9" s="1"/>
  <c r="G194" i="9" s="1"/>
  <c r="K197" i="9"/>
  <c r="H197" i="9"/>
  <c r="H196" i="9" s="1"/>
  <c r="H195" i="9" s="1"/>
  <c r="H194" i="9" s="1"/>
  <c r="K196" i="9"/>
  <c r="K195" i="9" s="1"/>
  <c r="K194" i="9" s="1"/>
  <c r="N193" i="9"/>
  <c r="O193" i="9"/>
  <c r="H192" i="9"/>
  <c r="N190" i="9"/>
  <c r="M190" i="9"/>
  <c r="M189" i="9" s="1"/>
  <c r="M188" i="9" s="1"/>
  <c r="M187" i="9" s="1"/>
  <c r="M186" i="9" s="1"/>
  <c r="I189" i="9"/>
  <c r="I188" i="9" s="1"/>
  <c r="I187" i="9" s="1"/>
  <c r="I186" i="9" s="1"/>
  <c r="L189" i="9"/>
  <c r="L188" i="9" s="1"/>
  <c r="L187" i="9" s="1"/>
  <c r="L186" i="9" s="1"/>
  <c r="J189" i="9"/>
  <c r="H189" i="9"/>
  <c r="H188" i="9" s="1"/>
  <c r="N188" i="9" s="1"/>
  <c r="G189" i="9"/>
  <c r="G188" i="9" s="1"/>
  <c r="G187" i="9" s="1"/>
  <c r="G186" i="9" s="1"/>
  <c r="K188" i="9"/>
  <c r="K187" i="9" s="1"/>
  <c r="K186" i="9" s="1"/>
  <c r="J188" i="9"/>
  <c r="J187" i="9" s="1"/>
  <c r="J186" i="9" s="1"/>
  <c r="N187" i="9"/>
  <c r="N186" i="9" s="1"/>
  <c r="M185" i="9"/>
  <c r="M184" i="9" s="1"/>
  <c r="M183" i="9" s="1"/>
  <c r="I184" i="9"/>
  <c r="I183" i="9" s="1"/>
  <c r="G185" i="9"/>
  <c r="G184" i="9" s="1"/>
  <c r="G183" i="9" s="1"/>
  <c r="O184" i="9"/>
  <c r="O183" i="9" s="1"/>
  <c r="N184" i="9"/>
  <c r="N183" i="9" s="1"/>
  <c r="L184" i="9"/>
  <c r="L183" i="9" s="1"/>
  <c r="J184" i="9"/>
  <c r="J183" i="9" s="1"/>
  <c r="K183" i="9"/>
  <c r="K182" i="9" s="1"/>
  <c r="H183" i="9"/>
  <c r="O181" i="9"/>
  <c r="N181" i="9"/>
  <c r="M181" i="9"/>
  <c r="L181" i="9"/>
  <c r="J181" i="9"/>
  <c r="I181" i="9"/>
  <c r="G181" i="9"/>
  <c r="N180" i="9"/>
  <c r="N179" i="9" s="1"/>
  <c r="M180" i="9"/>
  <c r="M179" i="9" s="1"/>
  <c r="L180" i="9"/>
  <c r="L179" i="9" s="1"/>
  <c r="I180" i="9"/>
  <c r="I179" i="9" s="1"/>
  <c r="K179" i="9"/>
  <c r="J179" i="9"/>
  <c r="H179" i="9"/>
  <c r="G179" i="9"/>
  <c r="N178" i="9"/>
  <c r="M178" i="9"/>
  <c r="L178" i="9"/>
  <c r="I178" i="9"/>
  <c r="M177" i="9"/>
  <c r="K177" i="9"/>
  <c r="K176" i="9" s="1"/>
  <c r="I177" i="9"/>
  <c r="J176" i="9"/>
  <c r="H176" i="9"/>
  <c r="G176" i="9"/>
  <c r="M169" i="9"/>
  <c r="N167" i="9"/>
  <c r="N166" i="9" s="1"/>
  <c r="N165" i="9" s="1"/>
  <c r="N164" i="9" s="1"/>
  <c r="L168" i="9"/>
  <c r="L167" i="9" s="1"/>
  <c r="L166" i="9" s="1"/>
  <c r="L165" i="9" s="1"/>
  <c r="L164" i="9" s="1"/>
  <c r="J168" i="9"/>
  <c r="J167" i="9" s="1"/>
  <c r="J166" i="9" s="1"/>
  <c r="J165" i="9" s="1"/>
  <c r="J164" i="9" s="1"/>
  <c r="I167" i="9"/>
  <c r="I166" i="9" s="1"/>
  <c r="I165" i="9" s="1"/>
  <c r="I164" i="9" s="1"/>
  <c r="H167" i="9"/>
  <c r="H166" i="9" s="1"/>
  <c r="H165" i="9" s="1"/>
  <c r="H164" i="9" s="1"/>
  <c r="G168" i="9"/>
  <c r="G167" i="9" s="1"/>
  <c r="G166" i="9" s="1"/>
  <c r="G165" i="9" s="1"/>
  <c r="G164" i="9" s="1"/>
  <c r="K167" i="9"/>
  <c r="K166" i="9" s="1"/>
  <c r="K165" i="9" s="1"/>
  <c r="K164" i="9" s="1"/>
  <c r="O161" i="9"/>
  <c r="O160" i="9" s="1"/>
  <c r="O159" i="9" s="1"/>
  <c r="N161" i="9"/>
  <c r="N160" i="9" s="1"/>
  <c r="N159" i="9" s="1"/>
  <c r="M161" i="9"/>
  <c r="M160" i="9" s="1"/>
  <c r="M159" i="9" s="1"/>
  <c r="L161" i="9"/>
  <c r="J161" i="9"/>
  <c r="J160" i="9" s="1"/>
  <c r="J159" i="9" s="1"/>
  <c r="I161" i="9"/>
  <c r="I160" i="9" s="1"/>
  <c r="I159" i="9" s="1"/>
  <c r="G161" i="9"/>
  <c r="G160" i="9" s="1"/>
  <c r="G159" i="9" s="1"/>
  <c r="L160" i="9"/>
  <c r="L159" i="9" s="1"/>
  <c r="K160" i="9"/>
  <c r="K159" i="9" s="1"/>
  <c r="H160" i="9"/>
  <c r="H159" i="9" s="1"/>
  <c r="O157" i="9"/>
  <c r="O156" i="9" s="1"/>
  <c r="O155" i="9" s="1"/>
  <c r="N157" i="9"/>
  <c r="N156" i="9" s="1"/>
  <c r="N155" i="9" s="1"/>
  <c r="M157" i="9"/>
  <c r="M156" i="9" s="1"/>
  <c r="M155" i="9" s="1"/>
  <c r="L157" i="9"/>
  <c r="L156" i="9" s="1"/>
  <c r="L155" i="9" s="1"/>
  <c r="J157" i="9"/>
  <c r="J156" i="9" s="1"/>
  <c r="J155" i="9" s="1"/>
  <c r="I157" i="9"/>
  <c r="I156" i="9" s="1"/>
  <c r="I155" i="9" s="1"/>
  <c r="G157" i="9"/>
  <c r="G156" i="9" s="1"/>
  <c r="G155" i="9" s="1"/>
  <c r="K156" i="9"/>
  <c r="K155" i="9" s="1"/>
  <c r="H156" i="9"/>
  <c r="H155" i="9" s="1"/>
  <c r="O153" i="9"/>
  <c r="N153" i="9"/>
  <c r="M153" i="9"/>
  <c r="L153" i="9"/>
  <c r="J153" i="9"/>
  <c r="I153" i="9"/>
  <c r="G153" i="9"/>
  <c r="N152" i="9"/>
  <c r="N151" i="9" s="1"/>
  <c r="M152" i="9"/>
  <c r="M151" i="9" s="1"/>
  <c r="I152" i="9"/>
  <c r="O152" i="9" s="1"/>
  <c r="O151" i="9" s="1"/>
  <c r="L151" i="9"/>
  <c r="J151" i="9"/>
  <c r="J150" i="9" s="1"/>
  <c r="J149" i="9" s="1"/>
  <c r="H151" i="9"/>
  <c r="H150" i="9" s="1"/>
  <c r="H149" i="9" s="1"/>
  <c r="H148" i="9" s="1"/>
  <c r="H147" i="9" s="1"/>
  <c r="G151" i="9"/>
  <c r="G150" i="9" s="1"/>
  <c r="G149" i="9" s="1"/>
  <c r="L150" i="9"/>
  <c r="L149" i="9" s="1"/>
  <c r="K150" i="9"/>
  <c r="K149" i="9" s="1"/>
  <c r="K148" i="9" s="1"/>
  <c r="K147" i="9" s="1"/>
  <c r="O145" i="9"/>
  <c r="O144" i="9" s="1"/>
  <c r="O143" i="9" s="1"/>
  <c r="N145" i="9"/>
  <c r="N144" i="9" s="1"/>
  <c r="N143" i="9" s="1"/>
  <c r="M145" i="9"/>
  <c r="M144" i="9" s="1"/>
  <c r="M143" i="9" s="1"/>
  <c r="L145" i="9"/>
  <c r="L144" i="9" s="1"/>
  <c r="L143" i="9" s="1"/>
  <c r="J145" i="9"/>
  <c r="J144" i="9" s="1"/>
  <c r="J143" i="9" s="1"/>
  <c r="I145" i="9"/>
  <c r="I144" i="9" s="1"/>
  <c r="I143" i="9" s="1"/>
  <c r="G145" i="9"/>
  <c r="G144" i="9" s="1"/>
  <c r="G143" i="9" s="1"/>
  <c r="K144" i="9"/>
  <c r="K143" i="9" s="1"/>
  <c r="H144" i="9"/>
  <c r="H143" i="9" s="1"/>
  <c r="N142" i="9"/>
  <c r="N141" i="9" s="1"/>
  <c r="N140" i="9" s="1"/>
  <c r="N139" i="9" s="1"/>
  <c r="M142" i="9"/>
  <c r="O142" i="9" s="1"/>
  <c r="O141" i="9" s="1"/>
  <c r="O140" i="9" s="1"/>
  <c r="O139" i="9" s="1"/>
  <c r="I142" i="9"/>
  <c r="I141" i="9" s="1"/>
  <c r="I140" i="9" s="1"/>
  <c r="I139" i="9" s="1"/>
  <c r="L141" i="9"/>
  <c r="L140" i="9" s="1"/>
  <c r="L139" i="9" s="1"/>
  <c r="J141" i="9"/>
  <c r="J140" i="9" s="1"/>
  <c r="J139" i="9" s="1"/>
  <c r="H141" i="9"/>
  <c r="H140" i="9" s="1"/>
  <c r="H139" i="9" s="1"/>
  <c r="G141" i="9"/>
  <c r="G140" i="9" s="1"/>
  <c r="G139" i="9" s="1"/>
  <c r="K140" i="9"/>
  <c r="K139" i="9" s="1"/>
  <c r="N138" i="9"/>
  <c r="M138" i="9"/>
  <c r="I138" i="9"/>
  <c r="O138" i="9" s="1"/>
  <c r="N137" i="9"/>
  <c r="M137" i="9"/>
  <c r="I137" i="9"/>
  <c r="O137" i="9" s="1"/>
  <c r="N136" i="9"/>
  <c r="M136" i="9"/>
  <c r="I136" i="9"/>
  <c r="O136" i="9" s="1"/>
  <c r="N135" i="9"/>
  <c r="M135" i="9"/>
  <c r="I135" i="9"/>
  <c r="O135" i="9" s="1"/>
  <c r="O134" i="9"/>
  <c r="M134" i="9"/>
  <c r="M133" i="9" s="1"/>
  <c r="M132" i="9" s="1"/>
  <c r="I134" i="9"/>
  <c r="I133" i="9" s="1"/>
  <c r="I132" i="9" s="1"/>
  <c r="G134" i="9"/>
  <c r="G133" i="9" s="1"/>
  <c r="G132" i="9" s="1"/>
  <c r="O133" i="9"/>
  <c r="O132" i="9" s="1"/>
  <c r="N133" i="9"/>
  <c r="N132" i="9" s="1"/>
  <c r="L133" i="9"/>
  <c r="L132" i="9" s="1"/>
  <c r="J133" i="9"/>
  <c r="J132" i="9" s="1"/>
  <c r="K132" i="9"/>
  <c r="H132" i="9"/>
  <c r="H131" i="9" s="1"/>
  <c r="O131" i="9"/>
  <c r="O130" i="9" s="1"/>
  <c r="O129" i="9" s="1"/>
  <c r="M131" i="9"/>
  <c r="M130" i="9" s="1"/>
  <c r="M129" i="9" s="1"/>
  <c r="K131" i="9"/>
  <c r="I131" i="9"/>
  <c r="I130" i="9" s="1"/>
  <c r="I129" i="9" s="1"/>
  <c r="G131" i="9"/>
  <c r="G130" i="9" s="1"/>
  <c r="G129" i="9" s="1"/>
  <c r="N130" i="9"/>
  <c r="N129" i="9" s="1"/>
  <c r="L130" i="9"/>
  <c r="L129" i="9" s="1"/>
  <c r="J130" i="9"/>
  <c r="J129" i="9" s="1"/>
  <c r="K129" i="9"/>
  <c r="H129" i="9"/>
  <c r="O127" i="9"/>
  <c r="N127" i="9"/>
  <c r="M127" i="9"/>
  <c r="L127" i="9"/>
  <c r="J127" i="9"/>
  <c r="I127" i="9"/>
  <c r="G127" i="9"/>
  <c r="N126" i="9"/>
  <c r="N125" i="9" s="1"/>
  <c r="M126" i="9"/>
  <c r="M125" i="9" s="1"/>
  <c r="I126" i="9"/>
  <c r="I125" i="9" s="1"/>
  <c r="L125" i="9"/>
  <c r="J125" i="9"/>
  <c r="H125" i="9"/>
  <c r="G125" i="9"/>
  <c r="N123" i="9"/>
  <c r="M123" i="9"/>
  <c r="I123" i="9"/>
  <c r="O123" i="9" s="1"/>
  <c r="N122" i="9"/>
  <c r="M122" i="9"/>
  <c r="O122" i="9"/>
  <c r="L121" i="9"/>
  <c r="J121" i="9"/>
  <c r="H121" i="9"/>
  <c r="G121" i="9"/>
  <c r="K120" i="9"/>
  <c r="K119" i="9" s="1"/>
  <c r="N116" i="9"/>
  <c r="N115" i="9"/>
  <c r="H114" i="9"/>
  <c r="N114" i="9" s="1"/>
  <c r="N113" i="9"/>
  <c r="H113" i="9"/>
  <c r="H112" i="9"/>
  <c r="N112" i="9" s="1"/>
  <c r="N110" i="9"/>
  <c r="N109" i="9" s="1"/>
  <c r="N108" i="9" s="1"/>
  <c r="N107" i="9" s="1"/>
  <c r="M110" i="9"/>
  <c r="M109" i="9" s="1"/>
  <c r="M108" i="9" s="1"/>
  <c r="M107" i="9" s="1"/>
  <c r="I110" i="9"/>
  <c r="I109" i="9" s="1"/>
  <c r="I108" i="9" s="1"/>
  <c r="I107" i="9" s="1"/>
  <c r="L109" i="9"/>
  <c r="L108" i="9" s="1"/>
  <c r="L107" i="9" s="1"/>
  <c r="J109" i="9"/>
  <c r="J108" i="9" s="1"/>
  <c r="J107" i="9" s="1"/>
  <c r="H109" i="9"/>
  <c r="H108" i="9" s="1"/>
  <c r="H107" i="9" s="1"/>
  <c r="G109" i="9"/>
  <c r="G108" i="9" s="1"/>
  <c r="G107" i="9" s="1"/>
  <c r="K108" i="9"/>
  <c r="K107" i="9" s="1"/>
  <c r="K106" i="9" s="1"/>
  <c r="O105" i="9"/>
  <c r="O104" i="9" s="1"/>
  <c r="O103" i="9" s="1"/>
  <c r="N105" i="9"/>
  <c r="N104" i="9" s="1"/>
  <c r="N103" i="9" s="1"/>
  <c r="M105" i="9"/>
  <c r="M104" i="9" s="1"/>
  <c r="M103" i="9" s="1"/>
  <c r="L105" i="9"/>
  <c r="L104" i="9" s="1"/>
  <c r="L103" i="9" s="1"/>
  <c r="J105" i="9"/>
  <c r="J104" i="9" s="1"/>
  <c r="J103" i="9" s="1"/>
  <c r="I105" i="9"/>
  <c r="I104" i="9" s="1"/>
  <c r="I103" i="9" s="1"/>
  <c r="G105" i="9"/>
  <c r="G104" i="9" s="1"/>
  <c r="G103" i="9" s="1"/>
  <c r="K104" i="9"/>
  <c r="K103" i="9" s="1"/>
  <c r="H104" i="9"/>
  <c r="H103" i="9" s="1"/>
  <c r="N102" i="9"/>
  <c r="M101" i="9"/>
  <c r="M100" i="9" s="1"/>
  <c r="L100" i="9"/>
  <c r="J100" i="9"/>
  <c r="G100" i="9"/>
  <c r="G96" i="9" s="1"/>
  <c r="O97" i="9"/>
  <c r="N97" i="9"/>
  <c r="M97" i="9"/>
  <c r="L97" i="9"/>
  <c r="J97" i="9"/>
  <c r="I97" i="9"/>
  <c r="G97" i="9"/>
  <c r="K96" i="9"/>
  <c r="J96" i="9"/>
  <c r="N94" i="9"/>
  <c r="M94" i="9"/>
  <c r="O94" i="9"/>
  <c r="N93" i="9"/>
  <c r="M93" i="9"/>
  <c r="I93" i="9"/>
  <c r="O93" i="9" s="1"/>
  <c r="L92" i="9"/>
  <c r="L91" i="9" s="1"/>
  <c r="J92" i="9"/>
  <c r="J91" i="9" s="1"/>
  <c r="J90" i="9" s="1"/>
  <c r="G92" i="9"/>
  <c r="G91" i="9" s="1"/>
  <c r="K91" i="9"/>
  <c r="K90" i="9" s="1"/>
  <c r="K89" i="9" s="1"/>
  <c r="O83" i="9"/>
  <c r="O82" i="9" s="1"/>
  <c r="O81" i="9" s="1"/>
  <c r="N83" i="9"/>
  <c r="N82" i="9" s="1"/>
  <c r="N81" i="9" s="1"/>
  <c r="M83" i="9"/>
  <c r="M82" i="9" s="1"/>
  <c r="M81" i="9" s="1"/>
  <c r="L83" i="9"/>
  <c r="L82" i="9" s="1"/>
  <c r="L81" i="9" s="1"/>
  <c r="J83" i="9"/>
  <c r="I83" i="9"/>
  <c r="I82" i="9" s="1"/>
  <c r="I81" i="9" s="1"/>
  <c r="G83" i="9"/>
  <c r="G82" i="9" s="1"/>
  <c r="G81" i="9" s="1"/>
  <c r="K82" i="9"/>
  <c r="K81" i="9" s="1"/>
  <c r="J82" i="9"/>
  <c r="J81" i="9" s="1"/>
  <c r="H82" i="9"/>
  <c r="H81" i="9" s="1"/>
  <c r="O79" i="9"/>
  <c r="O78" i="9" s="1"/>
  <c r="O77" i="9" s="1"/>
  <c r="N79" i="9"/>
  <c r="N78" i="9" s="1"/>
  <c r="N77" i="9" s="1"/>
  <c r="M79" i="9"/>
  <c r="M78" i="9" s="1"/>
  <c r="M77" i="9" s="1"/>
  <c r="L79" i="9"/>
  <c r="L78" i="9" s="1"/>
  <c r="L77" i="9" s="1"/>
  <c r="J79" i="9"/>
  <c r="J78" i="9" s="1"/>
  <c r="J77" i="9" s="1"/>
  <c r="I79" i="9"/>
  <c r="I78" i="9" s="1"/>
  <c r="I77" i="9" s="1"/>
  <c r="G79" i="9"/>
  <c r="G78" i="9" s="1"/>
  <c r="G77" i="9" s="1"/>
  <c r="K78" i="9"/>
  <c r="K77" i="9" s="1"/>
  <c r="H78" i="9"/>
  <c r="H77" i="9" s="1"/>
  <c r="O75" i="9"/>
  <c r="N75" i="9"/>
  <c r="M75" i="9"/>
  <c r="L75" i="9"/>
  <c r="L72" i="9" s="1"/>
  <c r="L71" i="9" s="1"/>
  <c r="J75" i="9"/>
  <c r="I75" i="9"/>
  <c r="G75" i="9"/>
  <c r="O73" i="9"/>
  <c r="O72" i="9" s="1"/>
  <c r="O71" i="9" s="1"/>
  <c r="N73" i="9"/>
  <c r="M73" i="9"/>
  <c r="L73" i="9"/>
  <c r="J73" i="9"/>
  <c r="J72" i="9" s="1"/>
  <c r="J71" i="9" s="1"/>
  <c r="I73" i="9"/>
  <c r="G73" i="9"/>
  <c r="K72" i="9"/>
  <c r="H72" i="9"/>
  <c r="H71" i="9" s="1"/>
  <c r="K71" i="9"/>
  <c r="K70" i="9" s="1"/>
  <c r="O68" i="9"/>
  <c r="O67" i="9" s="1"/>
  <c r="O66" i="9" s="1"/>
  <c r="O65" i="9" s="1"/>
  <c r="N68" i="9"/>
  <c r="N67" i="9" s="1"/>
  <c r="N66" i="9" s="1"/>
  <c r="N65" i="9" s="1"/>
  <c r="M68" i="9"/>
  <c r="M67" i="9" s="1"/>
  <c r="M66" i="9" s="1"/>
  <c r="M65" i="9" s="1"/>
  <c r="L68" i="9"/>
  <c r="L67" i="9" s="1"/>
  <c r="L66" i="9" s="1"/>
  <c r="L65" i="9" s="1"/>
  <c r="J68" i="9"/>
  <c r="J67" i="9" s="1"/>
  <c r="J66" i="9" s="1"/>
  <c r="J65" i="9" s="1"/>
  <c r="I68" i="9"/>
  <c r="I67" i="9" s="1"/>
  <c r="I66" i="9" s="1"/>
  <c r="I65" i="9" s="1"/>
  <c r="G68" i="9"/>
  <c r="G67" i="9" s="1"/>
  <c r="G66" i="9" s="1"/>
  <c r="G65" i="9" s="1"/>
  <c r="K67" i="9"/>
  <c r="K66" i="9" s="1"/>
  <c r="K65" i="9" s="1"/>
  <c r="H67" i="9"/>
  <c r="H66" i="9" s="1"/>
  <c r="H65" i="9" s="1"/>
  <c r="O63" i="9"/>
  <c r="O62" i="9" s="1"/>
  <c r="O61" i="9" s="1"/>
  <c r="O60" i="9" s="1"/>
  <c r="N63" i="9"/>
  <c r="N62" i="9" s="1"/>
  <c r="N61" i="9" s="1"/>
  <c r="N60" i="9" s="1"/>
  <c r="M63" i="9"/>
  <c r="M62" i="9" s="1"/>
  <c r="M61" i="9" s="1"/>
  <c r="M60" i="9" s="1"/>
  <c r="L63" i="9"/>
  <c r="L62" i="9" s="1"/>
  <c r="L61" i="9" s="1"/>
  <c r="L60" i="9" s="1"/>
  <c r="J63" i="9"/>
  <c r="J62" i="9" s="1"/>
  <c r="J61" i="9" s="1"/>
  <c r="J60" i="9" s="1"/>
  <c r="I63" i="9"/>
  <c r="I62" i="9" s="1"/>
  <c r="I61" i="9" s="1"/>
  <c r="I60" i="9" s="1"/>
  <c r="G63" i="9"/>
  <c r="G62" i="9" s="1"/>
  <c r="G61" i="9" s="1"/>
  <c r="G60" i="9" s="1"/>
  <c r="K62" i="9"/>
  <c r="K61" i="9" s="1"/>
  <c r="K60" i="9" s="1"/>
  <c r="K59" i="9" s="1"/>
  <c r="H62" i="9"/>
  <c r="H61" i="9" s="1"/>
  <c r="H60" i="9" s="1"/>
  <c r="N58" i="9"/>
  <c r="N57" i="9" s="1"/>
  <c r="N56" i="9" s="1"/>
  <c r="N55" i="9" s="1"/>
  <c r="N54" i="9" s="1"/>
  <c r="M58" i="9"/>
  <c r="M57" i="9" s="1"/>
  <c r="M56" i="9" s="1"/>
  <c r="M55" i="9" s="1"/>
  <c r="M54" i="9" s="1"/>
  <c r="I58" i="9"/>
  <c r="O58" i="9" s="1"/>
  <c r="O57" i="9" s="1"/>
  <c r="O56" i="9" s="1"/>
  <c r="O55" i="9" s="1"/>
  <c r="O54" i="9" s="1"/>
  <c r="L57" i="9"/>
  <c r="L56" i="9" s="1"/>
  <c r="L55" i="9" s="1"/>
  <c r="L54" i="9" s="1"/>
  <c r="J57" i="9"/>
  <c r="J56" i="9" s="1"/>
  <c r="J55" i="9" s="1"/>
  <c r="J54" i="9" s="1"/>
  <c r="G57" i="9"/>
  <c r="K56" i="9"/>
  <c r="K55" i="9" s="1"/>
  <c r="K54" i="9" s="1"/>
  <c r="H56" i="9"/>
  <c r="H55" i="9" s="1"/>
  <c r="H54" i="9" s="1"/>
  <c r="G56" i="9"/>
  <c r="G55" i="9" s="1"/>
  <c r="G54" i="9" s="1"/>
  <c r="O52" i="9"/>
  <c r="N52" i="9"/>
  <c r="N47" i="9" s="1"/>
  <c r="M52" i="9"/>
  <c r="L52" i="9"/>
  <c r="J52" i="9"/>
  <c r="I52" i="9"/>
  <c r="I47" i="9" s="1"/>
  <c r="G52" i="9"/>
  <c r="K51" i="9"/>
  <c r="K46" i="9" s="1"/>
  <c r="H51" i="9"/>
  <c r="O48" i="9"/>
  <c r="N48" i="9"/>
  <c r="M48" i="9"/>
  <c r="L48" i="9"/>
  <c r="J48" i="9"/>
  <c r="I48" i="9"/>
  <c r="G48" i="9"/>
  <c r="K47" i="9"/>
  <c r="H47" i="9"/>
  <c r="G47" i="9"/>
  <c r="N44" i="9"/>
  <c r="N43" i="9" s="1"/>
  <c r="N42" i="9" s="1"/>
  <c r="M44" i="9"/>
  <c r="I44" i="9"/>
  <c r="I43" i="9" s="1"/>
  <c r="I42" i="9" s="1"/>
  <c r="L43" i="9"/>
  <c r="L42" i="9" s="1"/>
  <c r="J43" i="9"/>
  <c r="J42" i="9" s="1"/>
  <c r="H42" i="9"/>
  <c r="H41" i="9" s="1"/>
  <c r="H40" i="9" s="1"/>
  <c r="G43" i="9"/>
  <c r="G42" i="9" s="1"/>
  <c r="K42" i="9"/>
  <c r="K41" i="9" s="1"/>
  <c r="N39" i="9"/>
  <c r="I39" i="9"/>
  <c r="I38" i="9" s="1"/>
  <c r="I37" i="9" s="1"/>
  <c r="I36" i="9" s="1"/>
  <c r="I35" i="9" s="1"/>
  <c r="M38" i="9"/>
  <c r="M37" i="9" s="1"/>
  <c r="M36" i="9" s="1"/>
  <c r="M35" i="9" s="1"/>
  <c r="L38" i="9"/>
  <c r="L37" i="9" s="1"/>
  <c r="L36" i="9" s="1"/>
  <c r="L35" i="9" s="1"/>
  <c r="J38" i="9"/>
  <c r="J37" i="9" s="1"/>
  <c r="J36" i="9" s="1"/>
  <c r="J35" i="9" s="1"/>
  <c r="G38" i="9"/>
  <c r="G37" i="9" s="1"/>
  <c r="G36" i="9" s="1"/>
  <c r="G35" i="9" s="1"/>
  <c r="K37" i="9"/>
  <c r="K36" i="9" s="1"/>
  <c r="K35" i="9" s="1"/>
  <c r="H37" i="9"/>
  <c r="H36" i="9" s="1"/>
  <c r="H35" i="9" s="1"/>
  <c r="O32" i="9"/>
  <c r="M32" i="9"/>
  <c r="I32" i="9"/>
  <c r="I31" i="9" s="1"/>
  <c r="I30" i="9" s="1"/>
  <c r="I29" i="9" s="1"/>
  <c r="I28" i="9" s="1"/>
  <c r="G32" i="9"/>
  <c r="G31" i="9" s="1"/>
  <c r="G30" i="9" s="1"/>
  <c r="G29" i="9" s="1"/>
  <c r="G28" i="9" s="1"/>
  <c r="O31" i="9"/>
  <c r="O30" i="9" s="1"/>
  <c r="O29" i="9" s="1"/>
  <c r="O28" i="9" s="1"/>
  <c r="N31" i="9"/>
  <c r="N30" i="9" s="1"/>
  <c r="N29" i="9" s="1"/>
  <c r="N28" i="9" s="1"/>
  <c r="M31" i="9"/>
  <c r="M30" i="9" s="1"/>
  <c r="M29" i="9" s="1"/>
  <c r="M28" i="9" s="1"/>
  <c r="L31" i="9"/>
  <c r="L30" i="9" s="1"/>
  <c r="L29" i="9" s="1"/>
  <c r="L28" i="9" s="1"/>
  <c r="J31" i="9"/>
  <c r="J30" i="9" s="1"/>
  <c r="J29" i="9" s="1"/>
  <c r="J28" i="9" s="1"/>
  <c r="K30" i="9"/>
  <c r="K29" i="9" s="1"/>
  <c r="K28" i="9" s="1"/>
  <c r="H30" i="9"/>
  <c r="H29" i="9" s="1"/>
  <c r="H28" i="9" s="1"/>
  <c r="O27" i="9"/>
  <c r="M27" i="9"/>
  <c r="M26" i="9" s="1"/>
  <c r="M25" i="9" s="1"/>
  <c r="M24" i="9" s="1"/>
  <c r="M23" i="9" s="1"/>
  <c r="I27" i="9"/>
  <c r="I26" i="9" s="1"/>
  <c r="I25" i="9" s="1"/>
  <c r="I24" i="9" s="1"/>
  <c r="I23" i="9" s="1"/>
  <c r="G27" i="9"/>
  <c r="G26" i="9" s="1"/>
  <c r="G25" i="9" s="1"/>
  <c r="G24" i="9" s="1"/>
  <c r="G23" i="9" s="1"/>
  <c r="O26" i="9"/>
  <c r="O25" i="9" s="1"/>
  <c r="O24" i="9" s="1"/>
  <c r="O23" i="9" s="1"/>
  <c r="N26" i="9"/>
  <c r="N25" i="9" s="1"/>
  <c r="N24" i="9" s="1"/>
  <c r="N23" i="9" s="1"/>
  <c r="L26" i="9"/>
  <c r="L25" i="9" s="1"/>
  <c r="L24" i="9" s="1"/>
  <c r="L23" i="9" s="1"/>
  <c r="J26" i="9"/>
  <c r="J25" i="9" s="1"/>
  <c r="J24" i="9" s="1"/>
  <c r="J23" i="9" s="1"/>
  <c r="K25" i="9"/>
  <c r="K24" i="9" s="1"/>
  <c r="K23" i="9" s="1"/>
  <c r="K22" i="9" s="1"/>
  <c r="K21" i="9" s="1"/>
  <c r="H25" i="9"/>
  <c r="H24" i="9" s="1"/>
  <c r="H23" i="9" s="1"/>
  <c r="H22" i="9" s="1"/>
  <c r="H21" i="9" s="1"/>
  <c r="H345" i="9" l="1"/>
  <c r="H472" i="9"/>
  <c r="N473" i="9"/>
  <c r="N472" i="9" s="1"/>
  <c r="H381" i="9"/>
  <c r="N263" i="9"/>
  <c r="N262" i="9" s="1"/>
  <c r="N261" i="9" s="1"/>
  <c r="O209" i="9"/>
  <c r="M488" i="9"/>
  <c r="M487" i="9" s="1"/>
  <c r="G321" i="9"/>
  <c r="G320" i="9" s="1"/>
  <c r="H262" i="9"/>
  <c r="H261" i="9" s="1"/>
  <c r="I473" i="9"/>
  <c r="I472" i="9" s="1"/>
  <c r="G277" i="9"/>
  <c r="G276" i="9" s="1"/>
  <c r="J294" i="9"/>
  <c r="J293" i="9" s="1"/>
  <c r="J292" i="9" s="1"/>
  <c r="J321" i="9"/>
  <c r="J320" i="9" s="1"/>
  <c r="M335" i="9"/>
  <c r="M334" i="9" s="1"/>
  <c r="M333" i="9" s="1"/>
  <c r="M464" i="9"/>
  <c r="M463" i="9" s="1"/>
  <c r="N150" i="9"/>
  <c r="N149" i="9" s="1"/>
  <c r="K481" i="9"/>
  <c r="K480" i="9" s="1"/>
  <c r="K479" i="9" s="1"/>
  <c r="K478" i="9" s="1"/>
  <c r="G462" i="9"/>
  <c r="L482" i="9"/>
  <c r="L481" i="9" s="1"/>
  <c r="L480" i="9" s="1"/>
  <c r="L479" i="9" s="1"/>
  <c r="O271" i="9"/>
  <c r="G351" i="9"/>
  <c r="I445" i="9"/>
  <c r="I273" i="9"/>
  <c r="I272" i="9" s="1"/>
  <c r="O272" i="9" s="1"/>
  <c r="I283" i="9"/>
  <c r="O283" i="9" s="1"/>
  <c r="J347" i="9"/>
  <c r="J346" i="9" s="1"/>
  <c r="J345" i="9" s="1"/>
  <c r="O466" i="9"/>
  <c r="O464" i="9" s="1"/>
  <c r="O463" i="9" s="1"/>
  <c r="N468" i="9"/>
  <c r="N467" i="9" s="1"/>
  <c r="N278" i="9"/>
  <c r="I354" i="9"/>
  <c r="O354" i="9" s="1"/>
  <c r="J429" i="9"/>
  <c r="J428" i="9" s="1"/>
  <c r="M443" i="9"/>
  <c r="J482" i="9"/>
  <c r="J481" i="9" s="1"/>
  <c r="J480" i="9" s="1"/>
  <c r="J479" i="9" s="1"/>
  <c r="G262" i="9"/>
  <c r="G261" i="9" s="1"/>
  <c r="L270" i="9"/>
  <c r="M381" i="9"/>
  <c r="M407" i="9"/>
  <c r="M406" i="9" s="1"/>
  <c r="O431" i="9"/>
  <c r="O430" i="9" s="1"/>
  <c r="O429" i="9" s="1"/>
  <c r="O428" i="9" s="1"/>
  <c r="M429" i="9"/>
  <c r="M428" i="9" s="1"/>
  <c r="N429" i="9"/>
  <c r="N428" i="9" s="1"/>
  <c r="L478" i="9"/>
  <c r="M372" i="9"/>
  <c r="L120" i="9"/>
  <c r="L119" i="9" s="1"/>
  <c r="L118" i="9" s="1"/>
  <c r="L117" i="9" s="1"/>
  <c r="G41" i="9"/>
  <c r="G40" i="9" s="1"/>
  <c r="G72" i="9"/>
  <c r="G71" i="9" s="1"/>
  <c r="M72" i="9"/>
  <c r="M71" i="9" s="1"/>
  <c r="I72" i="9"/>
  <c r="I71" i="9" s="1"/>
  <c r="M141" i="9"/>
  <c r="M140" i="9" s="1"/>
  <c r="M139" i="9" s="1"/>
  <c r="K175" i="9"/>
  <c r="K174" i="9" s="1"/>
  <c r="I234" i="9"/>
  <c r="I228" i="9" s="1"/>
  <c r="G254" i="9"/>
  <c r="G253" i="9" s="1"/>
  <c r="G252" i="9" s="1"/>
  <c r="L263" i="9"/>
  <c r="M278" i="9"/>
  <c r="J361" i="9"/>
  <c r="J360" i="9" s="1"/>
  <c r="J437" i="9"/>
  <c r="G488" i="9"/>
  <c r="G487" i="9" s="1"/>
  <c r="I114" i="9"/>
  <c r="O114" i="9" s="1"/>
  <c r="J120" i="9"/>
  <c r="H234" i="9"/>
  <c r="G247" i="9"/>
  <c r="M247" i="9" s="1"/>
  <c r="M246" i="9" s="1"/>
  <c r="I284" i="9"/>
  <c r="O284" i="9" s="1"/>
  <c r="O289" i="9"/>
  <c r="O288" i="9" s="1"/>
  <c r="O287" i="9" s="1"/>
  <c r="O286" i="9" s="1"/>
  <c r="M313" i="9"/>
  <c r="O327" i="9"/>
  <c r="G455" i="9"/>
  <c r="G454" i="9" s="1"/>
  <c r="G453" i="9" s="1"/>
  <c r="G452" i="9" s="1"/>
  <c r="H462" i="9"/>
  <c r="H460" i="9" s="1"/>
  <c r="H425" i="9" s="1"/>
  <c r="H424" i="9" s="1"/>
  <c r="N464" i="9"/>
  <c r="N463" i="9" s="1"/>
  <c r="J359" i="9"/>
  <c r="J358" i="9" s="1"/>
  <c r="N72" i="9"/>
  <c r="N71" i="9" s="1"/>
  <c r="N70" i="9" s="1"/>
  <c r="M96" i="9"/>
  <c r="N121" i="9"/>
  <c r="L148" i="9"/>
  <c r="L147" i="9" s="1"/>
  <c r="M168" i="9"/>
  <c r="M167" i="9" s="1"/>
  <c r="M166" i="9" s="1"/>
  <c r="M165" i="9" s="1"/>
  <c r="M164" i="9" s="1"/>
  <c r="O169" i="9"/>
  <c r="O168" i="9" s="1"/>
  <c r="O167" i="9" s="1"/>
  <c r="O166" i="9" s="1"/>
  <c r="O165" i="9" s="1"/>
  <c r="O164" i="9" s="1"/>
  <c r="J175" i="9"/>
  <c r="J174" i="9" s="1"/>
  <c r="J173" i="9" s="1"/>
  <c r="J172" i="9" s="1"/>
  <c r="I217" i="9"/>
  <c r="O217" i="9" s="1"/>
  <c r="O212" i="9" s="1"/>
  <c r="H212" i="9"/>
  <c r="N212" i="9" s="1"/>
  <c r="N257" i="9"/>
  <c r="O258" i="9"/>
  <c r="L281" i="9"/>
  <c r="L277" i="9" s="1"/>
  <c r="L276" i="9" s="1"/>
  <c r="L275" i="9" s="1"/>
  <c r="I356" i="9"/>
  <c r="O356" i="9" s="1"/>
  <c r="L381" i="9"/>
  <c r="L443" i="9"/>
  <c r="N445" i="9"/>
  <c r="O446" i="9"/>
  <c r="O445" i="9" s="1"/>
  <c r="O455" i="9"/>
  <c r="O485" i="9"/>
  <c r="O484" i="9" s="1"/>
  <c r="O483" i="9" s="1"/>
  <c r="O482" i="9" s="1"/>
  <c r="O481" i="9" s="1"/>
  <c r="O480" i="9" s="1"/>
  <c r="O479" i="9" s="1"/>
  <c r="O478" i="9" s="1"/>
  <c r="H70" i="9"/>
  <c r="H120" i="9"/>
  <c r="H119" i="9" s="1"/>
  <c r="N192" i="9"/>
  <c r="H191" i="9"/>
  <c r="N191" i="9" s="1"/>
  <c r="H203" i="9"/>
  <c r="H202" i="9" s="1"/>
  <c r="J262" i="9"/>
  <c r="J261" i="9" s="1"/>
  <c r="J260" i="9" s="1"/>
  <c r="H277" i="9"/>
  <c r="H276" i="9" s="1"/>
  <c r="H275" i="9" s="1"/>
  <c r="M368" i="9"/>
  <c r="M367" i="9" s="1"/>
  <c r="G407" i="9"/>
  <c r="G406" i="9" s="1"/>
  <c r="I407" i="9"/>
  <c r="I406" i="9" s="1"/>
  <c r="I438" i="9"/>
  <c r="L461" i="9"/>
  <c r="L460" i="9" s="1"/>
  <c r="G461" i="9"/>
  <c r="G460" i="9" s="1"/>
  <c r="I287" i="9"/>
  <c r="I286" i="9" s="1"/>
  <c r="M458" i="9"/>
  <c r="M455" i="9" s="1"/>
  <c r="M454" i="9" s="1"/>
  <c r="M453" i="9" s="1"/>
  <c r="M452" i="9" s="1"/>
  <c r="H175" i="9"/>
  <c r="H174" i="9" s="1"/>
  <c r="H173" i="9" s="1"/>
  <c r="M176" i="9"/>
  <c r="O180" i="9"/>
  <c r="O179" i="9" s="1"/>
  <c r="L206" i="9"/>
  <c r="L203" i="9" s="1"/>
  <c r="L202" i="9" s="1"/>
  <c r="L201" i="9" s="1"/>
  <c r="H247" i="9"/>
  <c r="N247" i="9" s="1"/>
  <c r="I278" i="9"/>
  <c r="I277" i="9" s="1"/>
  <c r="I276" i="9" s="1"/>
  <c r="O298" i="9"/>
  <c r="O297" i="9" s="1"/>
  <c r="O314" i="9"/>
  <c r="O323" i="9"/>
  <c r="O322" i="9" s="1"/>
  <c r="O326" i="9"/>
  <c r="O328" i="9"/>
  <c r="G347" i="9"/>
  <c r="G346" i="9" s="1"/>
  <c r="G345" i="9" s="1"/>
  <c r="L347" i="9"/>
  <c r="L346" i="9" s="1"/>
  <c r="L345" i="9" s="1"/>
  <c r="O353" i="9"/>
  <c r="O352" i="9" s="1"/>
  <c r="M361" i="9"/>
  <c r="N368" i="9"/>
  <c r="N367" i="9" s="1"/>
  <c r="N360" i="9" s="1"/>
  <c r="N359" i="9" s="1"/>
  <c r="N358" i="9" s="1"/>
  <c r="L374" i="9"/>
  <c r="O374" i="9" s="1"/>
  <c r="N407" i="9"/>
  <c r="N406" i="9" s="1"/>
  <c r="L429" i="9"/>
  <c r="L428" i="9" s="1"/>
  <c r="I429" i="9"/>
  <c r="I428" i="9" s="1"/>
  <c r="I455" i="9"/>
  <c r="I454" i="9" s="1"/>
  <c r="I453" i="9" s="1"/>
  <c r="I452" i="9" s="1"/>
  <c r="M468" i="9"/>
  <c r="M467" i="9" s="1"/>
  <c r="M462" i="9" s="1"/>
  <c r="M461" i="9" s="1"/>
  <c r="M460" i="9" s="1"/>
  <c r="M271" i="9"/>
  <c r="M270" i="9" s="1"/>
  <c r="K40" i="9"/>
  <c r="K34" i="9" s="1"/>
  <c r="L47" i="9"/>
  <c r="L41" i="9" s="1"/>
  <c r="L40" i="9" s="1"/>
  <c r="M150" i="9"/>
  <c r="M149" i="9" s="1"/>
  <c r="N223" i="9"/>
  <c r="I223" i="9"/>
  <c r="O223" i="9" s="1"/>
  <c r="N226" i="9"/>
  <c r="I226" i="9"/>
  <c r="O226" i="9" s="1"/>
  <c r="O257" i="9"/>
  <c r="O254" i="9" s="1"/>
  <c r="O253" i="9" s="1"/>
  <c r="O252" i="9" s="1"/>
  <c r="O263" i="9"/>
  <c r="L294" i="9"/>
  <c r="L293" i="9" s="1"/>
  <c r="L292" i="9" s="1"/>
  <c r="L291" i="9" s="1"/>
  <c r="G360" i="9"/>
  <c r="G359" i="9" s="1"/>
  <c r="G358" i="9" s="1"/>
  <c r="G381" i="9"/>
  <c r="L407" i="9"/>
  <c r="L406" i="9" s="1"/>
  <c r="J436" i="9"/>
  <c r="J427" i="9" s="1"/>
  <c r="J426" i="9" s="1"/>
  <c r="M438" i="9"/>
  <c r="M437" i="9" s="1"/>
  <c r="M436" i="9" s="1"/>
  <c r="O438" i="9"/>
  <c r="N462" i="9"/>
  <c r="N461" i="9" s="1"/>
  <c r="N460" i="9" s="1"/>
  <c r="K291" i="9"/>
  <c r="M47" i="9"/>
  <c r="N277" i="9"/>
  <c r="N276" i="9" s="1"/>
  <c r="N275" i="9" s="1"/>
  <c r="O361" i="9"/>
  <c r="J291" i="9"/>
  <c r="M214" i="9"/>
  <c r="M213" i="9" s="1"/>
  <c r="M212" i="9" s="1"/>
  <c r="J203" i="9"/>
  <c r="J202" i="9" s="1"/>
  <c r="G212" i="9"/>
  <c r="G201" i="9" s="1"/>
  <c r="J212" i="9"/>
  <c r="O92" i="9"/>
  <c r="O91" i="9" s="1"/>
  <c r="H481" i="9"/>
  <c r="H480" i="9" s="1"/>
  <c r="H479" i="9" s="1"/>
  <c r="H478" i="9" s="1"/>
  <c r="H187" i="9"/>
  <c r="H186" i="9" s="1"/>
  <c r="N189" i="9"/>
  <c r="O190" i="9"/>
  <c r="O189" i="9" s="1"/>
  <c r="O188" i="9" s="1"/>
  <c r="O187" i="9" s="1"/>
  <c r="O186" i="9" s="1"/>
  <c r="H294" i="9"/>
  <c r="H293" i="9" s="1"/>
  <c r="N254" i="9"/>
  <c r="N253" i="9" s="1"/>
  <c r="N252" i="9" s="1"/>
  <c r="N482" i="9"/>
  <c r="N481" i="9" s="1"/>
  <c r="N480" i="9" s="1"/>
  <c r="N479" i="9" s="1"/>
  <c r="N478" i="9" s="1"/>
  <c r="I482" i="9"/>
  <c r="I481" i="9" s="1"/>
  <c r="I480" i="9" s="1"/>
  <c r="I479" i="9" s="1"/>
  <c r="I478" i="9" s="1"/>
  <c r="G22" i="9"/>
  <c r="G21" i="9" s="1"/>
  <c r="N148" i="9"/>
  <c r="N147" i="9" s="1"/>
  <c r="I22" i="9"/>
  <c r="I21" i="9" s="1"/>
  <c r="N92" i="9"/>
  <c r="N91" i="9" s="1"/>
  <c r="I41" i="9"/>
  <c r="I40" i="9" s="1"/>
  <c r="L70" i="9"/>
  <c r="J148" i="9"/>
  <c r="J147" i="9" s="1"/>
  <c r="I151" i="9"/>
  <c r="I150" i="9" s="1"/>
  <c r="I149" i="9" s="1"/>
  <c r="I148" i="9" s="1"/>
  <c r="I147" i="9" s="1"/>
  <c r="K118" i="9"/>
  <c r="K117" i="9" s="1"/>
  <c r="K111" i="9" s="1"/>
  <c r="K110" i="9" s="1"/>
  <c r="G260" i="9"/>
  <c r="K259" i="9"/>
  <c r="O22" i="9"/>
  <c r="O21" i="9" s="1"/>
  <c r="L22" i="9"/>
  <c r="L21" i="9" s="1"/>
  <c r="J89" i="9"/>
  <c r="J259" i="9"/>
  <c r="J245" i="9" s="1"/>
  <c r="M273" i="9"/>
  <c r="J47" i="9"/>
  <c r="J41" i="9" s="1"/>
  <c r="J40" i="9" s="1"/>
  <c r="O47" i="9"/>
  <c r="J228" i="9"/>
  <c r="G228" i="9"/>
  <c r="N22" i="9"/>
  <c r="N21" i="9" s="1"/>
  <c r="G70" i="9"/>
  <c r="M70" i="9"/>
  <c r="M92" i="9"/>
  <c r="M91" i="9" s="1"/>
  <c r="G148" i="9"/>
  <c r="G147" i="9" s="1"/>
  <c r="M148" i="9"/>
  <c r="M147" i="9" s="1"/>
  <c r="M22" i="9"/>
  <c r="M21" i="9" s="1"/>
  <c r="J70" i="9"/>
  <c r="K173" i="9"/>
  <c r="K172" i="9" s="1"/>
  <c r="K163" i="9" s="1"/>
  <c r="L228" i="9"/>
  <c r="O444" i="9"/>
  <c r="O381" i="9"/>
  <c r="N381" i="9"/>
  <c r="I381" i="9"/>
  <c r="O70" i="9"/>
  <c r="O307" i="9"/>
  <c r="N324" i="9"/>
  <c r="I324" i="9"/>
  <c r="I321" i="9" s="1"/>
  <c r="I320" i="9" s="1"/>
  <c r="H321" i="9"/>
  <c r="H320" i="9" s="1"/>
  <c r="I176" i="9"/>
  <c r="I175" i="9" s="1"/>
  <c r="I174" i="9" s="1"/>
  <c r="I173" i="9" s="1"/>
  <c r="M482" i="9"/>
  <c r="M481" i="9" s="1"/>
  <c r="M480" i="9" s="1"/>
  <c r="M479" i="9" s="1"/>
  <c r="M478" i="9" s="1"/>
  <c r="O454" i="9"/>
  <c r="O453" i="9" s="1"/>
  <c r="O452" i="9" s="1"/>
  <c r="N335" i="9"/>
  <c r="N334" i="9" s="1"/>
  <c r="N333" i="9" s="1"/>
  <c r="I307" i="9"/>
  <c r="G294" i="9"/>
  <c r="G293" i="9" s="1"/>
  <c r="G292" i="9" s="1"/>
  <c r="G291" i="9" s="1"/>
  <c r="I297" i="9"/>
  <c r="I295" i="9"/>
  <c r="G275" i="9"/>
  <c r="O280" i="9"/>
  <c r="O278" i="9" s="1"/>
  <c r="O277" i="9" s="1"/>
  <c r="O276" i="9" s="1"/>
  <c r="I262" i="9"/>
  <c r="I261" i="9" s="1"/>
  <c r="I260" i="9" s="1"/>
  <c r="O270" i="9"/>
  <c r="M263" i="9"/>
  <c r="M228" i="9"/>
  <c r="I203" i="9"/>
  <c r="I202" i="9" s="1"/>
  <c r="M202" i="9"/>
  <c r="I192" i="9"/>
  <c r="O178" i="9"/>
  <c r="N120" i="9"/>
  <c r="N119" i="9" s="1"/>
  <c r="N118" i="9" s="1"/>
  <c r="O126" i="9"/>
  <c r="O125" i="9" s="1"/>
  <c r="H118" i="9"/>
  <c r="H117" i="9" s="1"/>
  <c r="I121" i="9"/>
  <c r="O121" i="9" s="1"/>
  <c r="O110" i="9"/>
  <c r="O109" i="9" s="1"/>
  <c r="O108" i="9" s="1"/>
  <c r="O107" i="9" s="1"/>
  <c r="N41" i="9"/>
  <c r="N40" i="9" s="1"/>
  <c r="O44" i="9"/>
  <c r="O43" i="9" s="1"/>
  <c r="O42" i="9" s="1"/>
  <c r="M43" i="9"/>
  <c r="M42" i="9" s="1"/>
  <c r="I70" i="9"/>
  <c r="J22" i="9"/>
  <c r="J21" i="9" s="1"/>
  <c r="I113" i="9"/>
  <c r="O113" i="9" s="1"/>
  <c r="I112" i="9"/>
  <c r="O112" i="9" s="1"/>
  <c r="J119" i="9"/>
  <c r="J118" i="9" s="1"/>
  <c r="J117" i="9" s="1"/>
  <c r="G120" i="9"/>
  <c r="G119" i="9" s="1"/>
  <c r="G118" i="9" s="1"/>
  <c r="G117" i="9" s="1"/>
  <c r="M121" i="9"/>
  <c r="M120" i="9" s="1"/>
  <c r="M119" i="9" s="1"/>
  <c r="M118" i="9" s="1"/>
  <c r="M117" i="9" s="1"/>
  <c r="I57" i="9"/>
  <c r="I56" i="9" s="1"/>
  <c r="I55" i="9" s="1"/>
  <c r="I54" i="9" s="1"/>
  <c r="O150" i="9"/>
  <c r="O149" i="9" s="1"/>
  <c r="O148" i="9" s="1"/>
  <c r="O147" i="9" s="1"/>
  <c r="O115" i="9"/>
  <c r="O39" i="9"/>
  <c r="O38" i="9" s="1"/>
  <c r="O37" i="9" s="1"/>
  <c r="O36" i="9" s="1"/>
  <c r="O35" i="9" s="1"/>
  <c r="N38" i="9"/>
  <c r="N37" i="9" s="1"/>
  <c r="N36" i="9" s="1"/>
  <c r="N35" i="9" s="1"/>
  <c r="G90" i="9"/>
  <c r="G89" i="9" s="1"/>
  <c r="I92" i="9"/>
  <c r="L96" i="9"/>
  <c r="L90" i="9" s="1"/>
  <c r="L89" i="9" s="1"/>
  <c r="I101" i="9"/>
  <c r="H100" i="9"/>
  <c r="N101" i="9"/>
  <c r="N100" i="9" s="1"/>
  <c r="N96" i="9" s="1"/>
  <c r="O211" i="9"/>
  <c r="O210" i="9" s="1"/>
  <c r="M218" i="9"/>
  <c r="O234" i="9"/>
  <c r="O243" i="9"/>
  <c r="O242" i="9" s="1"/>
  <c r="O241" i="9" s="1"/>
  <c r="N243" i="9"/>
  <c r="N242" i="9" s="1"/>
  <c r="N241" i="9" s="1"/>
  <c r="N228" i="9" s="1"/>
  <c r="I247" i="9"/>
  <c r="O247" i="9" s="1"/>
  <c r="I248" i="9"/>
  <c r="O248" i="9" s="1"/>
  <c r="O269" i="9"/>
  <c r="O268" i="9" s="1"/>
  <c r="H272" i="9"/>
  <c r="N272" i="9" s="1"/>
  <c r="G175" i="9"/>
  <c r="G174" i="9" s="1"/>
  <c r="G173" i="9" s="1"/>
  <c r="G172" i="9" s="1"/>
  <c r="N177" i="9"/>
  <c r="N176" i="9" s="1"/>
  <c r="N175" i="9" s="1"/>
  <c r="N174" i="9" s="1"/>
  <c r="N173" i="9" s="1"/>
  <c r="L177" i="9"/>
  <c r="I246" i="9"/>
  <c r="M262" i="9"/>
  <c r="M261" i="9" s="1"/>
  <c r="M260" i="9" s="1"/>
  <c r="M175" i="9"/>
  <c r="M174" i="9" s="1"/>
  <c r="M173" i="9" s="1"/>
  <c r="M172" i="9" s="1"/>
  <c r="J381" i="9"/>
  <c r="N203" i="9"/>
  <c r="N202" i="9" s="1"/>
  <c r="M277" i="9"/>
  <c r="M276" i="9" s="1"/>
  <c r="M275" i="9" s="1"/>
  <c r="N313" i="9"/>
  <c r="M347" i="9"/>
  <c r="M346" i="9" s="1"/>
  <c r="M345" i="9" s="1"/>
  <c r="N351" i="9"/>
  <c r="N347" i="9" s="1"/>
  <c r="N346" i="9" s="1"/>
  <c r="N345" i="9" s="1"/>
  <c r="I368" i="9"/>
  <c r="I367" i="9" s="1"/>
  <c r="I360" i="9" s="1"/>
  <c r="I359" i="9" s="1"/>
  <c r="I358" i="9" s="1"/>
  <c r="O369" i="9"/>
  <c r="O368" i="9" s="1"/>
  <c r="N342" i="9"/>
  <c r="H340" i="9"/>
  <c r="N340" i="9" s="1"/>
  <c r="H360" i="9"/>
  <c r="H359" i="9" s="1"/>
  <c r="H358" i="9" s="1"/>
  <c r="N443" i="9"/>
  <c r="N427" i="9" s="1"/>
  <c r="N426" i="9" s="1"/>
  <c r="I443" i="9"/>
  <c r="I313" i="9"/>
  <c r="O313" i="9" s="1"/>
  <c r="I335" i="9"/>
  <c r="I334" i="9" s="1"/>
  <c r="I333" i="9" s="1"/>
  <c r="O336" i="9"/>
  <c r="O335" i="9" s="1"/>
  <c r="O334" i="9" s="1"/>
  <c r="O333" i="9" s="1"/>
  <c r="M324" i="9"/>
  <c r="M321" i="9" s="1"/>
  <c r="M320" i="9" s="1"/>
  <c r="K427" i="9"/>
  <c r="K426" i="9" s="1"/>
  <c r="K425" i="9" s="1"/>
  <c r="K424" i="9" s="1"/>
  <c r="J462" i="9"/>
  <c r="J461" i="9" s="1"/>
  <c r="J460" i="9" s="1"/>
  <c r="J478" i="9"/>
  <c r="G429" i="9"/>
  <c r="G428" i="9" s="1"/>
  <c r="O469" i="9"/>
  <c r="O468" i="9" s="1"/>
  <c r="O467" i="9" s="1"/>
  <c r="O462" i="9" s="1"/>
  <c r="O461" i="9" s="1"/>
  <c r="O460" i="9" s="1"/>
  <c r="I468" i="9"/>
  <c r="I467" i="9" s="1"/>
  <c r="G482" i="9"/>
  <c r="G481" i="9" s="1"/>
  <c r="G480" i="9" s="1"/>
  <c r="G479" i="9" s="1"/>
  <c r="G478" i="9" s="1"/>
  <c r="I464" i="9"/>
  <c r="I463" i="9" s="1"/>
  <c r="O342" i="8"/>
  <c r="O348" i="8"/>
  <c r="L342" i="8"/>
  <c r="J342" i="8"/>
  <c r="L348" i="8"/>
  <c r="J348" i="8"/>
  <c r="O167" i="8"/>
  <c r="I167" i="8"/>
  <c r="O183" i="8"/>
  <c r="I183" i="8"/>
  <c r="H292" i="9" l="1"/>
  <c r="H291" i="9" s="1"/>
  <c r="O273" i="9"/>
  <c r="M90" i="9"/>
  <c r="M89" i="9" s="1"/>
  <c r="N260" i="9"/>
  <c r="N259" i="9" s="1"/>
  <c r="N172" i="9"/>
  <c r="O275" i="9"/>
  <c r="N425" i="9"/>
  <c r="N424" i="9" s="1"/>
  <c r="H201" i="9"/>
  <c r="I275" i="9"/>
  <c r="I259" i="9" s="1"/>
  <c r="N246" i="9"/>
  <c r="H172" i="9"/>
  <c r="G246" i="9"/>
  <c r="L262" i="9"/>
  <c r="L261" i="9" s="1"/>
  <c r="L260" i="9" s="1"/>
  <c r="L259" i="9" s="1"/>
  <c r="L245" i="9" s="1"/>
  <c r="I120" i="9"/>
  <c r="I119" i="9" s="1"/>
  <c r="I118" i="9" s="1"/>
  <c r="I117" i="9" s="1"/>
  <c r="I111" i="9" s="1"/>
  <c r="M360" i="9"/>
  <c r="M359" i="9" s="1"/>
  <c r="M358" i="9" s="1"/>
  <c r="I351" i="9"/>
  <c r="I347" i="9" s="1"/>
  <c r="I346" i="9" s="1"/>
  <c r="I345" i="9" s="1"/>
  <c r="O367" i="9"/>
  <c r="O360" i="9" s="1"/>
  <c r="O359" i="9" s="1"/>
  <c r="O358" i="9" s="1"/>
  <c r="J111" i="9"/>
  <c r="J425" i="9"/>
  <c r="J424" i="9" s="1"/>
  <c r="L367" i="9"/>
  <c r="O324" i="9"/>
  <c r="O321" i="9" s="1"/>
  <c r="O320" i="9" s="1"/>
  <c r="M427" i="9"/>
  <c r="M426" i="9" s="1"/>
  <c r="M425" i="9" s="1"/>
  <c r="M424" i="9" s="1"/>
  <c r="O351" i="9"/>
  <c r="O347" i="9" s="1"/>
  <c r="O346" i="9" s="1"/>
  <c r="O345" i="9" s="1"/>
  <c r="I462" i="9"/>
  <c r="I461" i="9" s="1"/>
  <c r="I460" i="9" s="1"/>
  <c r="I212" i="9"/>
  <c r="I201" i="9" s="1"/>
  <c r="M111" i="9"/>
  <c r="O206" i="9"/>
  <c r="O246" i="9"/>
  <c r="N321" i="9"/>
  <c r="N320" i="9" s="1"/>
  <c r="L111" i="9"/>
  <c r="H246" i="9"/>
  <c r="L360" i="9"/>
  <c r="L359" i="9" s="1"/>
  <c r="L358" i="9" s="1"/>
  <c r="I437" i="9"/>
  <c r="I436" i="9" s="1"/>
  <c r="I427" i="9" s="1"/>
  <c r="I426" i="9" s="1"/>
  <c r="M59" i="9"/>
  <c r="K245" i="9"/>
  <c r="K33" i="9" s="1"/>
  <c r="K20" i="9" s="1"/>
  <c r="L59" i="9"/>
  <c r="L34" i="9" s="1"/>
  <c r="G200" i="9"/>
  <c r="G163" i="9" s="1"/>
  <c r="G259" i="9"/>
  <c r="G245" i="9" s="1"/>
  <c r="M41" i="9"/>
  <c r="M40" i="9" s="1"/>
  <c r="J201" i="9"/>
  <c r="J200" i="9" s="1"/>
  <c r="J163" i="9" s="1"/>
  <c r="O41" i="9"/>
  <c r="O40" i="9" s="1"/>
  <c r="N201" i="9"/>
  <c r="N117" i="9"/>
  <c r="H111" i="9"/>
  <c r="N111" i="9" s="1"/>
  <c r="M201" i="9"/>
  <c r="M163" i="9" s="1"/>
  <c r="L200" i="9"/>
  <c r="N90" i="9"/>
  <c r="N89" i="9" s="1"/>
  <c r="N59" i="9" s="1"/>
  <c r="N34" i="9" s="1"/>
  <c r="J59" i="9"/>
  <c r="J34" i="9" s="1"/>
  <c r="N294" i="9"/>
  <c r="O228" i="9"/>
  <c r="G59" i="9"/>
  <c r="G34" i="9" s="1"/>
  <c r="G111" i="9"/>
  <c r="O262" i="9"/>
  <c r="O261" i="9" s="1"/>
  <c r="O260" i="9" s="1"/>
  <c r="O259" i="9" s="1"/>
  <c r="M294" i="9"/>
  <c r="M293" i="9" s="1"/>
  <c r="M292" i="9" s="1"/>
  <c r="M291" i="9" s="1"/>
  <c r="I191" i="9"/>
  <c r="O192" i="9"/>
  <c r="O120" i="9"/>
  <c r="O119" i="9" s="1"/>
  <c r="O118" i="9" s="1"/>
  <c r="O117" i="9" s="1"/>
  <c r="O111" i="9" s="1"/>
  <c r="G427" i="9"/>
  <c r="G426" i="9" s="1"/>
  <c r="O443" i="9"/>
  <c r="O437" i="9" s="1"/>
  <c r="O436" i="9" s="1"/>
  <c r="I294" i="9"/>
  <c r="M259" i="9"/>
  <c r="L176" i="9"/>
  <c r="L175" i="9" s="1"/>
  <c r="L174" i="9" s="1"/>
  <c r="L173" i="9" s="1"/>
  <c r="L172" i="9" s="1"/>
  <c r="O177" i="9"/>
  <c r="O176" i="9" s="1"/>
  <c r="O175" i="9" s="1"/>
  <c r="O174" i="9" s="1"/>
  <c r="O173" i="9" s="1"/>
  <c r="O101" i="9"/>
  <c r="O100" i="9" s="1"/>
  <c r="O96" i="9" s="1"/>
  <c r="O90" i="9" s="1"/>
  <c r="O89" i="9" s="1"/>
  <c r="O59" i="9" s="1"/>
  <c r="I100" i="9"/>
  <c r="I96" i="9" s="1"/>
  <c r="I90" i="9" s="1"/>
  <c r="I89" i="9" s="1"/>
  <c r="I59" i="9" s="1"/>
  <c r="I34" i="9" s="1"/>
  <c r="O202" i="9"/>
  <c r="O201" i="9" s="1"/>
  <c r="H89" i="9"/>
  <c r="H260" i="9"/>
  <c r="H259" i="9" s="1"/>
  <c r="O436" i="8"/>
  <c r="N436" i="8"/>
  <c r="I436" i="8"/>
  <c r="H436" i="8"/>
  <c r="O439" i="8"/>
  <c r="O440" i="8"/>
  <c r="N439" i="8"/>
  <c r="N440" i="8"/>
  <c r="I439" i="8"/>
  <c r="I440" i="8"/>
  <c r="O203" i="8"/>
  <c r="O204" i="8"/>
  <c r="N203" i="8"/>
  <c r="N204" i="8"/>
  <c r="L201" i="8"/>
  <c r="L202" i="8"/>
  <c r="L203" i="8"/>
  <c r="L204" i="8"/>
  <c r="H245" i="9" l="1"/>
  <c r="H163" i="9"/>
  <c r="N163" i="9"/>
  <c r="I425" i="9"/>
  <c r="I424" i="9" s="1"/>
  <c r="J33" i="9"/>
  <c r="J20" i="9" s="1"/>
  <c r="G425" i="9"/>
  <c r="G424" i="9" s="1"/>
  <c r="M34" i="9"/>
  <c r="O34" i="9"/>
  <c r="H59" i="9"/>
  <c r="H34" i="9" s="1"/>
  <c r="N293" i="9"/>
  <c r="N292" i="9" s="1"/>
  <c r="L163" i="9"/>
  <c r="L33" i="9" s="1"/>
  <c r="G33" i="9"/>
  <c r="M245" i="9"/>
  <c r="O191" i="9"/>
  <c r="O172" i="9" s="1"/>
  <c r="I172" i="9"/>
  <c r="I163" i="9" s="1"/>
  <c r="I293" i="9"/>
  <c r="O294" i="9"/>
  <c r="O293" i="9" s="1"/>
  <c r="O258" i="8"/>
  <c r="I258" i="8"/>
  <c r="O264" i="8"/>
  <c r="N264" i="8"/>
  <c r="I264" i="8"/>
  <c r="I292" i="9" l="1"/>
  <c r="I291" i="9" s="1"/>
  <c r="I245" i="9" s="1"/>
  <c r="I33" i="9" s="1"/>
  <c r="I20" i="9" s="1"/>
  <c r="H33" i="9"/>
  <c r="H20" i="9" s="1"/>
  <c r="O292" i="9"/>
  <c r="O291" i="9" s="1"/>
  <c r="O245" i="9" s="1"/>
  <c r="M33" i="9"/>
  <c r="M20" i="9" s="1"/>
  <c r="O163" i="9"/>
  <c r="N291" i="9"/>
  <c r="N245" i="9" s="1"/>
  <c r="N33" i="9" s="1"/>
  <c r="N20" i="9" s="1"/>
  <c r="G20" i="9"/>
  <c r="O282" i="8"/>
  <c r="I282" i="8"/>
  <c r="N282" i="8"/>
  <c r="H98" i="8"/>
  <c r="O33" i="9" l="1"/>
  <c r="N422" i="8"/>
  <c r="O422" i="8" s="1"/>
  <c r="I422" i="8"/>
  <c r="H419" i="8"/>
  <c r="H418" i="8" s="1"/>
  <c r="I301" i="8"/>
  <c r="N301" i="8"/>
  <c r="O279" i="8"/>
  <c r="O280" i="8"/>
  <c r="O281" i="8"/>
  <c r="H268" i="8"/>
  <c r="N279" i="8" l="1"/>
  <c r="N280" i="8"/>
  <c r="N281" i="8"/>
  <c r="I279" i="8"/>
  <c r="I280" i="8"/>
  <c r="I281" i="8"/>
  <c r="N283" i="8"/>
  <c r="O283" i="8" s="1"/>
  <c r="I283" i="8"/>
  <c r="O99" i="8" l="1"/>
  <c r="N99" i="8"/>
  <c r="I289" i="8"/>
  <c r="I99" i="8" l="1"/>
  <c r="H97" i="8"/>
  <c r="I198" i="8"/>
  <c r="H198" i="8"/>
  <c r="I201" i="8"/>
  <c r="I203" i="8"/>
  <c r="I204" i="8"/>
  <c r="I202" i="8"/>
  <c r="O317" i="8" l="1"/>
  <c r="I317" i="8"/>
  <c r="O319" i="8"/>
  <c r="N319" i="8"/>
  <c r="H318" i="8"/>
  <c r="I120" i="8"/>
  <c r="I90" i="8" l="1"/>
  <c r="O186" i="8" l="1"/>
  <c r="N186" i="8"/>
  <c r="I186" i="8"/>
  <c r="H187" i="8"/>
  <c r="N187" i="8" s="1"/>
  <c r="I187" i="8"/>
  <c r="O187" i="8" s="1"/>
  <c r="I172" i="8"/>
  <c r="I188" i="8" l="1"/>
  <c r="H317" i="8" l="1"/>
  <c r="I319" i="8"/>
  <c r="I351" i="8" l="1"/>
  <c r="H228" i="8"/>
  <c r="N228" i="8" s="1"/>
  <c r="O228" i="8" s="1"/>
  <c r="O232" i="8"/>
  <c r="N232" i="8"/>
  <c r="O233" i="8"/>
  <c r="N233" i="8"/>
  <c r="I232" i="8"/>
  <c r="I233" i="8"/>
  <c r="I228" i="8" l="1"/>
  <c r="I44" i="8"/>
  <c r="I58" i="8"/>
  <c r="I291" i="8"/>
  <c r="I107" i="8" l="1"/>
  <c r="I318" i="8"/>
  <c r="I98" i="8"/>
  <c r="I97" i="8" s="1"/>
  <c r="O110" i="8" l="1"/>
  <c r="N110" i="8"/>
  <c r="O111" i="8"/>
  <c r="N111" i="8"/>
  <c r="I110" i="8"/>
  <c r="H110" i="8"/>
  <c r="I111" i="8"/>
  <c r="H111" i="8"/>
  <c r="H109" i="8"/>
  <c r="N109" i="8" s="1"/>
  <c r="N113" i="8"/>
  <c r="I113" i="8"/>
  <c r="O113" i="8" s="1"/>
  <c r="N112" i="8" l="1"/>
  <c r="I112" i="8"/>
  <c r="O112" i="8" s="1"/>
  <c r="I109" i="8"/>
  <c r="O109" i="8" s="1"/>
  <c r="O237" i="8" l="1"/>
  <c r="N237" i="8"/>
  <c r="I237" i="8"/>
  <c r="N465" i="8" l="1"/>
  <c r="O465" i="8" s="1"/>
  <c r="H464" i="8"/>
  <c r="H463" i="8" s="1"/>
  <c r="I465" i="8"/>
  <c r="N39" i="8"/>
  <c r="O39" i="8" s="1"/>
  <c r="I39" i="8"/>
  <c r="M275" i="8" l="1"/>
  <c r="G240" i="8" l="1"/>
  <c r="M240" i="8" s="1"/>
  <c r="O404" i="8"/>
  <c r="M404" i="8"/>
  <c r="O318" i="8"/>
  <c r="M318" i="8"/>
  <c r="M309" i="8"/>
  <c r="J308" i="8"/>
  <c r="I309" i="8"/>
  <c r="G308" i="8"/>
  <c r="I308" i="8" s="1"/>
  <c r="M303" i="8"/>
  <c r="L303" i="8"/>
  <c r="J302" i="8"/>
  <c r="I303" i="8"/>
  <c r="G302" i="8"/>
  <c r="M302" i="8" s="1"/>
  <c r="L275" i="8"/>
  <c r="G241" i="8"/>
  <c r="M242" i="8"/>
  <c r="M202" i="8"/>
  <c r="O201" i="8"/>
  <c r="O202" i="8"/>
  <c r="J201" i="8"/>
  <c r="M132" i="8"/>
  <c r="M133" i="8"/>
  <c r="M134" i="8"/>
  <c r="I132" i="8"/>
  <c r="I133" i="8"/>
  <c r="I134" i="8"/>
  <c r="M135" i="8"/>
  <c r="I135" i="8"/>
  <c r="O135" i="8" s="1"/>
  <c r="O58" i="8"/>
  <c r="M58" i="8"/>
  <c r="M44" i="8"/>
  <c r="O476" i="8"/>
  <c r="O475" i="8" s="1"/>
  <c r="O474" i="8" s="1"/>
  <c r="O473" i="8" s="1"/>
  <c r="O472" i="8" s="1"/>
  <c r="O471" i="8" s="1"/>
  <c r="N476" i="8"/>
  <c r="M476" i="8"/>
  <c r="M475" i="8" s="1"/>
  <c r="M474" i="8" s="1"/>
  <c r="M473" i="8" s="1"/>
  <c r="M472" i="8" s="1"/>
  <c r="M471" i="8" s="1"/>
  <c r="L476" i="8"/>
  <c r="L475" i="8" s="1"/>
  <c r="L474" i="8" s="1"/>
  <c r="L473" i="8" s="1"/>
  <c r="L472" i="8" s="1"/>
  <c r="L471" i="8" s="1"/>
  <c r="J476" i="8"/>
  <c r="I476" i="8"/>
  <c r="G476" i="8"/>
  <c r="G475" i="8" s="1"/>
  <c r="G474" i="8" s="1"/>
  <c r="G473" i="8" s="1"/>
  <c r="G472" i="8" s="1"/>
  <c r="G471" i="8" s="1"/>
  <c r="N475" i="8"/>
  <c r="N474" i="8" s="1"/>
  <c r="N473" i="8" s="1"/>
  <c r="N472" i="8" s="1"/>
  <c r="N471" i="8" s="1"/>
  <c r="K475" i="8"/>
  <c r="J475" i="8"/>
  <c r="J474" i="8" s="1"/>
  <c r="J473" i="8" s="1"/>
  <c r="J472" i="8" s="1"/>
  <c r="J471" i="8" s="1"/>
  <c r="I475" i="8"/>
  <c r="I474" i="8" s="1"/>
  <c r="I473" i="8" s="1"/>
  <c r="I472" i="8" s="1"/>
  <c r="I471" i="8" s="1"/>
  <c r="H475" i="8"/>
  <c r="H474" i="8" s="1"/>
  <c r="H473" i="8" s="1"/>
  <c r="H472" i="8" s="1"/>
  <c r="H471" i="8" s="1"/>
  <c r="H470" i="8" s="1"/>
  <c r="K474" i="8"/>
  <c r="K473" i="8" s="1"/>
  <c r="K472" i="8" s="1"/>
  <c r="K471" i="8" s="1"/>
  <c r="K470" i="8" s="1"/>
  <c r="O470" i="8"/>
  <c r="M470" i="8"/>
  <c r="I470" i="8"/>
  <c r="G470" i="8"/>
  <c r="O469" i="8"/>
  <c r="M469" i="8"/>
  <c r="I469" i="8"/>
  <c r="I468" i="8" s="1"/>
  <c r="I467" i="8" s="1"/>
  <c r="G469" i="8"/>
  <c r="O468" i="8"/>
  <c r="O467" i="8" s="1"/>
  <c r="N468" i="8"/>
  <c r="M468" i="8"/>
  <c r="M467" i="8" s="1"/>
  <c r="L468" i="8"/>
  <c r="J468" i="8"/>
  <c r="J467" i="8" s="1"/>
  <c r="G468" i="8"/>
  <c r="G467" i="8" s="1"/>
  <c r="N467" i="8"/>
  <c r="L467" i="8"/>
  <c r="K467" i="8"/>
  <c r="K466" i="8" s="1"/>
  <c r="H467" i="8"/>
  <c r="H466" i="8" s="1"/>
  <c r="O464" i="8"/>
  <c r="O463" i="8" s="1"/>
  <c r="O462" i="8" s="1"/>
  <c r="O461" i="8" s="1"/>
  <c r="O460" i="8" s="1"/>
  <c r="O459" i="8" s="1"/>
  <c r="N464" i="8"/>
  <c r="N463" i="8" s="1"/>
  <c r="M464" i="8"/>
  <c r="M463" i="8" s="1"/>
  <c r="M462" i="8" s="1"/>
  <c r="M461" i="8" s="1"/>
  <c r="M460" i="8" s="1"/>
  <c r="M459" i="8" s="1"/>
  <c r="L464" i="8"/>
  <c r="J464" i="8"/>
  <c r="J463" i="8" s="1"/>
  <c r="I464" i="8"/>
  <c r="I463" i="8" s="1"/>
  <c r="G464" i="8"/>
  <c r="G463" i="8" s="1"/>
  <c r="L463" i="8"/>
  <c r="L462" i="8" s="1"/>
  <c r="L461" i="8" s="1"/>
  <c r="L460" i="8" s="1"/>
  <c r="L459" i="8" s="1"/>
  <c r="K462" i="8"/>
  <c r="H462" i="8"/>
  <c r="O457" i="8"/>
  <c r="M457" i="8"/>
  <c r="I457" i="8"/>
  <c r="G457" i="8"/>
  <c r="O456" i="8"/>
  <c r="M456" i="8"/>
  <c r="M455" i="8" s="1"/>
  <c r="M454" i="8" s="1"/>
  <c r="M453" i="8" s="1"/>
  <c r="I456" i="8"/>
  <c r="G456" i="8"/>
  <c r="G455" i="8" s="1"/>
  <c r="G454" i="8" s="1"/>
  <c r="G453" i="8" s="1"/>
  <c r="O455" i="8"/>
  <c r="N455" i="8"/>
  <c r="N454" i="8" s="1"/>
  <c r="N453" i="8" s="1"/>
  <c r="L455" i="8"/>
  <c r="L454" i="8" s="1"/>
  <c r="L453" i="8" s="1"/>
  <c r="J455" i="8"/>
  <c r="J454" i="8" s="1"/>
  <c r="J453" i="8" s="1"/>
  <c r="I455" i="8"/>
  <c r="I454" i="8" s="1"/>
  <c r="I453" i="8" s="1"/>
  <c r="O454" i="8"/>
  <c r="O453" i="8" s="1"/>
  <c r="K454" i="8"/>
  <c r="K453" i="8" s="1"/>
  <c r="H454" i="8"/>
  <c r="H453" i="8"/>
  <c r="O452" i="8"/>
  <c r="M452" i="8"/>
  <c r="M449" i="8" s="1"/>
  <c r="M448" i="8" s="1"/>
  <c r="I452" i="8"/>
  <c r="G452" i="8"/>
  <c r="G449" i="8" s="1"/>
  <c r="G448" i="8" s="1"/>
  <c r="N451" i="8"/>
  <c r="M451" i="8"/>
  <c r="I451" i="8"/>
  <c r="O451" i="8" s="1"/>
  <c r="N450" i="8"/>
  <c r="M450" i="8"/>
  <c r="I450" i="8"/>
  <c r="O450" i="8" s="1"/>
  <c r="N449" i="8"/>
  <c r="L449" i="8"/>
  <c r="L448" i="8" s="1"/>
  <c r="J449" i="8"/>
  <c r="J448" i="8" s="1"/>
  <c r="H449" i="8"/>
  <c r="H448" i="8" s="1"/>
  <c r="N448" i="8"/>
  <c r="K448" i="8"/>
  <c r="N447" i="8"/>
  <c r="N445" i="8" s="1"/>
  <c r="N444" i="8" s="1"/>
  <c r="M447" i="8"/>
  <c r="I447" i="8"/>
  <c r="O446" i="8"/>
  <c r="M446" i="8"/>
  <c r="I446" i="8"/>
  <c r="G446" i="8"/>
  <c r="L445" i="8"/>
  <c r="L444" i="8" s="1"/>
  <c r="L443" i="8" s="1"/>
  <c r="L442" i="8" s="1"/>
  <c r="L441" i="8" s="1"/>
  <c r="J445" i="8"/>
  <c r="J444" i="8" s="1"/>
  <c r="J443" i="8" s="1"/>
  <c r="J442" i="8" s="1"/>
  <c r="J441" i="8" s="1"/>
  <c r="I445" i="8"/>
  <c r="I444" i="8" s="1"/>
  <c r="H445" i="8"/>
  <c r="G445" i="8"/>
  <c r="G444" i="8" s="1"/>
  <c r="K444" i="8"/>
  <c r="K443" i="8" s="1"/>
  <c r="K442" i="8" s="1"/>
  <c r="K441" i="8" s="1"/>
  <c r="H444" i="8"/>
  <c r="O438" i="8"/>
  <c r="M438" i="8"/>
  <c r="M437" i="8" s="1"/>
  <c r="I438" i="8"/>
  <c r="G438" i="8"/>
  <c r="G437" i="8" s="1"/>
  <c r="O437" i="8"/>
  <c r="O435" i="8" s="1"/>
  <c r="O434" i="8" s="1"/>
  <c r="O433" i="8" s="1"/>
  <c r="N437" i="8"/>
  <c r="L437" i="8"/>
  <c r="L436" i="8" s="1"/>
  <c r="L435" i="8" s="1"/>
  <c r="L434" i="8" s="1"/>
  <c r="L433" i="8" s="1"/>
  <c r="J437" i="8"/>
  <c r="I437" i="8"/>
  <c r="I435" i="8" s="1"/>
  <c r="I434" i="8" s="1"/>
  <c r="I433" i="8" s="1"/>
  <c r="M436" i="8"/>
  <c r="M435" i="8" s="1"/>
  <c r="M434" i="8" s="1"/>
  <c r="M433" i="8" s="1"/>
  <c r="K436" i="8"/>
  <c r="K435" i="8" s="1"/>
  <c r="J436" i="8"/>
  <c r="G436" i="8"/>
  <c r="G435" i="8" s="1"/>
  <c r="G434" i="8" s="1"/>
  <c r="G433" i="8" s="1"/>
  <c r="N435" i="8"/>
  <c r="N434" i="8" s="1"/>
  <c r="N433" i="8" s="1"/>
  <c r="J435" i="8"/>
  <c r="J434" i="8" s="1"/>
  <c r="J433" i="8" s="1"/>
  <c r="H435" i="8"/>
  <c r="H434" i="8" s="1"/>
  <c r="H433" i="8" s="1"/>
  <c r="K434" i="8"/>
  <c r="K433" i="8" s="1"/>
  <c r="O432" i="8"/>
  <c r="M432" i="8"/>
  <c r="O431" i="8"/>
  <c r="M431" i="8"/>
  <c r="O430" i="8"/>
  <c r="M430" i="8"/>
  <c r="O429" i="8"/>
  <c r="O428" i="8" s="1"/>
  <c r="M429" i="8"/>
  <c r="N428" i="8"/>
  <c r="M428" i="8"/>
  <c r="L428" i="8"/>
  <c r="J428" i="8"/>
  <c r="I428" i="8"/>
  <c r="G428" i="8"/>
  <c r="N427" i="8"/>
  <c r="N426" i="8" s="1"/>
  <c r="M427" i="8"/>
  <c r="O427" i="8" s="1"/>
  <c r="O426" i="8" s="1"/>
  <c r="I427" i="8"/>
  <c r="M426" i="8"/>
  <c r="L426" i="8"/>
  <c r="J426" i="8"/>
  <c r="H426" i="8"/>
  <c r="G426" i="8"/>
  <c r="I426" i="8" s="1"/>
  <c r="N425" i="8"/>
  <c r="M425" i="8"/>
  <c r="L425" i="8"/>
  <c r="O425" i="8" s="1"/>
  <c r="I425" i="8"/>
  <c r="K424" i="8"/>
  <c r="K418" i="8" s="1"/>
  <c r="K417" i="8" s="1"/>
  <c r="J424" i="8"/>
  <c r="H424" i="8"/>
  <c r="I424" i="8" s="1"/>
  <c r="G424" i="8"/>
  <c r="O423" i="8"/>
  <c r="M423" i="8"/>
  <c r="I423" i="8"/>
  <c r="G423" i="8"/>
  <c r="M422" i="8"/>
  <c r="G422" i="8"/>
  <c r="O421" i="8"/>
  <c r="N421" i="8"/>
  <c r="M421" i="8"/>
  <c r="I421" i="8"/>
  <c r="O420" i="8"/>
  <c r="M420" i="8"/>
  <c r="I420" i="8"/>
  <c r="I419" i="8" s="1"/>
  <c r="I418" i="8" s="1"/>
  <c r="I417" i="8" s="1"/>
  <c r="O418" i="8" s="1"/>
  <c r="G420" i="8"/>
  <c r="O419" i="8"/>
  <c r="N419" i="8"/>
  <c r="N418" i="8" s="1"/>
  <c r="M419" i="8"/>
  <c r="M418" i="8" s="1"/>
  <c r="L419" i="8"/>
  <c r="J419" i="8"/>
  <c r="J418" i="8" s="1"/>
  <c r="J417" i="8" s="1"/>
  <c r="G419" i="8"/>
  <c r="G418" i="8" s="1"/>
  <c r="G417" i="8" s="1"/>
  <c r="O415" i="8"/>
  <c r="N415" i="8"/>
  <c r="M415" i="8"/>
  <c r="L415" i="8"/>
  <c r="J415" i="8"/>
  <c r="I415" i="8"/>
  <c r="G415" i="8"/>
  <c r="O414" i="8"/>
  <c r="M414" i="8"/>
  <c r="M413" i="8" s="1"/>
  <c r="I414" i="8"/>
  <c r="G414" i="8"/>
  <c r="G413" i="8" s="1"/>
  <c r="G410" i="8" s="1"/>
  <c r="G409" i="8" s="1"/>
  <c r="O413" i="8"/>
  <c r="N413" i="8"/>
  <c r="N410" i="8" s="1"/>
  <c r="N409" i="8" s="1"/>
  <c r="L413" i="8"/>
  <c r="J413" i="8"/>
  <c r="I413" i="8"/>
  <c r="O412" i="8"/>
  <c r="N412" i="8"/>
  <c r="M412" i="8"/>
  <c r="I412" i="8"/>
  <c r="O411" i="8"/>
  <c r="N411" i="8"/>
  <c r="M411" i="8"/>
  <c r="M410" i="8" s="1"/>
  <c r="M409" i="8" s="1"/>
  <c r="L411" i="8"/>
  <c r="J411" i="8"/>
  <c r="J410" i="8" s="1"/>
  <c r="J409" i="8" s="1"/>
  <c r="I411" i="8"/>
  <c r="H411" i="8"/>
  <c r="H410" i="8" s="1"/>
  <c r="H409" i="8" s="1"/>
  <c r="G411" i="8"/>
  <c r="O410" i="8"/>
  <c r="O409" i="8" s="1"/>
  <c r="K410" i="8"/>
  <c r="K409" i="8" s="1"/>
  <c r="I410" i="8"/>
  <c r="I409" i="8" s="1"/>
  <c r="M403" i="8"/>
  <c r="M402" i="8" s="1"/>
  <c r="M401" i="8" s="1"/>
  <c r="M400" i="8" s="1"/>
  <c r="M399" i="8" s="1"/>
  <c r="M398" i="8" s="1"/>
  <c r="H403" i="8"/>
  <c r="H402" i="8" s="1"/>
  <c r="H401" i="8" s="1"/>
  <c r="H400" i="8" s="1"/>
  <c r="H399" i="8" s="1"/>
  <c r="H398" i="8" s="1"/>
  <c r="L403" i="8"/>
  <c r="L402" i="8" s="1"/>
  <c r="L401" i="8" s="1"/>
  <c r="L400" i="8" s="1"/>
  <c r="L399" i="8" s="1"/>
  <c r="L398" i="8" s="1"/>
  <c r="J403" i="8"/>
  <c r="J402" i="8" s="1"/>
  <c r="J401" i="8" s="1"/>
  <c r="G403" i="8"/>
  <c r="G402" i="8" s="1"/>
  <c r="G401" i="8" s="1"/>
  <c r="G400" i="8" s="1"/>
  <c r="G399" i="8" s="1"/>
  <c r="G398" i="8" s="1"/>
  <c r="K402" i="8"/>
  <c r="K401" i="8" s="1"/>
  <c r="K400" i="8" s="1"/>
  <c r="K399" i="8" s="1"/>
  <c r="K398" i="8" s="1"/>
  <c r="K397" i="8" s="1"/>
  <c r="J400" i="8"/>
  <c r="J399" i="8" s="1"/>
  <c r="J398" i="8" s="1"/>
  <c r="O396" i="8"/>
  <c r="N396" i="8"/>
  <c r="N395" i="8" s="1"/>
  <c r="N394" i="8" s="1"/>
  <c r="M396" i="8"/>
  <c r="L396" i="8"/>
  <c r="L395" i="8" s="1"/>
  <c r="J396" i="8"/>
  <c r="I396" i="8"/>
  <c r="G396" i="8"/>
  <c r="O395" i="8"/>
  <c r="O394" i="8" s="1"/>
  <c r="M395" i="8"/>
  <c r="M394" i="8" s="1"/>
  <c r="K395" i="8"/>
  <c r="K394" i="8" s="1"/>
  <c r="J395" i="8"/>
  <c r="I395" i="8"/>
  <c r="I394" i="8" s="1"/>
  <c r="H395" i="8"/>
  <c r="G395" i="8"/>
  <c r="G394" i="8" s="1"/>
  <c r="L394" i="8"/>
  <c r="J394" i="8"/>
  <c r="H394" i="8"/>
  <c r="O391" i="8"/>
  <c r="O390" i="8" s="1"/>
  <c r="N391" i="8"/>
  <c r="M391" i="8"/>
  <c r="M390" i="8" s="1"/>
  <c r="L391" i="8"/>
  <c r="L390" i="8" s="1"/>
  <c r="L389" i="8" s="1"/>
  <c r="L388" i="8" s="1"/>
  <c r="L387" i="8" s="1"/>
  <c r="J391" i="8"/>
  <c r="I391" i="8"/>
  <c r="G391" i="8"/>
  <c r="G390" i="8" s="1"/>
  <c r="G389" i="8" s="1"/>
  <c r="N390" i="8"/>
  <c r="N389" i="8" s="1"/>
  <c r="K390" i="8"/>
  <c r="J390" i="8"/>
  <c r="J389" i="8" s="1"/>
  <c r="J388" i="8" s="1"/>
  <c r="J387" i="8" s="1"/>
  <c r="I390" i="8"/>
  <c r="I389" i="8" s="1"/>
  <c r="I388" i="8" s="1"/>
  <c r="I387" i="8" s="1"/>
  <c r="H390" i="8"/>
  <c r="H389" i="8" s="1"/>
  <c r="O389" i="8"/>
  <c r="O388" i="8" s="1"/>
  <c r="M389" i="8"/>
  <c r="M388" i="8" s="1"/>
  <c r="M387" i="8" s="1"/>
  <c r="K389" i="8"/>
  <c r="K388" i="8" s="1"/>
  <c r="K387" i="8" s="1"/>
  <c r="H388" i="8"/>
  <c r="H387" i="8" s="1"/>
  <c r="O387" i="8"/>
  <c r="O385" i="8"/>
  <c r="O384" i="8" s="1"/>
  <c r="O383" i="8" s="1"/>
  <c r="O382" i="8" s="1"/>
  <c r="O381" i="8" s="1"/>
  <c r="N385" i="8"/>
  <c r="N384" i="8" s="1"/>
  <c r="N383" i="8" s="1"/>
  <c r="N382" i="8" s="1"/>
  <c r="N381" i="8" s="1"/>
  <c r="M385" i="8"/>
  <c r="L385" i="8"/>
  <c r="L384" i="8" s="1"/>
  <c r="J385" i="8"/>
  <c r="J384" i="8" s="1"/>
  <c r="J383" i="8" s="1"/>
  <c r="J382" i="8" s="1"/>
  <c r="J381" i="8" s="1"/>
  <c r="I385" i="8"/>
  <c r="I384" i="8" s="1"/>
  <c r="I383" i="8" s="1"/>
  <c r="I382" i="8" s="1"/>
  <c r="I381" i="8" s="1"/>
  <c r="G385" i="8"/>
  <c r="M384" i="8"/>
  <c r="M383" i="8" s="1"/>
  <c r="M382" i="8" s="1"/>
  <c r="M381" i="8" s="1"/>
  <c r="K384" i="8"/>
  <c r="K383" i="8" s="1"/>
  <c r="K382" i="8" s="1"/>
  <c r="K381" i="8" s="1"/>
  <c r="H384" i="8"/>
  <c r="H383" i="8" s="1"/>
  <c r="H382" i="8" s="1"/>
  <c r="H381" i="8" s="1"/>
  <c r="G384" i="8"/>
  <c r="G383" i="8" s="1"/>
  <c r="G382" i="8" s="1"/>
  <c r="G381" i="8" s="1"/>
  <c r="L383" i="8"/>
  <c r="L382" i="8" s="1"/>
  <c r="L381" i="8" s="1"/>
  <c r="O380" i="8"/>
  <c r="O379" i="8" s="1"/>
  <c r="O378" i="8" s="1"/>
  <c r="O377" i="8" s="1"/>
  <c r="O376" i="8" s="1"/>
  <c r="O375" i="8" s="1"/>
  <c r="M380" i="8"/>
  <c r="N379" i="8"/>
  <c r="M379" i="8"/>
  <c r="M378" i="8" s="1"/>
  <c r="M377" i="8" s="1"/>
  <c r="M376" i="8" s="1"/>
  <c r="M375" i="8" s="1"/>
  <c r="L379" i="8"/>
  <c r="L378" i="8" s="1"/>
  <c r="L377" i="8" s="1"/>
  <c r="L376" i="8" s="1"/>
  <c r="L375" i="8" s="1"/>
  <c r="J379" i="8"/>
  <c r="J378" i="8" s="1"/>
  <c r="J377" i="8" s="1"/>
  <c r="J376" i="8" s="1"/>
  <c r="J375" i="8" s="1"/>
  <c r="I379" i="8"/>
  <c r="G379" i="8"/>
  <c r="G378" i="8" s="1"/>
  <c r="G377" i="8" s="1"/>
  <c r="G376" i="8" s="1"/>
  <c r="G375" i="8" s="1"/>
  <c r="N378" i="8"/>
  <c r="N377" i="8" s="1"/>
  <c r="N376" i="8" s="1"/>
  <c r="N375" i="8" s="1"/>
  <c r="K378" i="8"/>
  <c r="I378" i="8"/>
  <c r="I377" i="8" s="1"/>
  <c r="I376" i="8" s="1"/>
  <c r="I375" i="8" s="1"/>
  <c r="H378" i="8"/>
  <c r="H377" i="8" s="1"/>
  <c r="H376" i="8" s="1"/>
  <c r="H375" i="8" s="1"/>
  <c r="K377" i="8"/>
  <c r="K376" i="8" s="1"/>
  <c r="K375" i="8"/>
  <c r="O373" i="8"/>
  <c r="N373" i="8"/>
  <c r="N372" i="8" s="1"/>
  <c r="N371" i="8" s="1"/>
  <c r="N370" i="8" s="1"/>
  <c r="N369" i="8" s="1"/>
  <c r="M373" i="8"/>
  <c r="L373" i="8"/>
  <c r="L372" i="8" s="1"/>
  <c r="L371" i="8" s="1"/>
  <c r="L370" i="8" s="1"/>
  <c r="L369" i="8" s="1"/>
  <c r="J373" i="8"/>
  <c r="J372" i="8" s="1"/>
  <c r="J371" i="8" s="1"/>
  <c r="J370" i="8" s="1"/>
  <c r="J369" i="8" s="1"/>
  <c r="I373" i="8"/>
  <c r="G373" i="8"/>
  <c r="O372" i="8"/>
  <c r="O371" i="8" s="1"/>
  <c r="O370" i="8" s="1"/>
  <c r="O369" i="8" s="1"/>
  <c r="M372" i="8"/>
  <c r="M371" i="8" s="1"/>
  <c r="M370" i="8" s="1"/>
  <c r="M369" i="8" s="1"/>
  <c r="K372" i="8"/>
  <c r="K371" i="8" s="1"/>
  <c r="K370" i="8" s="1"/>
  <c r="K369" i="8" s="1"/>
  <c r="I372" i="8"/>
  <c r="I371" i="8" s="1"/>
  <c r="I370" i="8" s="1"/>
  <c r="I369" i="8" s="1"/>
  <c r="H372" i="8"/>
  <c r="H371" i="8" s="1"/>
  <c r="H370" i="8" s="1"/>
  <c r="H369" i="8" s="1"/>
  <c r="G372" i="8"/>
  <c r="G371" i="8" s="1"/>
  <c r="G370" i="8" s="1"/>
  <c r="G369" i="8" s="1"/>
  <c r="O367" i="8"/>
  <c r="O366" i="8" s="1"/>
  <c r="O365" i="8" s="1"/>
  <c r="O364" i="8" s="1"/>
  <c r="O363" i="8" s="1"/>
  <c r="N367" i="8"/>
  <c r="M367" i="8"/>
  <c r="M366" i="8" s="1"/>
  <c r="L367" i="8"/>
  <c r="L366" i="8" s="1"/>
  <c r="L365" i="8" s="1"/>
  <c r="L364" i="8" s="1"/>
  <c r="L363" i="8" s="1"/>
  <c r="J367" i="8"/>
  <c r="J366" i="8" s="1"/>
  <c r="J365" i="8" s="1"/>
  <c r="J364" i="8" s="1"/>
  <c r="J363" i="8" s="1"/>
  <c r="I367" i="8"/>
  <c r="G367" i="8"/>
  <c r="G366" i="8" s="1"/>
  <c r="G365" i="8" s="1"/>
  <c r="G364" i="8" s="1"/>
  <c r="G363" i="8" s="1"/>
  <c r="N366" i="8"/>
  <c r="N365" i="8" s="1"/>
  <c r="N364" i="8" s="1"/>
  <c r="N363" i="8" s="1"/>
  <c r="K366" i="8"/>
  <c r="I366" i="8"/>
  <c r="H366" i="8"/>
  <c r="H365" i="8" s="1"/>
  <c r="H364" i="8" s="1"/>
  <c r="H363" i="8" s="1"/>
  <c r="H362" i="8" s="1"/>
  <c r="M365" i="8"/>
  <c r="M364" i="8" s="1"/>
  <c r="M363" i="8" s="1"/>
  <c r="K365" i="8"/>
  <c r="K364" i="8" s="1"/>
  <c r="I365" i="8"/>
  <c r="I364" i="8" s="1"/>
  <c r="I363" i="8" s="1"/>
  <c r="K363" i="8"/>
  <c r="K362" i="8" s="1"/>
  <c r="O360" i="8"/>
  <c r="O359" i="8" s="1"/>
  <c r="N360" i="8"/>
  <c r="M360" i="8"/>
  <c r="M359" i="8" s="1"/>
  <c r="M358" i="8" s="1"/>
  <c r="M357" i="8" s="1"/>
  <c r="L360" i="8"/>
  <c r="J360" i="8"/>
  <c r="J359" i="8" s="1"/>
  <c r="J358" i="8" s="1"/>
  <c r="J357" i="8" s="1"/>
  <c r="I360" i="8"/>
  <c r="G360" i="8"/>
  <c r="G359" i="8" s="1"/>
  <c r="G358" i="8" s="1"/>
  <c r="G357" i="8" s="1"/>
  <c r="N359" i="8"/>
  <c r="N358" i="8" s="1"/>
  <c r="N357" i="8" s="1"/>
  <c r="L359" i="8"/>
  <c r="L358" i="8" s="1"/>
  <c r="L357" i="8" s="1"/>
  <c r="K359" i="8"/>
  <c r="I359" i="8"/>
  <c r="I358" i="8" s="1"/>
  <c r="I357" i="8" s="1"/>
  <c r="H359" i="8"/>
  <c r="H358" i="8" s="1"/>
  <c r="H357" i="8" s="1"/>
  <c r="O358" i="8"/>
  <c r="O357" i="8" s="1"/>
  <c r="K358" i="8"/>
  <c r="K357" i="8"/>
  <c r="N356" i="8"/>
  <c r="M356" i="8"/>
  <c r="L356" i="8"/>
  <c r="O356" i="8" s="1"/>
  <c r="N355" i="8"/>
  <c r="M355" i="8"/>
  <c r="L355" i="8"/>
  <c r="O355" i="8" s="1"/>
  <c r="N354" i="8"/>
  <c r="M354" i="8"/>
  <c r="O354" i="8" s="1"/>
  <c r="O353" i="8" s="1"/>
  <c r="I354" i="8"/>
  <c r="N353" i="8"/>
  <c r="L353" i="8"/>
  <c r="J353" i="8"/>
  <c r="I353" i="8"/>
  <c r="G353" i="8"/>
  <c r="N351" i="8"/>
  <c r="M351" i="8"/>
  <c r="L351" i="8"/>
  <c r="L349" i="8" s="1"/>
  <c r="O351" i="8"/>
  <c r="N350" i="8"/>
  <c r="N349" i="8" s="1"/>
  <c r="N348" i="8" s="1"/>
  <c r="M350" i="8"/>
  <c r="I350" i="8"/>
  <c r="I349" i="8" s="1"/>
  <c r="I348" i="8" s="1"/>
  <c r="K349" i="8"/>
  <c r="J349" i="8"/>
  <c r="H349" i="8"/>
  <c r="H348" i="8" s="1"/>
  <c r="G349" i="8"/>
  <c r="K348" i="8"/>
  <c r="G348" i="8"/>
  <c r="O346" i="8"/>
  <c r="N346" i="8"/>
  <c r="M346" i="8"/>
  <c r="L346" i="8"/>
  <c r="J346" i="8"/>
  <c r="I346" i="8"/>
  <c r="G346" i="8"/>
  <c r="O344" i="8"/>
  <c r="O343" i="8" s="1"/>
  <c r="N344" i="8"/>
  <c r="M344" i="8"/>
  <c r="M343" i="8" s="1"/>
  <c r="L344" i="8"/>
  <c r="J344" i="8"/>
  <c r="I344" i="8"/>
  <c r="G344" i="8"/>
  <c r="G343" i="8" s="1"/>
  <c r="G342" i="8" s="1"/>
  <c r="N343" i="8"/>
  <c r="L343" i="8"/>
  <c r="K343" i="8"/>
  <c r="J343" i="8"/>
  <c r="J341" i="8" s="1"/>
  <c r="J340" i="8" s="1"/>
  <c r="H343" i="8"/>
  <c r="K342" i="8"/>
  <c r="K341" i="8" s="1"/>
  <c r="K340" i="8" s="1"/>
  <c r="N339" i="8"/>
  <c r="M339" i="8"/>
  <c r="I339" i="8"/>
  <c r="O339" i="8" s="1"/>
  <c r="N338" i="8"/>
  <c r="H338" i="8"/>
  <c r="G338" i="8"/>
  <c r="M338" i="8" s="1"/>
  <c r="N337" i="8"/>
  <c r="M337" i="8"/>
  <c r="I337" i="8"/>
  <c r="O337" i="8" s="1"/>
  <c r="N336" i="8"/>
  <c r="G336" i="8"/>
  <c r="M336" i="8" s="1"/>
  <c r="N335" i="8"/>
  <c r="M335" i="8"/>
  <c r="O335" i="8" s="1"/>
  <c r="O334" i="8" s="1"/>
  <c r="I335" i="8"/>
  <c r="I334" i="8" s="1"/>
  <c r="N334" i="8"/>
  <c r="L334" i="8"/>
  <c r="J334" i="8"/>
  <c r="J333" i="8" s="1"/>
  <c r="H334" i="8"/>
  <c r="H333" i="8" s="1"/>
  <c r="H329" i="8" s="1"/>
  <c r="H328" i="8" s="1"/>
  <c r="H327" i="8" s="1"/>
  <c r="G334" i="8"/>
  <c r="L333" i="8"/>
  <c r="K333" i="8"/>
  <c r="G333" i="8"/>
  <c r="O331" i="8"/>
  <c r="N331" i="8"/>
  <c r="N330" i="8" s="1"/>
  <c r="M331" i="8"/>
  <c r="M330" i="8" s="1"/>
  <c r="L331" i="8"/>
  <c r="L330" i="8" s="1"/>
  <c r="J331" i="8"/>
  <c r="I331" i="8"/>
  <c r="I330" i="8" s="1"/>
  <c r="G331" i="8"/>
  <c r="G330" i="8" s="1"/>
  <c r="O330" i="8"/>
  <c r="K330" i="8"/>
  <c r="K329" i="8" s="1"/>
  <c r="K328" i="8" s="1"/>
  <c r="K327" i="8" s="1"/>
  <c r="J330" i="8"/>
  <c r="H330" i="8"/>
  <c r="N325" i="8"/>
  <c r="M325" i="8"/>
  <c r="M323" i="8" s="1"/>
  <c r="I325" i="8"/>
  <c r="O325" i="8" s="1"/>
  <c r="M324" i="8"/>
  <c r="I324" i="8"/>
  <c r="O324" i="8" s="1"/>
  <c r="H324" i="8"/>
  <c r="N324" i="8" s="1"/>
  <c r="N323" i="8"/>
  <c r="I323" i="8"/>
  <c r="O323" i="8" s="1"/>
  <c r="H323" i="8"/>
  <c r="I322" i="8"/>
  <c r="O322" i="8" s="1"/>
  <c r="N321" i="8"/>
  <c r="M321" i="8"/>
  <c r="I321" i="8"/>
  <c r="O321" i="8" s="1"/>
  <c r="N320" i="8"/>
  <c r="M320" i="8"/>
  <c r="I320" i="8"/>
  <c r="O320" i="8" s="1"/>
  <c r="N318" i="8"/>
  <c r="N317" i="8" s="1"/>
  <c r="I316" i="8"/>
  <c r="I315" i="8" s="1"/>
  <c r="M317" i="8"/>
  <c r="L317" i="8"/>
  <c r="L316" i="8" s="1"/>
  <c r="L315" i="8" s="1"/>
  <c r="J317" i="8"/>
  <c r="J316" i="8" s="1"/>
  <c r="J315" i="8" s="1"/>
  <c r="H316" i="8"/>
  <c r="H315" i="8" s="1"/>
  <c r="G317" i="8"/>
  <c r="G316" i="8" s="1"/>
  <c r="G315" i="8" s="1"/>
  <c r="M316" i="8"/>
  <c r="M315" i="8" s="1"/>
  <c r="K316" i="8"/>
  <c r="K315" i="8" s="1"/>
  <c r="O313" i="8"/>
  <c r="O312" i="8" s="1"/>
  <c r="O311" i="8" s="1"/>
  <c r="O310" i="8" s="1"/>
  <c r="N313" i="8"/>
  <c r="N312" i="8" s="1"/>
  <c r="N311" i="8" s="1"/>
  <c r="M313" i="8"/>
  <c r="M312" i="8" s="1"/>
  <c r="M311" i="8" s="1"/>
  <c r="M310" i="8" s="1"/>
  <c r="L313" i="8"/>
  <c r="J313" i="8"/>
  <c r="J312" i="8" s="1"/>
  <c r="J311" i="8" s="1"/>
  <c r="J310" i="8" s="1"/>
  <c r="I313" i="8"/>
  <c r="G313" i="8"/>
  <c r="G312" i="8" s="1"/>
  <c r="G311" i="8" s="1"/>
  <c r="G310" i="8" s="1"/>
  <c r="L312" i="8"/>
  <c r="L311" i="8" s="1"/>
  <c r="L310" i="8" s="1"/>
  <c r="K312" i="8"/>
  <c r="I312" i="8"/>
  <c r="I311" i="8" s="1"/>
  <c r="I310" i="8" s="1"/>
  <c r="H312" i="8"/>
  <c r="H311" i="8" s="1"/>
  <c r="K311" i="8"/>
  <c r="N309" i="8"/>
  <c r="O309" i="8"/>
  <c r="H308" i="8"/>
  <c r="N307" i="8"/>
  <c r="M307" i="8"/>
  <c r="M306" i="8" s="1"/>
  <c r="L307" i="8"/>
  <c r="L306" i="8" s="1"/>
  <c r="L305" i="8" s="1"/>
  <c r="I307" i="8"/>
  <c r="I306" i="8" s="1"/>
  <c r="N306" i="8"/>
  <c r="J306" i="8"/>
  <c r="J305" i="8" s="1"/>
  <c r="J304" i="8" s="1"/>
  <c r="H306" i="8"/>
  <c r="G306" i="8"/>
  <c r="K305" i="8"/>
  <c r="K304" i="8" s="1"/>
  <c r="N303" i="8"/>
  <c r="L302" i="8"/>
  <c r="K302" i="8"/>
  <c r="K287" i="8" s="1"/>
  <c r="K286" i="8" s="1"/>
  <c r="K285" i="8" s="1"/>
  <c r="H302" i="8"/>
  <c r="N300" i="8"/>
  <c r="M301" i="8"/>
  <c r="M300" i="8" s="1"/>
  <c r="L301" i="8"/>
  <c r="L300" i="8" s="1"/>
  <c r="O301" i="8"/>
  <c r="K300" i="8"/>
  <c r="J300" i="8"/>
  <c r="I300" i="8"/>
  <c r="H300" i="8"/>
  <c r="G300" i="8"/>
  <c r="O298" i="8"/>
  <c r="N298" i="8"/>
  <c r="M298" i="8"/>
  <c r="L298" i="8"/>
  <c r="J298" i="8"/>
  <c r="I298" i="8"/>
  <c r="G298" i="8"/>
  <c r="O297" i="8"/>
  <c r="N297" i="8"/>
  <c r="M297" i="8"/>
  <c r="I297" i="8"/>
  <c r="O296" i="8"/>
  <c r="N296" i="8"/>
  <c r="M296" i="8"/>
  <c r="I296" i="8"/>
  <c r="O295" i="8"/>
  <c r="N295" i="8"/>
  <c r="M295" i="8"/>
  <c r="I295" i="8"/>
  <c r="O294" i="8"/>
  <c r="N294" i="8"/>
  <c r="M294" i="8"/>
  <c r="L294" i="8"/>
  <c r="J294" i="8"/>
  <c r="I294" i="8"/>
  <c r="H294" i="8"/>
  <c r="G294" i="8"/>
  <c r="O292" i="8"/>
  <c r="N292" i="8"/>
  <c r="M292" i="8"/>
  <c r="L292" i="8"/>
  <c r="J292" i="8"/>
  <c r="I292" i="8"/>
  <c r="G292" i="8"/>
  <c r="N291" i="8"/>
  <c r="N290" i="8" s="1"/>
  <c r="M291" i="8"/>
  <c r="L291" i="8"/>
  <c r="L290" i="8" s="1"/>
  <c r="O291" i="8"/>
  <c r="O290" i="8" s="1"/>
  <c r="M290" i="8"/>
  <c r="K290" i="8"/>
  <c r="J290" i="8"/>
  <c r="I290" i="8"/>
  <c r="H290" i="8"/>
  <c r="G290" i="8"/>
  <c r="N289" i="8"/>
  <c r="N288" i="8" s="1"/>
  <c r="M289" i="8"/>
  <c r="M288" i="8" s="1"/>
  <c r="O289" i="8"/>
  <c r="O288" i="8" s="1"/>
  <c r="L288" i="8"/>
  <c r="J288" i="8"/>
  <c r="J287" i="8" s="1"/>
  <c r="J286" i="8" s="1"/>
  <c r="J285" i="8" s="1"/>
  <c r="I288" i="8"/>
  <c r="H288" i="8"/>
  <c r="H287" i="8" s="1"/>
  <c r="H286" i="8" s="1"/>
  <c r="H285" i="8" s="1"/>
  <c r="G288" i="8"/>
  <c r="G287" i="8" s="1"/>
  <c r="N278" i="8"/>
  <c r="M278" i="8"/>
  <c r="I278" i="8"/>
  <c r="O278" i="8" s="1"/>
  <c r="H277" i="8"/>
  <c r="N277" i="8" s="1"/>
  <c r="H276" i="8"/>
  <c r="N276" i="8" s="1"/>
  <c r="G276" i="8"/>
  <c r="I276" i="8" s="1"/>
  <c r="O276" i="8" s="1"/>
  <c r="N275" i="8"/>
  <c r="O275" i="8"/>
  <c r="O274" i="8" s="1"/>
  <c r="M274" i="8"/>
  <c r="N274" i="8"/>
  <c r="L274" i="8"/>
  <c r="J274" i="8"/>
  <c r="I274" i="8"/>
  <c r="H274" i="8"/>
  <c r="G274" i="8"/>
  <c r="N273" i="8"/>
  <c r="M273" i="8"/>
  <c r="M271" i="8" s="1"/>
  <c r="I273" i="8"/>
  <c r="N272" i="8"/>
  <c r="N271" i="8" s="1"/>
  <c r="N270" i="8" s="1"/>
  <c r="N269" i="8" s="1"/>
  <c r="N268" i="8" s="1"/>
  <c r="M272" i="8"/>
  <c r="K272" i="8"/>
  <c r="I272" i="8"/>
  <c r="O272" i="8" s="1"/>
  <c r="L271" i="8"/>
  <c r="J271" i="8"/>
  <c r="J270" i="8" s="1"/>
  <c r="J269" i="8" s="1"/>
  <c r="J268" i="8" s="1"/>
  <c r="H271" i="8"/>
  <c r="H270" i="8" s="1"/>
  <c r="H269" i="8" s="1"/>
  <c r="G271" i="8"/>
  <c r="K270" i="8"/>
  <c r="K269" i="8" s="1"/>
  <c r="K268" i="8" s="1"/>
  <c r="N267" i="8"/>
  <c r="M267" i="8"/>
  <c r="I267" i="8"/>
  <c r="O267" i="8" s="1"/>
  <c r="H266" i="8"/>
  <c r="H265" i="8" s="1"/>
  <c r="N265" i="8" s="1"/>
  <c r="G266" i="8"/>
  <c r="M266" i="8" s="1"/>
  <c r="L264" i="8"/>
  <c r="O263" i="8" s="1"/>
  <c r="J264" i="8"/>
  <c r="M264" i="8" s="1"/>
  <c r="M263" i="8" s="1"/>
  <c r="N263" i="8"/>
  <c r="L263" i="8"/>
  <c r="I263" i="8"/>
  <c r="G263" i="8"/>
  <c r="N262" i="8"/>
  <c r="O262" i="8" s="1"/>
  <c r="O261" i="8" s="1"/>
  <c r="L262" i="8"/>
  <c r="J262" i="8"/>
  <c r="M262" i="8" s="1"/>
  <c r="M261" i="8" s="1"/>
  <c r="I262" i="8"/>
  <c r="L261" i="8"/>
  <c r="I261" i="8"/>
  <c r="H261" i="8"/>
  <c r="G261" i="8"/>
  <c r="O260" i="8"/>
  <c r="O259" i="8" s="1"/>
  <c r="M260" i="8"/>
  <c r="M259" i="8" s="1"/>
  <c r="N259" i="8"/>
  <c r="L259" i="8"/>
  <c r="J259" i="8"/>
  <c r="I259" i="8"/>
  <c r="G259" i="8"/>
  <c r="G255" i="8" s="1"/>
  <c r="G254" i="8" s="1"/>
  <c r="N258" i="8"/>
  <c r="M258" i="8"/>
  <c r="I256" i="8"/>
  <c r="N257" i="8"/>
  <c r="M257" i="8"/>
  <c r="L257" i="8"/>
  <c r="O257" i="8" s="1"/>
  <c r="O256" i="8" s="1"/>
  <c r="M256" i="8"/>
  <c r="K256" i="8"/>
  <c r="J256" i="8"/>
  <c r="H256" i="8"/>
  <c r="H255" i="8" s="1"/>
  <c r="H254" i="8" s="1"/>
  <c r="G256" i="8"/>
  <c r="K255" i="8"/>
  <c r="K254" i="8" s="1"/>
  <c r="K253" i="8" s="1"/>
  <c r="N251" i="8"/>
  <c r="N250" i="8" s="1"/>
  <c r="M251" i="8"/>
  <c r="O251" i="8" s="1"/>
  <c r="O250" i="8" s="1"/>
  <c r="I251" i="8"/>
  <c r="I250" i="8" s="1"/>
  <c r="M250" i="8"/>
  <c r="L250" i="8"/>
  <c r="J250" i="8"/>
  <c r="H250" i="8"/>
  <c r="G250" i="8"/>
  <c r="O248" i="8"/>
  <c r="N248" i="8"/>
  <c r="M248" i="8"/>
  <c r="M247" i="8" s="1"/>
  <c r="M246" i="8" s="1"/>
  <c r="M245" i="8" s="1"/>
  <c r="L248" i="8"/>
  <c r="J248" i="8"/>
  <c r="I248" i="8"/>
  <c r="I247" i="8" s="1"/>
  <c r="I246" i="8" s="1"/>
  <c r="I245" i="8" s="1"/>
  <c r="G248" i="8"/>
  <c r="G247" i="8" s="1"/>
  <c r="G246" i="8" s="1"/>
  <c r="G245" i="8" s="1"/>
  <c r="L247" i="8"/>
  <c r="L246" i="8" s="1"/>
  <c r="L245" i="8" s="1"/>
  <c r="L239" i="8" s="1"/>
  <c r="K247" i="8"/>
  <c r="J247" i="8"/>
  <c r="H247" i="8"/>
  <c r="H246" i="8" s="1"/>
  <c r="H245" i="8" s="1"/>
  <c r="K246" i="8"/>
  <c r="K245" i="8" s="1"/>
  <c r="K239" i="8" s="1"/>
  <c r="J246" i="8"/>
  <c r="J245" i="8" s="1"/>
  <c r="J239" i="8" s="1"/>
  <c r="N243" i="8"/>
  <c r="M243" i="8"/>
  <c r="I243" i="8"/>
  <c r="O243" i="8" s="1"/>
  <c r="N242" i="8"/>
  <c r="I242" i="8"/>
  <c r="O242" i="8" s="1"/>
  <c r="H241" i="8"/>
  <c r="N241" i="8" s="1"/>
  <c r="M241" i="8"/>
  <c r="I240" i="8"/>
  <c r="O240" i="8" s="1"/>
  <c r="O236" i="8"/>
  <c r="O235" i="8" s="1"/>
  <c r="O234" i="8" s="1"/>
  <c r="N236" i="8"/>
  <c r="N235" i="8" s="1"/>
  <c r="N234" i="8" s="1"/>
  <c r="M236" i="8"/>
  <c r="M235" i="8" s="1"/>
  <c r="M234" i="8" s="1"/>
  <c r="L236" i="8"/>
  <c r="J236" i="8"/>
  <c r="J235" i="8" s="1"/>
  <c r="J234" i="8" s="1"/>
  <c r="I236" i="8"/>
  <c r="G236" i="8"/>
  <c r="G235" i="8" s="1"/>
  <c r="G234" i="8" s="1"/>
  <c r="L235" i="8"/>
  <c r="L234" i="8" s="1"/>
  <c r="K235" i="8"/>
  <c r="K234" i="8" s="1"/>
  <c r="I235" i="8"/>
  <c r="I234" i="8" s="1"/>
  <c r="O229" i="8"/>
  <c r="O227" i="8" s="1"/>
  <c r="N229" i="8"/>
  <c r="N227" i="8" s="1"/>
  <c r="M229" i="8"/>
  <c r="L229" i="8"/>
  <c r="L228" i="8" s="1"/>
  <c r="L227" i="8" s="1"/>
  <c r="J229" i="8"/>
  <c r="I229" i="8"/>
  <c r="G229" i="8"/>
  <c r="G228" i="8" s="1"/>
  <c r="G227" i="8" s="1"/>
  <c r="M228" i="8"/>
  <c r="M227" i="8" s="1"/>
  <c r="K228" i="8"/>
  <c r="K227" i="8" s="1"/>
  <c r="J228" i="8"/>
  <c r="J227" i="8" s="1"/>
  <c r="I227" i="8"/>
  <c r="H227" i="8"/>
  <c r="O224" i="8"/>
  <c r="O223" i="8" s="1"/>
  <c r="O222" i="8" s="1"/>
  <c r="N224" i="8"/>
  <c r="M224" i="8"/>
  <c r="L224" i="8"/>
  <c r="L223" i="8" s="1"/>
  <c r="L222" i="8" s="1"/>
  <c r="J224" i="8"/>
  <c r="J223" i="8" s="1"/>
  <c r="J222" i="8" s="1"/>
  <c r="I224" i="8"/>
  <c r="I223" i="8" s="1"/>
  <c r="I222" i="8" s="1"/>
  <c r="G224" i="8"/>
  <c r="N223" i="8"/>
  <c r="N222" i="8" s="1"/>
  <c r="M223" i="8"/>
  <c r="M222" i="8" s="1"/>
  <c r="K223" i="8"/>
  <c r="H223" i="8"/>
  <c r="H222" i="8" s="1"/>
  <c r="H221" i="8" s="1"/>
  <c r="G223" i="8"/>
  <c r="K222" i="8"/>
  <c r="K221" i="8" s="1"/>
  <c r="G222" i="8"/>
  <c r="N220" i="8"/>
  <c r="M220" i="8"/>
  <c r="I220" i="8"/>
  <c r="O220" i="8" s="1"/>
  <c r="N219" i="8"/>
  <c r="M219" i="8"/>
  <c r="H219" i="8"/>
  <c r="G219" i="8"/>
  <c r="I219" i="8" s="1"/>
  <c r="O219" i="8" s="1"/>
  <c r="H218" i="8"/>
  <c r="N218" i="8" s="1"/>
  <c r="O216" i="8"/>
  <c r="O215" i="8" s="1"/>
  <c r="N216" i="8"/>
  <c r="N215" i="8" s="1"/>
  <c r="M216" i="8"/>
  <c r="M215" i="8" s="1"/>
  <c r="L216" i="8"/>
  <c r="L215" i="8" s="1"/>
  <c r="J216" i="8"/>
  <c r="I216" i="8"/>
  <c r="I215" i="8" s="1"/>
  <c r="G216" i="8"/>
  <c r="G215" i="8" s="1"/>
  <c r="K215" i="8"/>
  <c r="J215" i="8"/>
  <c r="H215" i="8"/>
  <c r="N214" i="8"/>
  <c r="M214" i="8"/>
  <c r="I214" i="8"/>
  <c r="O214" i="8" s="1"/>
  <c r="N213" i="8"/>
  <c r="I213" i="8"/>
  <c r="O213" i="8" s="1"/>
  <c r="G213" i="8"/>
  <c r="M213" i="8" s="1"/>
  <c r="N212" i="8"/>
  <c r="G212" i="8"/>
  <c r="M212" i="8" s="1"/>
  <c r="N211" i="8"/>
  <c r="N209" i="8" s="1"/>
  <c r="N208" i="8" s="1"/>
  <c r="M211" i="8"/>
  <c r="O211" i="8" s="1"/>
  <c r="O209" i="8" s="1"/>
  <c r="O208" i="8" s="1"/>
  <c r="I211" i="8"/>
  <c r="I209" i="8" s="1"/>
  <c r="I208" i="8" s="1"/>
  <c r="L209" i="8"/>
  <c r="J209" i="8"/>
  <c r="J208" i="8" s="1"/>
  <c r="H209" i="8"/>
  <c r="H208" i="8" s="1"/>
  <c r="H207" i="8" s="1"/>
  <c r="G209" i="8"/>
  <c r="L208" i="8"/>
  <c r="K208" i="8"/>
  <c r="K207" i="8" s="1"/>
  <c r="G208" i="8"/>
  <c r="N206" i="8"/>
  <c r="M206" i="8"/>
  <c r="M205" i="8" s="1"/>
  <c r="L206" i="8"/>
  <c r="L205" i="8" s="1"/>
  <c r="I206" i="8"/>
  <c r="I205" i="8" s="1"/>
  <c r="N205" i="8"/>
  <c r="K205" i="8"/>
  <c r="J205" i="8"/>
  <c r="H205" i="8"/>
  <c r="G205" i="8"/>
  <c r="N202" i="8"/>
  <c r="N201" i="8"/>
  <c r="N200" i="8"/>
  <c r="M200" i="8"/>
  <c r="O200" i="8" s="1"/>
  <c r="I200" i="8"/>
  <c r="N199" i="8"/>
  <c r="M199" i="8"/>
  <c r="O199" i="8" s="1"/>
  <c r="I199" i="8"/>
  <c r="H199" i="8"/>
  <c r="K197" i="8"/>
  <c r="K196" i="8" s="1"/>
  <c r="K195" i="8" s="1"/>
  <c r="O193" i="8"/>
  <c r="N193" i="8"/>
  <c r="N192" i="8" s="1"/>
  <c r="N191" i="8" s="1"/>
  <c r="N190" i="8" s="1"/>
  <c r="N189" i="8" s="1"/>
  <c r="M193" i="8"/>
  <c r="M192" i="8" s="1"/>
  <c r="M191" i="8" s="1"/>
  <c r="M190" i="8" s="1"/>
  <c r="M189" i="8" s="1"/>
  <c r="L193" i="8"/>
  <c r="L192" i="8" s="1"/>
  <c r="L191" i="8" s="1"/>
  <c r="L190" i="8" s="1"/>
  <c r="L189" i="8" s="1"/>
  <c r="J193" i="8"/>
  <c r="J192" i="8" s="1"/>
  <c r="J191" i="8" s="1"/>
  <c r="J190" i="8" s="1"/>
  <c r="J189" i="8" s="1"/>
  <c r="I193" i="8"/>
  <c r="G193" i="8"/>
  <c r="O192" i="8"/>
  <c r="O191" i="8" s="1"/>
  <c r="O190" i="8" s="1"/>
  <c r="O189" i="8" s="1"/>
  <c r="K192" i="8"/>
  <c r="K191" i="8" s="1"/>
  <c r="K190" i="8" s="1"/>
  <c r="K189" i="8" s="1"/>
  <c r="I192" i="8"/>
  <c r="I191" i="8" s="1"/>
  <c r="I190" i="8" s="1"/>
  <c r="I189" i="8" s="1"/>
  <c r="H192" i="8"/>
  <c r="H191" i="8" s="1"/>
  <c r="H190" i="8" s="1"/>
  <c r="H189" i="8" s="1"/>
  <c r="G192" i="8"/>
  <c r="G191" i="8" s="1"/>
  <c r="G190" i="8" s="1"/>
  <c r="G189" i="8" s="1"/>
  <c r="O188" i="8"/>
  <c r="N188" i="8"/>
  <c r="O185" i="8"/>
  <c r="N185" i="8"/>
  <c r="M185" i="8"/>
  <c r="I185" i="8"/>
  <c r="O184" i="8"/>
  <c r="O182" i="8" s="1"/>
  <c r="O181" i="8" s="1"/>
  <c r="N184" i="8"/>
  <c r="M184" i="8"/>
  <c r="M183" i="8" s="1"/>
  <c r="M182" i="8" s="1"/>
  <c r="M181" i="8" s="1"/>
  <c r="L184" i="8"/>
  <c r="L183" i="8" s="1"/>
  <c r="L182" i="8" s="1"/>
  <c r="L181" i="8" s="1"/>
  <c r="J184" i="8"/>
  <c r="J183" i="8" s="1"/>
  <c r="J182" i="8" s="1"/>
  <c r="J181" i="8" s="1"/>
  <c r="I184" i="8"/>
  <c r="H184" i="8"/>
  <c r="H182" i="8" s="1"/>
  <c r="H181" i="8" s="1"/>
  <c r="G184" i="8"/>
  <c r="N182" i="8"/>
  <c r="N181" i="8" s="1"/>
  <c r="K183" i="8"/>
  <c r="K182" i="8" s="1"/>
  <c r="K181" i="8" s="1"/>
  <c r="I182" i="8"/>
  <c r="I181" i="8" s="1"/>
  <c r="G183" i="8"/>
  <c r="G182" i="8" s="1"/>
  <c r="G181" i="8" s="1"/>
  <c r="O180" i="8"/>
  <c r="M180" i="8"/>
  <c r="M179" i="8" s="1"/>
  <c r="M178" i="8" s="1"/>
  <c r="I180" i="8"/>
  <c r="G180" i="8"/>
  <c r="G179" i="8" s="1"/>
  <c r="G178" i="8" s="1"/>
  <c r="O179" i="8"/>
  <c r="O178" i="8" s="1"/>
  <c r="N179" i="8"/>
  <c r="N178" i="8" s="1"/>
  <c r="L179" i="8"/>
  <c r="L178" i="8" s="1"/>
  <c r="J179" i="8"/>
  <c r="J178" i="8" s="1"/>
  <c r="I179" i="8"/>
  <c r="I178" i="8" s="1"/>
  <c r="K178" i="8"/>
  <c r="K177" i="8" s="1"/>
  <c r="H178" i="8"/>
  <c r="H177" i="8" s="1"/>
  <c r="O176" i="8"/>
  <c r="N176" i="8"/>
  <c r="M176" i="8"/>
  <c r="L176" i="8"/>
  <c r="J176" i="8"/>
  <c r="I176" i="8"/>
  <c r="G176" i="8"/>
  <c r="N175" i="8"/>
  <c r="M175" i="8"/>
  <c r="M174" i="8" s="1"/>
  <c r="L175" i="8"/>
  <c r="L174" i="8" s="1"/>
  <c r="I175" i="8"/>
  <c r="I174" i="8" s="1"/>
  <c r="N174" i="8"/>
  <c r="K174" i="8"/>
  <c r="J174" i="8"/>
  <c r="H174" i="8"/>
  <c r="G174" i="8"/>
  <c r="N173" i="8"/>
  <c r="M173" i="8"/>
  <c r="L173" i="8"/>
  <c r="I173" i="8"/>
  <c r="M172" i="8"/>
  <c r="K172" i="8"/>
  <c r="L172" i="8" s="1"/>
  <c r="L171" i="8" s="1"/>
  <c r="L170" i="8" s="1"/>
  <c r="K171" i="8"/>
  <c r="J171" i="8"/>
  <c r="J170" i="8" s="1"/>
  <c r="H171" i="8"/>
  <c r="H170" i="8" s="1"/>
  <c r="G171" i="8"/>
  <c r="G170" i="8" s="1"/>
  <c r="K170" i="8"/>
  <c r="K169" i="8" s="1"/>
  <c r="O166" i="8"/>
  <c r="M166" i="8"/>
  <c r="O165" i="8"/>
  <c r="N165" i="8"/>
  <c r="N164" i="8" s="1"/>
  <c r="N163" i="8" s="1"/>
  <c r="N162" i="8" s="1"/>
  <c r="N161" i="8" s="1"/>
  <c r="M165" i="8"/>
  <c r="L165" i="8"/>
  <c r="L164" i="8" s="1"/>
  <c r="L163" i="8" s="1"/>
  <c r="L162" i="8" s="1"/>
  <c r="L161" i="8" s="1"/>
  <c r="J165" i="8"/>
  <c r="J164" i="8" s="1"/>
  <c r="J163" i="8" s="1"/>
  <c r="J162" i="8" s="1"/>
  <c r="J161" i="8" s="1"/>
  <c r="I165" i="8"/>
  <c r="H165" i="8"/>
  <c r="H164" i="8" s="1"/>
  <c r="H163" i="8" s="1"/>
  <c r="H162" i="8" s="1"/>
  <c r="H161" i="8" s="1"/>
  <c r="G165" i="8"/>
  <c r="O164" i="8"/>
  <c r="O163" i="8" s="1"/>
  <c r="O162" i="8" s="1"/>
  <c r="O161" i="8" s="1"/>
  <c r="M164" i="8"/>
  <c r="M163" i="8" s="1"/>
  <c r="M162" i="8" s="1"/>
  <c r="M161" i="8" s="1"/>
  <c r="K164" i="8"/>
  <c r="K163" i="8" s="1"/>
  <c r="K162" i="8" s="1"/>
  <c r="K161" i="8" s="1"/>
  <c r="I164" i="8"/>
  <c r="I163" i="8" s="1"/>
  <c r="I162" i="8" s="1"/>
  <c r="I161" i="8" s="1"/>
  <c r="G164" i="8"/>
  <c r="G163" i="8" s="1"/>
  <c r="G162" i="8" s="1"/>
  <c r="G161" i="8" s="1"/>
  <c r="O158" i="8"/>
  <c r="O157" i="8" s="1"/>
  <c r="O156" i="8" s="1"/>
  <c r="N158" i="8"/>
  <c r="N157" i="8" s="1"/>
  <c r="N156" i="8" s="1"/>
  <c r="M158" i="8"/>
  <c r="M157" i="8" s="1"/>
  <c r="M156" i="8" s="1"/>
  <c r="L158" i="8"/>
  <c r="L157" i="8" s="1"/>
  <c r="L156" i="8" s="1"/>
  <c r="J158" i="8"/>
  <c r="J157" i="8" s="1"/>
  <c r="J156" i="8" s="1"/>
  <c r="I158" i="8"/>
  <c r="G158" i="8"/>
  <c r="K157" i="8"/>
  <c r="K156" i="8" s="1"/>
  <c r="I157" i="8"/>
  <c r="I156" i="8" s="1"/>
  <c r="H157" i="8"/>
  <c r="H156" i="8" s="1"/>
  <c r="G157" i="8"/>
  <c r="G156" i="8" s="1"/>
  <c r="O154" i="8"/>
  <c r="O153" i="8" s="1"/>
  <c r="O152" i="8" s="1"/>
  <c r="N154" i="8"/>
  <c r="N153" i="8" s="1"/>
  <c r="N152" i="8" s="1"/>
  <c r="M154" i="8"/>
  <c r="M153" i="8" s="1"/>
  <c r="M152" i="8" s="1"/>
  <c r="L154" i="8"/>
  <c r="L153" i="8" s="1"/>
  <c r="L152" i="8" s="1"/>
  <c r="J154" i="8"/>
  <c r="J153" i="8" s="1"/>
  <c r="J152" i="8" s="1"/>
  <c r="I154" i="8"/>
  <c r="G154" i="8"/>
  <c r="G153" i="8" s="1"/>
  <c r="G152" i="8" s="1"/>
  <c r="K153" i="8"/>
  <c r="I153" i="8"/>
  <c r="I152" i="8" s="1"/>
  <c r="H153" i="8"/>
  <c r="H152" i="8" s="1"/>
  <c r="K152" i="8"/>
  <c r="O150" i="8"/>
  <c r="N150" i="8"/>
  <c r="M150" i="8"/>
  <c r="L150" i="8"/>
  <c r="J150" i="8"/>
  <c r="I150" i="8"/>
  <c r="G150" i="8"/>
  <c r="N149" i="8"/>
  <c r="N148" i="8" s="1"/>
  <c r="M149" i="8"/>
  <c r="I149" i="8"/>
  <c r="I148" i="8" s="1"/>
  <c r="I147" i="8" s="1"/>
  <c r="I146" i="8" s="1"/>
  <c r="M148" i="8"/>
  <c r="M147" i="8" s="1"/>
  <c r="M146" i="8" s="1"/>
  <c r="L148" i="8"/>
  <c r="J148" i="8"/>
  <c r="J147" i="8" s="1"/>
  <c r="J146" i="8" s="1"/>
  <c r="H148" i="8"/>
  <c r="H147" i="8" s="1"/>
  <c r="H146" i="8" s="1"/>
  <c r="H145" i="8" s="1"/>
  <c r="H144" i="8" s="1"/>
  <c r="G148" i="8"/>
  <c r="G147" i="8" s="1"/>
  <c r="G146" i="8" s="1"/>
  <c r="K147" i="8"/>
  <c r="K146" i="8" s="1"/>
  <c r="K145" i="8" s="1"/>
  <c r="K144" i="8" s="1"/>
  <c r="O142" i="8"/>
  <c r="O141" i="8" s="1"/>
  <c r="O140" i="8" s="1"/>
  <c r="N142" i="8"/>
  <c r="N141" i="8" s="1"/>
  <c r="N140" i="8" s="1"/>
  <c r="M142" i="8"/>
  <c r="M141" i="8" s="1"/>
  <c r="M140" i="8" s="1"/>
  <c r="L142" i="8"/>
  <c r="L141" i="8" s="1"/>
  <c r="L140" i="8" s="1"/>
  <c r="J142" i="8"/>
  <c r="I142" i="8"/>
  <c r="G142" i="8"/>
  <c r="G141" i="8" s="1"/>
  <c r="G140" i="8" s="1"/>
  <c r="K141" i="8"/>
  <c r="J141" i="8"/>
  <c r="J140" i="8" s="1"/>
  <c r="I141" i="8"/>
  <c r="I140" i="8" s="1"/>
  <c r="H141" i="8"/>
  <c r="H140" i="8" s="1"/>
  <c r="K140" i="8"/>
  <c r="N139" i="8"/>
  <c r="N138" i="8" s="1"/>
  <c r="N137" i="8" s="1"/>
  <c r="N136" i="8" s="1"/>
  <c r="M139" i="8"/>
  <c r="O139" i="8" s="1"/>
  <c r="O138" i="8" s="1"/>
  <c r="O137" i="8" s="1"/>
  <c r="O136" i="8" s="1"/>
  <c r="I139" i="8"/>
  <c r="M138" i="8"/>
  <c r="M137" i="8" s="1"/>
  <c r="M136" i="8" s="1"/>
  <c r="L138" i="8"/>
  <c r="L137" i="8" s="1"/>
  <c r="L136" i="8" s="1"/>
  <c r="J138" i="8"/>
  <c r="J137" i="8" s="1"/>
  <c r="J136" i="8" s="1"/>
  <c r="I138" i="8"/>
  <c r="I137" i="8" s="1"/>
  <c r="I136" i="8" s="1"/>
  <c r="H138" i="8"/>
  <c r="G138" i="8"/>
  <c r="G137" i="8" s="1"/>
  <c r="G136" i="8" s="1"/>
  <c r="K137" i="8"/>
  <c r="K136" i="8" s="1"/>
  <c r="H137" i="8"/>
  <c r="H136" i="8" s="1"/>
  <c r="N135" i="8"/>
  <c r="O134" i="8"/>
  <c r="N134" i="8"/>
  <c r="N133" i="8"/>
  <c r="O133" i="8"/>
  <c r="N132" i="8"/>
  <c r="O132" i="8"/>
  <c r="O131" i="8"/>
  <c r="M131" i="8"/>
  <c r="M130" i="8" s="1"/>
  <c r="M129" i="8" s="1"/>
  <c r="I131" i="8"/>
  <c r="G131" i="8"/>
  <c r="G130" i="8" s="1"/>
  <c r="G129" i="8" s="1"/>
  <c r="O130" i="8"/>
  <c r="N130" i="8"/>
  <c r="N129" i="8" s="1"/>
  <c r="L130" i="8"/>
  <c r="L129" i="8" s="1"/>
  <c r="J130" i="8"/>
  <c r="J129" i="8" s="1"/>
  <c r="I130" i="8"/>
  <c r="O129" i="8"/>
  <c r="K129" i="8"/>
  <c r="K128" i="8" s="1"/>
  <c r="I129" i="8"/>
  <c r="H129" i="8"/>
  <c r="H128" i="8" s="1"/>
  <c r="O128" i="8"/>
  <c r="M128" i="8"/>
  <c r="M127" i="8" s="1"/>
  <c r="M126" i="8" s="1"/>
  <c r="I128" i="8"/>
  <c r="I127" i="8" s="1"/>
  <c r="I126" i="8" s="1"/>
  <c r="G128" i="8"/>
  <c r="G127" i="8" s="1"/>
  <c r="O127" i="8"/>
  <c r="N127" i="8"/>
  <c r="N126" i="8" s="1"/>
  <c r="L127" i="8"/>
  <c r="L126" i="8" s="1"/>
  <c r="J127" i="8"/>
  <c r="O126" i="8"/>
  <c r="K126" i="8"/>
  <c r="J126" i="8"/>
  <c r="H126" i="8"/>
  <c r="G126" i="8"/>
  <c r="O124" i="8"/>
  <c r="N124" i="8"/>
  <c r="M124" i="8"/>
  <c r="L124" i="8"/>
  <c r="J124" i="8"/>
  <c r="I124" i="8"/>
  <c r="G124" i="8"/>
  <c r="M123" i="8"/>
  <c r="M122" i="8" s="1"/>
  <c r="L122" i="8"/>
  <c r="J122" i="8"/>
  <c r="G122" i="8"/>
  <c r="N120" i="8"/>
  <c r="N118" i="8" s="1"/>
  <c r="M120" i="8"/>
  <c r="O120" i="8"/>
  <c r="N119" i="8"/>
  <c r="M119" i="8"/>
  <c r="I119" i="8"/>
  <c r="O119" i="8" s="1"/>
  <c r="L118" i="8"/>
  <c r="J118" i="8"/>
  <c r="H118" i="8"/>
  <c r="G118" i="8"/>
  <c r="K117" i="8"/>
  <c r="J117" i="8"/>
  <c r="K116" i="8"/>
  <c r="M107" i="8"/>
  <c r="M106" i="8" s="1"/>
  <c r="M105" i="8" s="1"/>
  <c r="M104" i="8" s="1"/>
  <c r="I106" i="8"/>
  <c r="N107" i="8"/>
  <c r="N106" i="8" s="1"/>
  <c r="N105" i="8" s="1"/>
  <c r="N104" i="8" s="1"/>
  <c r="L106" i="8"/>
  <c r="L105" i="8" s="1"/>
  <c r="L104" i="8" s="1"/>
  <c r="J106" i="8"/>
  <c r="J105" i="8" s="1"/>
  <c r="J104" i="8" s="1"/>
  <c r="H106" i="8"/>
  <c r="H105" i="8" s="1"/>
  <c r="H104" i="8" s="1"/>
  <c r="G106" i="8"/>
  <c r="K105" i="8"/>
  <c r="K104" i="8" s="1"/>
  <c r="K103" i="8" s="1"/>
  <c r="I105" i="8"/>
  <c r="I104" i="8" s="1"/>
  <c r="G105" i="8"/>
  <c r="G104" i="8" s="1"/>
  <c r="O102" i="8"/>
  <c r="O101" i="8" s="1"/>
  <c r="O100" i="8" s="1"/>
  <c r="N102" i="8"/>
  <c r="N101" i="8" s="1"/>
  <c r="N100" i="8" s="1"/>
  <c r="M102" i="8"/>
  <c r="M101" i="8" s="1"/>
  <c r="M100" i="8" s="1"/>
  <c r="L102" i="8"/>
  <c r="L101" i="8" s="1"/>
  <c r="L100" i="8" s="1"/>
  <c r="L86" i="8" s="1"/>
  <c r="J102" i="8"/>
  <c r="I102" i="8"/>
  <c r="I101" i="8" s="1"/>
  <c r="I100" i="8" s="1"/>
  <c r="G102" i="8"/>
  <c r="K101" i="8"/>
  <c r="K100" i="8" s="1"/>
  <c r="J101" i="8"/>
  <c r="J100" i="8" s="1"/>
  <c r="H101" i="8"/>
  <c r="H100" i="8" s="1"/>
  <c r="G101" i="8"/>
  <c r="G100" i="8" s="1"/>
  <c r="M99" i="8"/>
  <c r="G99" i="8"/>
  <c r="G97" i="8" s="1"/>
  <c r="N98" i="8"/>
  <c r="N97" i="8" s="1"/>
  <c r="M98" i="8"/>
  <c r="M97" i="8" s="1"/>
  <c r="O98" i="8"/>
  <c r="O97" i="8" s="1"/>
  <c r="L97" i="8"/>
  <c r="J97" i="8"/>
  <c r="H93" i="8"/>
  <c r="O94" i="8"/>
  <c r="N94" i="8"/>
  <c r="M94" i="8"/>
  <c r="L94" i="8"/>
  <c r="J94" i="8"/>
  <c r="I94" i="8"/>
  <c r="G94" i="8"/>
  <c r="L93" i="8"/>
  <c r="K93" i="8"/>
  <c r="N91" i="8"/>
  <c r="M91" i="8"/>
  <c r="I91" i="8"/>
  <c r="O91" i="8" s="1"/>
  <c r="N90" i="8"/>
  <c r="M90" i="8"/>
  <c r="O90" i="8"/>
  <c r="L89" i="8"/>
  <c r="J89" i="8"/>
  <c r="I89" i="8"/>
  <c r="G89" i="8"/>
  <c r="G88" i="8" s="1"/>
  <c r="L88" i="8"/>
  <c r="L87" i="8" s="1"/>
  <c r="K88" i="8"/>
  <c r="J88" i="8"/>
  <c r="I88" i="8"/>
  <c r="H88" i="8"/>
  <c r="H87" i="8" s="1"/>
  <c r="K87" i="8"/>
  <c r="K86" i="8" s="1"/>
  <c r="O83" i="8"/>
  <c r="O82" i="8" s="1"/>
  <c r="O81" i="8" s="1"/>
  <c r="N83" i="8"/>
  <c r="M83" i="8"/>
  <c r="M82" i="8" s="1"/>
  <c r="M81" i="8" s="1"/>
  <c r="L83" i="8"/>
  <c r="J83" i="8"/>
  <c r="I83" i="8"/>
  <c r="G83" i="8"/>
  <c r="G82" i="8" s="1"/>
  <c r="G81" i="8" s="1"/>
  <c r="N82" i="8"/>
  <c r="N81" i="8" s="1"/>
  <c r="L82" i="8"/>
  <c r="L81" i="8" s="1"/>
  <c r="K82" i="8"/>
  <c r="J82" i="8"/>
  <c r="J81" i="8" s="1"/>
  <c r="I82" i="8"/>
  <c r="I81" i="8" s="1"/>
  <c r="H82" i="8"/>
  <c r="H81" i="8" s="1"/>
  <c r="K81" i="8"/>
  <c r="O79" i="8"/>
  <c r="O78" i="8" s="1"/>
  <c r="O77" i="8" s="1"/>
  <c r="N79" i="8"/>
  <c r="N78" i="8" s="1"/>
  <c r="N77" i="8" s="1"/>
  <c r="M79" i="8"/>
  <c r="M78" i="8" s="1"/>
  <c r="M77" i="8" s="1"/>
  <c r="L79" i="8"/>
  <c r="L78" i="8" s="1"/>
  <c r="L77" i="8" s="1"/>
  <c r="J79" i="8"/>
  <c r="J78" i="8" s="1"/>
  <c r="J77" i="8" s="1"/>
  <c r="I79" i="8"/>
  <c r="G79" i="8"/>
  <c r="K78" i="8"/>
  <c r="K77" i="8" s="1"/>
  <c r="I78" i="8"/>
  <c r="I77" i="8" s="1"/>
  <c r="H78" i="8"/>
  <c r="H77" i="8" s="1"/>
  <c r="G78" i="8"/>
  <c r="G77" i="8" s="1"/>
  <c r="O75" i="8"/>
  <c r="N75" i="8"/>
  <c r="M75" i="8"/>
  <c r="M72" i="8" s="1"/>
  <c r="M71" i="8" s="1"/>
  <c r="L75" i="8"/>
  <c r="J75" i="8"/>
  <c r="J72" i="8" s="1"/>
  <c r="I75" i="8"/>
  <c r="G75" i="8"/>
  <c r="G72" i="8" s="1"/>
  <c r="G71" i="8" s="1"/>
  <c r="O73" i="8"/>
  <c r="N73" i="8"/>
  <c r="N72" i="8" s="1"/>
  <c r="M73" i="8"/>
  <c r="L73" i="8"/>
  <c r="L72" i="8" s="1"/>
  <c r="L71" i="8" s="1"/>
  <c r="J73" i="8"/>
  <c r="I73" i="8"/>
  <c r="I72" i="8" s="1"/>
  <c r="I71" i="8" s="1"/>
  <c r="G73" i="8"/>
  <c r="O72" i="8"/>
  <c r="O71" i="8" s="1"/>
  <c r="K72" i="8"/>
  <c r="K71" i="8" s="1"/>
  <c r="K70" i="8" s="1"/>
  <c r="H72" i="8"/>
  <c r="H71" i="8" s="1"/>
  <c r="H70" i="8" s="1"/>
  <c r="N71" i="8"/>
  <c r="J71" i="8"/>
  <c r="O68" i="8"/>
  <c r="O67" i="8" s="1"/>
  <c r="O66" i="8" s="1"/>
  <c r="O65" i="8" s="1"/>
  <c r="N68" i="8"/>
  <c r="N67" i="8" s="1"/>
  <c r="N66" i="8" s="1"/>
  <c r="N65" i="8" s="1"/>
  <c r="M68" i="8"/>
  <c r="L68" i="8"/>
  <c r="L67" i="8" s="1"/>
  <c r="L66" i="8" s="1"/>
  <c r="L65" i="8" s="1"/>
  <c r="J68" i="8"/>
  <c r="J67" i="8" s="1"/>
  <c r="J66" i="8" s="1"/>
  <c r="J65" i="8" s="1"/>
  <c r="I68" i="8"/>
  <c r="G68" i="8"/>
  <c r="M67" i="8"/>
  <c r="M66" i="8" s="1"/>
  <c r="M65" i="8" s="1"/>
  <c r="K67" i="8"/>
  <c r="K66" i="8" s="1"/>
  <c r="I67" i="8"/>
  <c r="I66" i="8" s="1"/>
  <c r="I65" i="8" s="1"/>
  <c r="H67" i="8"/>
  <c r="H66" i="8" s="1"/>
  <c r="H65" i="8" s="1"/>
  <c r="G67" i="8"/>
  <c r="G66" i="8" s="1"/>
  <c r="G65" i="8" s="1"/>
  <c r="K65" i="8"/>
  <c r="O63" i="8"/>
  <c r="O62" i="8" s="1"/>
  <c r="O61" i="8" s="1"/>
  <c r="O60" i="8" s="1"/>
  <c r="N63" i="8"/>
  <c r="N62" i="8" s="1"/>
  <c r="N61" i="8" s="1"/>
  <c r="N60" i="8" s="1"/>
  <c r="M63" i="8"/>
  <c r="M62" i="8" s="1"/>
  <c r="M61" i="8" s="1"/>
  <c r="M60" i="8" s="1"/>
  <c r="L63" i="8"/>
  <c r="L62" i="8" s="1"/>
  <c r="L61" i="8" s="1"/>
  <c r="L60" i="8" s="1"/>
  <c r="J63" i="8"/>
  <c r="I63" i="8"/>
  <c r="I62" i="8" s="1"/>
  <c r="I61" i="8" s="1"/>
  <c r="I60" i="8" s="1"/>
  <c r="G63" i="8"/>
  <c r="K62" i="8"/>
  <c r="K61" i="8" s="1"/>
  <c r="K60" i="8" s="1"/>
  <c r="K59" i="8" s="1"/>
  <c r="J62" i="8"/>
  <c r="J61" i="8" s="1"/>
  <c r="J60" i="8" s="1"/>
  <c r="H62" i="8"/>
  <c r="H61" i="8" s="1"/>
  <c r="H60" i="8" s="1"/>
  <c r="G62" i="8"/>
  <c r="G61" i="8" s="1"/>
  <c r="G60" i="8" s="1"/>
  <c r="I57" i="8"/>
  <c r="I56" i="8" s="1"/>
  <c r="I55" i="8" s="1"/>
  <c r="I54" i="8" s="1"/>
  <c r="N58" i="8"/>
  <c r="N57" i="8" s="1"/>
  <c r="N56" i="8" s="1"/>
  <c r="N55" i="8" s="1"/>
  <c r="N54" i="8" s="1"/>
  <c r="M57" i="8"/>
  <c r="M56" i="8" s="1"/>
  <c r="M55" i="8" s="1"/>
  <c r="M54" i="8" s="1"/>
  <c r="L57" i="8"/>
  <c r="L56" i="8" s="1"/>
  <c r="L55" i="8" s="1"/>
  <c r="L54" i="8" s="1"/>
  <c r="J57" i="8"/>
  <c r="J56" i="8" s="1"/>
  <c r="J55" i="8" s="1"/>
  <c r="J54" i="8" s="1"/>
  <c r="G57" i="8"/>
  <c r="K56" i="8"/>
  <c r="K55" i="8" s="1"/>
  <c r="K54" i="8" s="1"/>
  <c r="G56" i="8"/>
  <c r="G55" i="8" s="1"/>
  <c r="G54" i="8" s="1"/>
  <c r="O52" i="8"/>
  <c r="N52" i="8"/>
  <c r="N47" i="8" s="1"/>
  <c r="M52" i="8"/>
  <c r="L52" i="8"/>
  <c r="L47" i="8" s="1"/>
  <c r="L41" i="8" s="1"/>
  <c r="L40" i="8" s="1"/>
  <c r="J52" i="8"/>
  <c r="I52" i="8"/>
  <c r="I47" i="8" s="1"/>
  <c r="G52" i="8"/>
  <c r="G47" i="8" s="1"/>
  <c r="K51" i="8"/>
  <c r="K46" i="8" s="1"/>
  <c r="H51" i="8"/>
  <c r="H46" i="8" s="1"/>
  <c r="O48" i="8"/>
  <c r="N48" i="8"/>
  <c r="M48" i="8"/>
  <c r="L48" i="8"/>
  <c r="J48" i="8"/>
  <c r="I48" i="8"/>
  <c r="G48" i="8"/>
  <c r="K47" i="8"/>
  <c r="H47" i="8"/>
  <c r="I43" i="8"/>
  <c r="I42" i="8" s="1"/>
  <c r="N44" i="8"/>
  <c r="N43" i="8" s="1"/>
  <c r="N42" i="8" s="1"/>
  <c r="M43" i="8"/>
  <c r="M42" i="8" s="1"/>
  <c r="L43" i="8"/>
  <c r="J43" i="8"/>
  <c r="J42" i="8" s="1"/>
  <c r="H43" i="8"/>
  <c r="H42" i="8" s="1"/>
  <c r="H41" i="8" s="1"/>
  <c r="G43" i="8"/>
  <c r="G42" i="8" s="1"/>
  <c r="L42" i="8"/>
  <c r="K42" i="8"/>
  <c r="K41" i="8" s="1"/>
  <c r="O38" i="8"/>
  <c r="O37" i="8" s="1"/>
  <c r="O36" i="8" s="1"/>
  <c r="O35" i="8" s="1"/>
  <c r="N38" i="8"/>
  <c r="N37" i="8" s="1"/>
  <c r="N36" i="8" s="1"/>
  <c r="N35" i="8" s="1"/>
  <c r="M38" i="8"/>
  <c r="M37" i="8" s="1"/>
  <c r="M36" i="8" s="1"/>
  <c r="M35" i="8" s="1"/>
  <c r="L38" i="8"/>
  <c r="L37" i="8" s="1"/>
  <c r="L36" i="8" s="1"/>
  <c r="L35" i="8" s="1"/>
  <c r="J38" i="8"/>
  <c r="J37" i="8" s="1"/>
  <c r="J36" i="8" s="1"/>
  <c r="J35" i="8" s="1"/>
  <c r="I38" i="8"/>
  <c r="I37" i="8" s="1"/>
  <c r="I36" i="8" s="1"/>
  <c r="I35" i="8" s="1"/>
  <c r="G38" i="8"/>
  <c r="K37" i="8"/>
  <c r="K36" i="8" s="1"/>
  <c r="K35" i="8" s="1"/>
  <c r="G37" i="8"/>
  <c r="G36" i="8" s="1"/>
  <c r="G35" i="8" s="1"/>
  <c r="O32" i="8"/>
  <c r="M32" i="8"/>
  <c r="M31" i="8" s="1"/>
  <c r="M30" i="8" s="1"/>
  <c r="M29" i="8" s="1"/>
  <c r="M28" i="8" s="1"/>
  <c r="I32" i="8"/>
  <c r="G32" i="8"/>
  <c r="G31" i="8" s="1"/>
  <c r="G30" i="8" s="1"/>
  <c r="G29" i="8" s="1"/>
  <c r="G28" i="8" s="1"/>
  <c r="O31" i="8"/>
  <c r="O30" i="8" s="1"/>
  <c r="O29" i="8" s="1"/>
  <c r="O28" i="8" s="1"/>
  <c r="N31" i="8"/>
  <c r="N30" i="8" s="1"/>
  <c r="N29" i="8" s="1"/>
  <c r="N28" i="8" s="1"/>
  <c r="L31" i="8"/>
  <c r="L30" i="8" s="1"/>
  <c r="L29" i="8" s="1"/>
  <c r="L28" i="8" s="1"/>
  <c r="J31" i="8"/>
  <c r="J30" i="8" s="1"/>
  <c r="J29" i="8" s="1"/>
  <c r="J28" i="8" s="1"/>
  <c r="I31" i="8"/>
  <c r="K30" i="8"/>
  <c r="K29" i="8" s="1"/>
  <c r="K28" i="8" s="1"/>
  <c r="I30" i="8"/>
  <c r="I29" i="8" s="1"/>
  <c r="I28" i="8" s="1"/>
  <c r="H30" i="8"/>
  <c r="H29" i="8" s="1"/>
  <c r="H28" i="8" s="1"/>
  <c r="O27" i="8"/>
  <c r="M27" i="8"/>
  <c r="M26" i="8" s="1"/>
  <c r="M25" i="8" s="1"/>
  <c r="M24" i="8" s="1"/>
  <c r="M23" i="8" s="1"/>
  <c r="M22" i="8" s="1"/>
  <c r="M21" i="8" s="1"/>
  <c r="I27" i="8"/>
  <c r="G27" i="8"/>
  <c r="G26" i="8" s="1"/>
  <c r="G25" i="8" s="1"/>
  <c r="G24" i="8" s="1"/>
  <c r="G23" i="8" s="1"/>
  <c r="O26" i="8"/>
  <c r="O25" i="8" s="1"/>
  <c r="O24" i="8" s="1"/>
  <c r="O23" i="8" s="1"/>
  <c r="N26" i="8"/>
  <c r="N25" i="8" s="1"/>
  <c r="N24" i="8" s="1"/>
  <c r="N23" i="8" s="1"/>
  <c r="L26" i="8"/>
  <c r="L25" i="8" s="1"/>
  <c r="L24" i="8" s="1"/>
  <c r="L23" i="8" s="1"/>
  <c r="J26" i="8"/>
  <c r="J25" i="8" s="1"/>
  <c r="J24" i="8" s="1"/>
  <c r="J23" i="8" s="1"/>
  <c r="J22" i="8" s="1"/>
  <c r="J21" i="8" s="1"/>
  <c r="I26" i="8"/>
  <c r="I25" i="8" s="1"/>
  <c r="I24" i="8" s="1"/>
  <c r="I23" i="8" s="1"/>
  <c r="K25" i="8"/>
  <c r="K24" i="8" s="1"/>
  <c r="K23" i="8" s="1"/>
  <c r="K22" i="8" s="1"/>
  <c r="K21" i="8" s="1"/>
  <c r="H25" i="8"/>
  <c r="H24" i="8" s="1"/>
  <c r="H23" i="8" s="1"/>
  <c r="H22" i="8" s="1"/>
  <c r="H21" i="8" s="1"/>
  <c r="N388" i="8" l="1"/>
  <c r="N387" i="8" s="1"/>
  <c r="L169" i="8"/>
  <c r="L168" i="8" s="1"/>
  <c r="H284" i="8"/>
  <c r="L329" i="8"/>
  <c r="L328" i="8" s="1"/>
  <c r="L327" i="8" s="1"/>
  <c r="G329" i="8"/>
  <c r="G328" i="8" s="1"/>
  <c r="G327" i="8" s="1"/>
  <c r="G388" i="8"/>
  <c r="G387" i="8" s="1"/>
  <c r="N256" i="8"/>
  <c r="K168" i="8"/>
  <c r="K167" i="8" s="1"/>
  <c r="J207" i="8"/>
  <c r="N207" i="8"/>
  <c r="K252" i="8"/>
  <c r="I41" i="8"/>
  <c r="I40" i="8" s="1"/>
  <c r="G169" i="8"/>
  <c r="G168" i="8" s="1"/>
  <c r="G167" i="8" s="1"/>
  <c r="O300" i="8"/>
  <c r="J169" i="8"/>
  <c r="J168" i="8" s="1"/>
  <c r="J167" i="8" s="1"/>
  <c r="M89" i="8"/>
  <c r="M88" i="8" s="1"/>
  <c r="G145" i="8"/>
  <c r="G144" i="8" s="1"/>
  <c r="J47" i="8"/>
  <c r="O47" i="8"/>
  <c r="H86" i="8"/>
  <c r="H59" i="8" s="1"/>
  <c r="I22" i="8"/>
  <c r="I21" i="8" s="1"/>
  <c r="L167" i="8"/>
  <c r="J284" i="8"/>
  <c r="N266" i="8"/>
  <c r="N41" i="8"/>
  <c r="N40" i="8" s="1"/>
  <c r="N22" i="8"/>
  <c r="N21" i="8" s="1"/>
  <c r="O89" i="8"/>
  <c r="O88" i="8" s="1"/>
  <c r="I145" i="8"/>
  <c r="I144" i="8" s="1"/>
  <c r="J116" i="8"/>
  <c r="J115" i="8" s="1"/>
  <c r="J114" i="8" s="1"/>
  <c r="H169" i="8"/>
  <c r="H168" i="8" s="1"/>
  <c r="H167" i="8" s="1"/>
  <c r="L70" i="8"/>
  <c r="L59" i="8" s="1"/>
  <c r="L34" i="8" s="1"/>
  <c r="N89" i="8"/>
  <c r="N88" i="8" s="1"/>
  <c r="J145" i="8"/>
  <c r="J144" i="8" s="1"/>
  <c r="G207" i="8"/>
  <c r="G221" i="8"/>
  <c r="J198" i="8"/>
  <c r="J197" i="8" s="1"/>
  <c r="J196" i="8" s="1"/>
  <c r="N93" i="8"/>
  <c r="J41" i="8"/>
  <c r="J40" i="8" s="1"/>
  <c r="K40" i="8"/>
  <c r="K34" i="8" s="1"/>
  <c r="M70" i="8"/>
  <c r="G41" i="8"/>
  <c r="G40" i="8" s="1"/>
  <c r="I70" i="8"/>
  <c r="G22" i="8"/>
  <c r="G21" i="8" s="1"/>
  <c r="L22" i="8"/>
  <c r="L21" i="8" s="1"/>
  <c r="H40" i="8"/>
  <c r="J70" i="8"/>
  <c r="G70" i="8"/>
  <c r="M47" i="8"/>
  <c r="M41" i="8" s="1"/>
  <c r="M40" i="8" s="1"/>
  <c r="N221" i="8"/>
  <c r="O22" i="8"/>
  <c r="O21" i="8" s="1"/>
  <c r="N362" i="8"/>
  <c r="L362" i="8"/>
  <c r="O449" i="8"/>
  <c r="O448" i="8" s="1"/>
  <c r="N255" i="8"/>
  <c r="N254" i="8" s="1"/>
  <c r="N253" i="8" s="1"/>
  <c r="N252" i="8" s="1"/>
  <c r="G198" i="8"/>
  <c r="G197" i="8" s="1"/>
  <c r="M209" i="8"/>
  <c r="M208" i="8" s="1"/>
  <c r="M207" i="8" s="1"/>
  <c r="G218" i="8"/>
  <c r="N247" i="8"/>
  <c r="N246" i="8" s="1"/>
  <c r="N245" i="8" s="1"/>
  <c r="I255" i="8"/>
  <c r="I254" i="8" s="1"/>
  <c r="N261" i="8"/>
  <c r="G341" i="8"/>
  <c r="G340" i="8" s="1"/>
  <c r="I343" i="8"/>
  <c r="I342" i="8" s="1"/>
  <c r="I341" i="8" s="1"/>
  <c r="I340" i="8" s="1"/>
  <c r="J362" i="8"/>
  <c r="L410" i="8"/>
  <c r="L409" i="8" s="1"/>
  <c r="M445" i="8"/>
  <c r="M444" i="8" s="1"/>
  <c r="M443" i="8" s="1"/>
  <c r="M442" i="8" s="1"/>
  <c r="M441" i="8" s="1"/>
  <c r="N443" i="8"/>
  <c r="N442" i="8" s="1"/>
  <c r="N441" i="8" s="1"/>
  <c r="N462" i="8"/>
  <c r="N461" i="8" s="1"/>
  <c r="N460" i="8" s="1"/>
  <c r="N459" i="8" s="1"/>
  <c r="N458" i="8" s="1"/>
  <c r="M308" i="8"/>
  <c r="M305" i="8" s="1"/>
  <c r="M304" i="8" s="1"/>
  <c r="G93" i="8"/>
  <c r="G87" i="8" s="1"/>
  <c r="G86" i="8" s="1"/>
  <c r="L117" i="8"/>
  <c r="L116" i="8" s="1"/>
  <c r="L115" i="8" s="1"/>
  <c r="L114" i="8" s="1"/>
  <c r="L147" i="8"/>
  <c r="L146" i="8" s="1"/>
  <c r="L145" i="8" s="1"/>
  <c r="L144" i="8" s="1"/>
  <c r="O172" i="8"/>
  <c r="N172" i="8"/>
  <c r="N171" i="8" s="1"/>
  <c r="N170" i="8" s="1"/>
  <c r="N169" i="8" s="1"/>
  <c r="N168" i="8" s="1"/>
  <c r="N167" i="8" s="1"/>
  <c r="H197" i="8"/>
  <c r="H196" i="8" s="1"/>
  <c r="G265" i="8"/>
  <c r="M265" i="8" s="1"/>
  <c r="L270" i="8"/>
  <c r="L269" i="8" s="1"/>
  <c r="L268" i="8" s="1"/>
  <c r="M334" i="8"/>
  <c r="M333" i="8" s="1"/>
  <c r="M329" i="8" s="1"/>
  <c r="M328" i="8" s="1"/>
  <c r="M327" i="8" s="1"/>
  <c r="M353" i="8"/>
  <c r="O362" i="8"/>
  <c r="G443" i="8"/>
  <c r="G442" i="8" s="1"/>
  <c r="G441" i="8" s="1"/>
  <c r="K461" i="8"/>
  <c r="K460" i="8" s="1"/>
  <c r="K459" i="8" s="1"/>
  <c r="K458" i="8" s="1"/>
  <c r="J462" i="8"/>
  <c r="J461" i="8" s="1"/>
  <c r="J460" i="8" s="1"/>
  <c r="J459" i="8" s="1"/>
  <c r="M201" i="8"/>
  <c r="M198" i="8" s="1"/>
  <c r="M197" i="8" s="1"/>
  <c r="O70" i="8"/>
  <c r="J93" i="8"/>
  <c r="I197" i="8"/>
  <c r="I207" i="8"/>
  <c r="I212" i="8"/>
  <c r="O212" i="8" s="1"/>
  <c r="L256" i="8"/>
  <c r="L255" i="8" s="1"/>
  <c r="L254" i="8" s="1"/>
  <c r="L253" i="8" s="1"/>
  <c r="J261" i="8"/>
  <c r="G270" i="8"/>
  <c r="G269" i="8" s="1"/>
  <c r="G268" i="8" s="1"/>
  <c r="N333" i="8"/>
  <c r="L341" i="8"/>
  <c r="L340" i="8" s="1"/>
  <c r="I449" i="8"/>
  <c r="I448" i="8" s="1"/>
  <c r="I302" i="8"/>
  <c r="I287" i="8" s="1"/>
  <c r="L197" i="8"/>
  <c r="G305" i="8"/>
  <c r="G304" i="8" s="1"/>
  <c r="I93" i="8"/>
  <c r="I87" i="8" s="1"/>
  <c r="I86" i="8" s="1"/>
  <c r="O207" i="8"/>
  <c r="L207" i="8"/>
  <c r="L221" i="8"/>
  <c r="M255" i="8"/>
  <c r="M254" i="8" s="1"/>
  <c r="N329" i="8"/>
  <c r="N328" i="8" s="1"/>
  <c r="N327" i="8" s="1"/>
  <c r="J329" i="8"/>
  <c r="J328" i="8" s="1"/>
  <c r="J327" i="8" s="1"/>
  <c r="I336" i="8"/>
  <c r="O336" i="8" s="1"/>
  <c r="M349" i="8"/>
  <c r="M348" i="8" s="1"/>
  <c r="G362" i="8"/>
  <c r="I408" i="8"/>
  <c r="I407" i="8" s="1"/>
  <c r="I443" i="8"/>
  <c r="I442" i="8" s="1"/>
  <c r="I441" i="8" s="1"/>
  <c r="J221" i="8"/>
  <c r="O221" i="8"/>
  <c r="I221" i="8"/>
  <c r="H461" i="8"/>
  <c r="H460" i="8" s="1"/>
  <c r="H459" i="8" s="1"/>
  <c r="H458" i="8" s="1"/>
  <c r="I462" i="8"/>
  <c r="I461" i="8" s="1"/>
  <c r="I460" i="8" s="1"/>
  <c r="I459" i="8" s="1"/>
  <c r="I458" i="8" s="1"/>
  <c r="L424" i="8"/>
  <c r="K408" i="8"/>
  <c r="K407" i="8" s="1"/>
  <c r="K406" i="8" s="1"/>
  <c r="K405" i="8" s="1"/>
  <c r="J408" i="8"/>
  <c r="J407" i="8" s="1"/>
  <c r="J406" i="8" s="1"/>
  <c r="J405" i="8" s="1"/>
  <c r="H408" i="8"/>
  <c r="H407" i="8" s="1"/>
  <c r="G408" i="8"/>
  <c r="G407" i="8" s="1"/>
  <c r="G406" i="8" s="1"/>
  <c r="G405" i="8" s="1"/>
  <c r="O316" i="8"/>
  <c r="O315" i="8" s="1"/>
  <c r="N316" i="8"/>
  <c r="N315" i="8" s="1"/>
  <c r="K284" i="8"/>
  <c r="O308" i="8"/>
  <c r="L304" i="8"/>
  <c r="H305" i="8"/>
  <c r="N305" i="8" s="1"/>
  <c r="N304" i="8" s="1"/>
  <c r="N308" i="8"/>
  <c r="I305" i="8"/>
  <c r="I304" i="8" s="1"/>
  <c r="O303" i="8"/>
  <c r="L287" i="8"/>
  <c r="L286" i="8" s="1"/>
  <c r="L285" i="8" s="1"/>
  <c r="O302" i="8"/>
  <c r="I271" i="8"/>
  <c r="I270" i="8" s="1"/>
  <c r="I269" i="8" s="1"/>
  <c r="I268" i="8" s="1"/>
  <c r="O273" i="8"/>
  <c r="O271" i="8" s="1"/>
  <c r="O270" i="8" s="1"/>
  <c r="O269" i="8" s="1"/>
  <c r="O268" i="8" s="1"/>
  <c r="M270" i="8"/>
  <c r="M269" i="8" s="1"/>
  <c r="H253" i="8"/>
  <c r="H252" i="8" s="1"/>
  <c r="I266" i="8"/>
  <c r="M239" i="8"/>
  <c r="G239" i="8"/>
  <c r="K160" i="8"/>
  <c r="O173" i="8"/>
  <c r="O171" i="8" s="1"/>
  <c r="N147" i="8"/>
  <c r="N146" i="8" s="1"/>
  <c r="N145" i="8" s="1"/>
  <c r="N144" i="8" s="1"/>
  <c r="O149" i="8"/>
  <c r="O148" i="8" s="1"/>
  <c r="O147" i="8" s="1"/>
  <c r="O146" i="8" s="1"/>
  <c r="O145" i="8" s="1"/>
  <c r="O144" i="8" s="1"/>
  <c r="O44" i="8"/>
  <c r="O43" i="8" s="1"/>
  <c r="O42" i="8" s="1"/>
  <c r="O57" i="8"/>
  <c r="O56" i="8" s="1"/>
  <c r="O55" i="8" s="1"/>
  <c r="O54" i="8" s="1"/>
  <c r="O93" i="8"/>
  <c r="O87" i="8" s="1"/>
  <c r="O86" i="8" s="1"/>
  <c r="I118" i="8"/>
  <c r="N70" i="8"/>
  <c r="J87" i="8"/>
  <c r="J86" i="8" s="1"/>
  <c r="M93" i="8"/>
  <c r="M87" i="8" s="1"/>
  <c r="M86" i="8" s="1"/>
  <c r="O107" i="8"/>
  <c r="O106" i="8" s="1"/>
  <c r="O105" i="8" s="1"/>
  <c r="O104" i="8" s="1"/>
  <c r="K115" i="8"/>
  <c r="K114" i="8" s="1"/>
  <c r="K108" i="8" s="1"/>
  <c r="K107" i="8" s="1"/>
  <c r="G117" i="8"/>
  <c r="G116" i="8" s="1"/>
  <c r="G115" i="8" s="1"/>
  <c r="M118" i="8"/>
  <c r="M117" i="8" s="1"/>
  <c r="M116" i="8" s="1"/>
  <c r="M115" i="8" s="1"/>
  <c r="M114" i="8" s="1"/>
  <c r="M145" i="8"/>
  <c r="M144" i="8" s="1"/>
  <c r="N123" i="8"/>
  <c r="I123" i="8"/>
  <c r="I122" i="8" s="1"/>
  <c r="H122" i="8"/>
  <c r="H117" i="8" s="1"/>
  <c r="H116" i="8" s="1"/>
  <c r="H115" i="8" s="1"/>
  <c r="H114" i="8" s="1"/>
  <c r="H108" i="8" s="1"/>
  <c r="N108" i="8" s="1"/>
  <c r="M221" i="8"/>
  <c r="G286" i="8"/>
  <c r="G285" i="8" s="1"/>
  <c r="M287" i="8"/>
  <c r="M286" i="8" s="1"/>
  <c r="M285" i="8" s="1"/>
  <c r="I362" i="8"/>
  <c r="O175" i="8"/>
  <c r="O174" i="8" s="1"/>
  <c r="O206" i="8"/>
  <c r="O205" i="8" s="1"/>
  <c r="O198" i="8" s="1"/>
  <c r="H342" i="8"/>
  <c r="H341" i="8" s="1"/>
  <c r="H340" i="8" s="1"/>
  <c r="N342" i="8"/>
  <c r="N341" i="8" s="1"/>
  <c r="N340" i="8" s="1"/>
  <c r="I171" i="8"/>
  <c r="I170" i="8" s="1"/>
  <c r="I169" i="8" s="1"/>
  <c r="I168" i="8" s="1"/>
  <c r="M171" i="8"/>
  <c r="M170" i="8" s="1"/>
  <c r="M169" i="8" s="1"/>
  <c r="M168" i="8" s="1"/>
  <c r="M167" i="8" s="1"/>
  <c r="O247" i="8"/>
  <c r="O246" i="8" s="1"/>
  <c r="O245" i="8" s="1"/>
  <c r="O239" i="8" s="1"/>
  <c r="O255" i="8"/>
  <c r="O254" i="8" s="1"/>
  <c r="M342" i="8"/>
  <c r="M341" i="8" s="1"/>
  <c r="M340" i="8" s="1"/>
  <c r="M362" i="8"/>
  <c r="I239" i="8"/>
  <c r="J263" i="8"/>
  <c r="J255" i="8" s="1"/>
  <c r="J254" i="8" s="1"/>
  <c r="J253" i="8" s="1"/>
  <c r="J252" i="8" s="1"/>
  <c r="J238" i="8" s="1"/>
  <c r="M276" i="8"/>
  <c r="I277" i="8"/>
  <c r="O277" i="8" s="1"/>
  <c r="H322" i="8"/>
  <c r="N322" i="8" s="1"/>
  <c r="O350" i="8"/>
  <c r="O349" i="8" s="1"/>
  <c r="O341" i="8" s="1"/>
  <c r="O340" i="8" s="1"/>
  <c r="N424" i="8"/>
  <c r="N417" i="8" s="1"/>
  <c r="I241" i="8"/>
  <c r="O241" i="8" s="1"/>
  <c r="N287" i="8"/>
  <c r="N286" i="8" s="1"/>
  <c r="N302" i="8"/>
  <c r="O307" i="8"/>
  <c r="O306" i="8" s="1"/>
  <c r="I338" i="8"/>
  <c r="O338" i="8" s="1"/>
  <c r="H240" i="8"/>
  <c r="N240" i="8" s="1"/>
  <c r="O424" i="8"/>
  <c r="O417" i="8" s="1"/>
  <c r="O408" i="8" s="1"/>
  <c r="O407" i="8" s="1"/>
  <c r="M424" i="8"/>
  <c r="M417" i="8" s="1"/>
  <c r="M408" i="8" s="1"/>
  <c r="M407" i="8" s="1"/>
  <c r="M406" i="8" s="1"/>
  <c r="M405" i="8" s="1"/>
  <c r="L458" i="8"/>
  <c r="J458" i="8"/>
  <c r="O458" i="8"/>
  <c r="N404" i="8"/>
  <c r="I403" i="8"/>
  <c r="I402" i="8" s="1"/>
  <c r="I401" i="8" s="1"/>
  <c r="I400" i="8" s="1"/>
  <c r="I399" i="8" s="1"/>
  <c r="I398" i="8" s="1"/>
  <c r="H417" i="8"/>
  <c r="L418" i="8"/>
  <c r="L417" i="8" s="1"/>
  <c r="L408" i="8" s="1"/>
  <c r="L407" i="8" s="1"/>
  <c r="L406" i="8" s="1"/>
  <c r="L405" i="8" s="1"/>
  <c r="H443" i="8"/>
  <c r="H442" i="8" s="1"/>
  <c r="H441" i="8" s="1"/>
  <c r="O447" i="8"/>
  <c r="O445" i="8" s="1"/>
  <c r="O444" i="8" s="1"/>
  <c r="O443" i="8" s="1"/>
  <c r="O442" i="8" s="1"/>
  <c r="O441" i="8" s="1"/>
  <c r="G462" i="8"/>
  <c r="G461" i="8" s="1"/>
  <c r="G460" i="8" s="1"/>
  <c r="G459" i="8" s="1"/>
  <c r="G458" i="8" s="1"/>
  <c r="M458" i="8"/>
  <c r="H231" i="7"/>
  <c r="O232" i="7"/>
  <c r="N232" i="7"/>
  <c r="I232" i="7"/>
  <c r="I233" i="7"/>
  <c r="L252" i="8" l="1"/>
  <c r="L196" i="8"/>
  <c r="L195" i="8" s="1"/>
  <c r="L160" i="8" s="1"/>
  <c r="O41" i="8"/>
  <c r="O40" i="8" s="1"/>
  <c r="K238" i="8"/>
  <c r="K33" i="8" s="1"/>
  <c r="K20" i="8" s="1"/>
  <c r="H406" i="8"/>
  <c r="H405" i="8" s="1"/>
  <c r="H304" i="8"/>
  <c r="N198" i="8"/>
  <c r="N197" i="8" s="1"/>
  <c r="N196" i="8" s="1"/>
  <c r="N195" i="8" s="1"/>
  <c r="N160" i="8" s="1"/>
  <c r="J59" i="8"/>
  <c r="J34" i="8" s="1"/>
  <c r="N87" i="8"/>
  <c r="N86" i="8" s="1"/>
  <c r="N59" i="8" s="1"/>
  <c r="N34" i="8" s="1"/>
  <c r="N239" i="8"/>
  <c r="G284" i="8"/>
  <c r="I59" i="8"/>
  <c r="I34" i="8" s="1"/>
  <c r="M253" i="8"/>
  <c r="O305" i="8"/>
  <c r="G196" i="8"/>
  <c r="G195" i="8" s="1"/>
  <c r="G160" i="8" s="1"/>
  <c r="I196" i="8"/>
  <c r="I195" i="8" s="1"/>
  <c r="I160" i="8" s="1"/>
  <c r="J195" i="8"/>
  <c r="J160" i="8" s="1"/>
  <c r="L108" i="8"/>
  <c r="M196" i="8"/>
  <c r="M195" i="8" s="1"/>
  <c r="M160" i="8" s="1"/>
  <c r="J108" i="8"/>
  <c r="M59" i="8"/>
  <c r="G59" i="8"/>
  <c r="G34" i="8" s="1"/>
  <c r="I286" i="8"/>
  <c r="I285" i="8" s="1"/>
  <c r="I284" i="8" s="1"/>
  <c r="O287" i="8"/>
  <c r="O286" i="8" s="1"/>
  <c r="O285" i="8" s="1"/>
  <c r="O406" i="8"/>
  <c r="O405" i="8" s="1"/>
  <c r="I406" i="8"/>
  <c r="I405" i="8" s="1"/>
  <c r="O333" i="8"/>
  <c r="O329" i="8" s="1"/>
  <c r="O328" i="8" s="1"/>
  <c r="O327" i="8" s="1"/>
  <c r="M284" i="8"/>
  <c r="M108" i="8"/>
  <c r="G253" i="8"/>
  <c r="G252" i="8" s="1"/>
  <c r="G114" i="8"/>
  <c r="G108" i="8" s="1"/>
  <c r="M218" i="8"/>
  <c r="I218" i="8"/>
  <c r="O218" i="8" s="1"/>
  <c r="M268" i="8"/>
  <c r="M252" i="8" s="1"/>
  <c r="N408" i="8"/>
  <c r="N407" i="8" s="1"/>
  <c r="N406" i="8" s="1"/>
  <c r="N405" i="8" s="1"/>
  <c r="L284" i="8"/>
  <c r="L238" i="8" s="1"/>
  <c r="O304" i="8"/>
  <c r="O266" i="8"/>
  <c r="I265" i="8"/>
  <c r="O197" i="8"/>
  <c r="O196" i="8" s="1"/>
  <c r="O59" i="8"/>
  <c r="O34" i="8" s="1"/>
  <c r="H239" i="8"/>
  <c r="N122" i="8"/>
  <c r="N117" i="8" s="1"/>
  <c r="N116" i="8" s="1"/>
  <c r="N115" i="8" s="1"/>
  <c r="O123" i="8"/>
  <c r="O122" i="8" s="1"/>
  <c r="O170" i="8"/>
  <c r="O169" i="8" s="1"/>
  <c r="O168" i="8" s="1"/>
  <c r="N285" i="8"/>
  <c r="I333" i="8"/>
  <c r="I329" i="8" s="1"/>
  <c r="I328" i="8" s="1"/>
  <c r="I327" i="8" s="1"/>
  <c r="O118" i="8"/>
  <c r="I117" i="8"/>
  <c r="I116" i="8" s="1"/>
  <c r="I115" i="8" s="1"/>
  <c r="I114" i="8" s="1"/>
  <c r="I108" i="8" s="1"/>
  <c r="N403" i="8"/>
  <c r="N402" i="8" s="1"/>
  <c r="N401" i="8" s="1"/>
  <c r="N400" i="8" s="1"/>
  <c r="N399" i="8" s="1"/>
  <c r="N398" i="8" s="1"/>
  <c r="O403" i="8"/>
  <c r="O402" i="8" s="1"/>
  <c r="O401" i="8" s="1"/>
  <c r="O400" i="8" s="1"/>
  <c r="O399" i="8" s="1"/>
  <c r="O398" i="8" s="1"/>
  <c r="N114" i="8"/>
  <c r="H58" i="7"/>
  <c r="K242" i="7"/>
  <c r="K260" i="7"/>
  <c r="K259" i="7"/>
  <c r="K258" i="7" s="1"/>
  <c r="O462" i="7"/>
  <c r="N462" i="7"/>
  <c r="M462" i="7"/>
  <c r="M461" i="7" s="1"/>
  <c r="M460" i="7" s="1"/>
  <c r="M459" i="7" s="1"/>
  <c r="M458" i="7" s="1"/>
  <c r="M457" i="7" s="1"/>
  <c r="L462" i="7"/>
  <c r="L461" i="7" s="1"/>
  <c r="L460" i="7" s="1"/>
  <c r="L459" i="7" s="1"/>
  <c r="L458" i="7" s="1"/>
  <c r="J462" i="7"/>
  <c r="I462" i="7"/>
  <c r="G462" i="7"/>
  <c r="G461" i="7" s="1"/>
  <c r="G460" i="7" s="1"/>
  <c r="G459" i="7" s="1"/>
  <c r="G458" i="7" s="1"/>
  <c r="G457" i="7" s="1"/>
  <c r="O461" i="7"/>
  <c r="O460" i="7" s="1"/>
  <c r="O459" i="7" s="1"/>
  <c r="O458" i="7" s="1"/>
  <c r="N461" i="7"/>
  <c r="K461" i="7"/>
  <c r="K460" i="7" s="1"/>
  <c r="K459" i="7" s="1"/>
  <c r="J461" i="7"/>
  <c r="I461" i="7"/>
  <c r="H461" i="7"/>
  <c r="H460" i="7" s="1"/>
  <c r="H459" i="7" s="1"/>
  <c r="H458" i="7" s="1"/>
  <c r="H457" i="7" s="1"/>
  <c r="H456" i="7" s="1"/>
  <c r="N460" i="7"/>
  <c r="J460" i="7"/>
  <c r="I460" i="7"/>
  <c r="I459" i="7" s="1"/>
  <c r="I458" i="7" s="1"/>
  <c r="I457" i="7" s="1"/>
  <c r="N459" i="7"/>
  <c r="J459" i="7"/>
  <c r="J458" i="7" s="1"/>
  <c r="J457" i="7" s="1"/>
  <c r="N458" i="7"/>
  <c r="N457" i="7" s="1"/>
  <c r="K458" i="7"/>
  <c r="K457" i="7" s="1"/>
  <c r="K456" i="7" s="1"/>
  <c r="O457" i="7"/>
  <c r="O444" i="7" s="1"/>
  <c r="L457" i="7"/>
  <c r="O456" i="7"/>
  <c r="M456" i="7"/>
  <c r="I456" i="7"/>
  <c r="I454" i="7" s="1"/>
  <c r="G456" i="7"/>
  <c r="O455" i="7"/>
  <c r="M455" i="7"/>
  <c r="M454" i="7" s="1"/>
  <c r="I455" i="7"/>
  <c r="G455" i="7"/>
  <c r="O454" i="7"/>
  <c r="O453" i="7" s="1"/>
  <c r="N454" i="7"/>
  <c r="L454" i="7"/>
  <c r="J454" i="7"/>
  <c r="G454" i="7"/>
  <c r="N453" i="7"/>
  <c r="N448" i="7" s="1"/>
  <c r="N447" i="7" s="1"/>
  <c r="N446" i="7" s="1"/>
  <c r="N445" i="7" s="1"/>
  <c r="N444" i="7" s="1"/>
  <c r="M453" i="7"/>
  <c r="L453" i="7"/>
  <c r="K453" i="7"/>
  <c r="J453" i="7"/>
  <c r="I453" i="7"/>
  <c r="I448" i="7" s="1"/>
  <c r="I447" i="7" s="1"/>
  <c r="I446" i="7" s="1"/>
  <c r="I445" i="7" s="1"/>
  <c r="I444" i="7" s="1"/>
  <c r="H453" i="7"/>
  <c r="G453" i="7"/>
  <c r="K452" i="7"/>
  <c r="H452" i="7"/>
  <c r="H447" i="7" s="1"/>
  <c r="O450" i="7"/>
  <c r="N450" i="7"/>
  <c r="M450" i="7"/>
  <c r="M449" i="7" s="1"/>
  <c r="M448" i="7" s="1"/>
  <c r="M447" i="7" s="1"/>
  <c r="L450" i="7"/>
  <c r="L449" i="7" s="1"/>
  <c r="L448" i="7" s="1"/>
  <c r="J450" i="7"/>
  <c r="I450" i="7"/>
  <c r="G450" i="7"/>
  <c r="G449" i="7" s="1"/>
  <c r="G448" i="7" s="1"/>
  <c r="G447" i="7" s="1"/>
  <c r="G446" i="7" s="1"/>
  <c r="G445" i="7" s="1"/>
  <c r="O449" i="7"/>
  <c r="O448" i="7" s="1"/>
  <c r="N449" i="7"/>
  <c r="J449" i="7"/>
  <c r="I449" i="7"/>
  <c r="K448" i="7"/>
  <c r="H448" i="7"/>
  <c r="O447" i="7"/>
  <c r="O446" i="7" s="1"/>
  <c r="O445" i="7" s="1"/>
  <c r="L447" i="7"/>
  <c r="L446" i="7" s="1"/>
  <c r="L445" i="7" s="1"/>
  <c r="L444" i="7" s="1"/>
  <c r="M446" i="7"/>
  <c r="M445" i="7" s="1"/>
  <c r="H446" i="7"/>
  <c r="H445" i="7" s="1"/>
  <c r="H444" i="7" s="1"/>
  <c r="O443" i="7"/>
  <c r="M443" i="7"/>
  <c r="I443" i="7"/>
  <c r="G443" i="7"/>
  <c r="O442" i="7"/>
  <c r="M442" i="7"/>
  <c r="M441" i="7" s="1"/>
  <c r="M440" i="7" s="1"/>
  <c r="M439" i="7" s="1"/>
  <c r="I442" i="7"/>
  <c r="G442" i="7"/>
  <c r="G441" i="7" s="1"/>
  <c r="O441" i="7"/>
  <c r="N441" i="7"/>
  <c r="L441" i="7"/>
  <c r="L440" i="7" s="1"/>
  <c r="L439" i="7" s="1"/>
  <c r="J441" i="7"/>
  <c r="J440" i="7" s="1"/>
  <c r="J439" i="7" s="1"/>
  <c r="I441" i="7"/>
  <c r="O440" i="7"/>
  <c r="O439" i="7" s="1"/>
  <c r="N440" i="7"/>
  <c r="N439" i="7" s="1"/>
  <c r="K440" i="7"/>
  <c r="I440" i="7"/>
  <c r="H440" i="7"/>
  <c r="G440" i="7"/>
  <c r="G439" i="7" s="1"/>
  <c r="K439" i="7"/>
  <c r="I439" i="7"/>
  <c r="H439" i="7"/>
  <c r="O438" i="7"/>
  <c r="M438" i="7"/>
  <c r="I438" i="7"/>
  <c r="G438" i="7"/>
  <c r="N437" i="7"/>
  <c r="M437" i="7"/>
  <c r="I437" i="7"/>
  <c r="O437" i="7" s="1"/>
  <c r="N436" i="7"/>
  <c r="M436" i="7"/>
  <c r="M435" i="7" s="1"/>
  <c r="I436" i="7"/>
  <c r="N435" i="7"/>
  <c r="L435" i="7"/>
  <c r="L434" i="7" s="1"/>
  <c r="J435" i="7"/>
  <c r="H435" i="7"/>
  <c r="G435" i="7"/>
  <c r="G434" i="7" s="1"/>
  <c r="N434" i="7"/>
  <c r="M434" i="7"/>
  <c r="K434" i="7"/>
  <c r="J434" i="7"/>
  <c r="H434" i="7"/>
  <c r="N433" i="7"/>
  <c r="N431" i="7" s="1"/>
  <c r="M433" i="7"/>
  <c r="I433" i="7"/>
  <c r="O432" i="7"/>
  <c r="M432" i="7"/>
  <c r="I432" i="7"/>
  <c r="I431" i="7" s="1"/>
  <c r="I430" i="7" s="1"/>
  <c r="G432" i="7"/>
  <c r="L431" i="7"/>
  <c r="J431" i="7"/>
  <c r="H431" i="7"/>
  <c r="H430" i="7" s="1"/>
  <c r="H429" i="7" s="1"/>
  <c r="G431" i="7"/>
  <c r="G430" i="7" s="1"/>
  <c r="G429" i="7" s="1"/>
  <c r="G428" i="7" s="1"/>
  <c r="G427" i="7" s="1"/>
  <c r="N430" i="7"/>
  <c r="L430" i="7"/>
  <c r="K430" i="7"/>
  <c r="J430" i="7"/>
  <c r="J429" i="7" s="1"/>
  <c r="J428" i="7" s="1"/>
  <c r="J427" i="7" s="1"/>
  <c r="N429" i="7"/>
  <c r="N428" i="7" s="1"/>
  <c r="N427" i="7" s="1"/>
  <c r="K429" i="7"/>
  <c r="K428" i="7" s="1"/>
  <c r="K427" i="7" s="1"/>
  <c r="H428" i="7"/>
  <c r="H427" i="7"/>
  <c r="O426" i="7"/>
  <c r="M426" i="7"/>
  <c r="I426" i="7"/>
  <c r="I425" i="7" s="1"/>
  <c r="G426" i="7"/>
  <c r="O425" i="7"/>
  <c r="N425" i="7"/>
  <c r="N424" i="7" s="1"/>
  <c r="M425" i="7"/>
  <c r="L425" i="7"/>
  <c r="J425" i="7"/>
  <c r="G425" i="7"/>
  <c r="G424" i="7" s="1"/>
  <c r="G423" i="7" s="1"/>
  <c r="O424" i="7"/>
  <c r="O423" i="7" s="1"/>
  <c r="O422" i="7" s="1"/>
  <c r="M424" i="7"/>
  <c r="M423" i="7" s="1"/>
  <c r="M422" i="7" s="1"/>
  <c r="M421" i="7" s="1"/>
  <c r="L424" i="7"/>
  <c r="L423" i="7" s="1"/>
  <c r="L422" i="7" s="1"/>
  <c r="K424" i="7"/>
  <c r="K423" i="7" s="1"/>
  <c r="J424" i="7"/>
  <c r="I424" i="7"/>
  <c r="I423" i="7" s="1"/>
  <c r="I422" i="7" s="1"/>
  <c r="I421" i="7" s="1"/>
  <c r="H424" i="7"/>
  <c r="H423" i="7" s="1"/>
  <c r="H422" i="7" s="1"/>
  <c r="N423" i="7"/>
  <c r="J423" i="7"/>
  <c r="J422" i="7" s="1"/>
  <c r="J421" i="7" s="1"/>
  <c r="N422" i="7"/>
  <c r="N421" i="7" s="1"/>
  <c r="K422" i="7"/>
  <c r="K421" i="7" s="1"/>
  <c r="G422" i="7"/>
  <c r="O421" i="7"/>
  <c r="L421" i="7"/>
  <c r="H421" i="7"/>
  <c r="G421" i="7"/>
  <c r="O420" i="7"/>
  <c r="M420" i="7"/>
  <c r="O419" i="7"/>
  <c r="M419" i="7"/>
  <c r="O418" i="7"/>
  <c r="M418" i="7"/>
  <c r="O417" i="7"/>
  <c r="O416" i="7" s="1"/>
  <c r="M417" i="7"/>
  <c r="M416" i="7" s="1"/>
  <c r="N416" i="7"/>
  <c r="L416" i="7"/>
  <c r="J416" i="7"/>
  <c r="I416" i="7"/>
  <c r="G416" i="7"/>
  <c r="O415" i="7"/>
  <c r="N415" i="7"/>
  <c r="M415" i="7"/>
  <c r="I415" i="7"/>
  <c r="O414" i="7"/>
  <c r="N414" i="7"/>
  <c r="M414" i="7"/>
  <c r="L414" i="7"/>
  <c r="J414" i="7"/>
  <c r="H414" i="7"/>
  <c r="G414" i="7"/>
  <c r="M413" i="7"/>
  <c r="L413" i="7"/>
  <c r="O413" i="7" s="1"/>
  <c r="I413" i="7"/>
  <c r="H413" i="7"/>
  <c r="N413" i="7" s="1"/>
  <c r="N412" i="7"/>
  <c r="M412" i="7"/>
  <c r="K412" i="7"/>
  <c r="J412" i="7"/>
  <c r="L412" i="7" s="1"/>
  <c r="I412" i="7"/>
  <c r="H412" i="7"/>
  <c r="G412" i="7"/>
  <c r="O411" i="7"/>
  <c r="M411" i="7"/>
  <c r="I411" i="7"/>
  <c r="G411" i="7"/>
  <c r="O410" i="7"/>
  <c r="M410" i="7"/>
  <c r="I410" i="7"/>
  <c r="G410" i="7"/>
  <c r="O409" i="7"/>
  <c r="N409" i="7"/>
  <c r="M409" i="7"/>
  <c r="I409" i="7"/>
  <c r="O408" i="7"/>
  <c r="M408" i="7"/>
  <c r="M407" i="7" s="1"/>
  <c r="I408" i="7"/>
  <c r="G408" i="7"/>
  <c r="O407" i="7"/>
  <c r="N407" i="7"/>
  <c r="N406" i="7" s="1"/>
  <c r="N405" i="7" s="1"/>
  <c r="L407" i="7"/>
  <c r="J407" i="7"/>
  <c r="I407" i="7"/>
  <c r="H407" i="7"/>
  <c r="G407" i="7"/>
  <c r="K406" i="7"/>
  <c r="J406" i="7"/>
  <c r="J405" i="7" s="1"/>
  <c r="H406" i="7"/>
  <c r="K405" i="7"/>
  <c r="H405" i="7"/>
  <c r="O403" i="7"/>
  <c r="N403" i="7"/>
  <c r="M403" i="7"/>
  <c r="M398" i="7" s="1"/>
  <c r="M397" i="7" s="1"/>
  <c r="L403" i="7"/>
  <c r="J403" i="7"/>
  <c r="I403" i="7"/>
  <c r="G403" i="7"/>
  <c r="O402" i="7"/>
  <c r="M402" i="7"/>
  <c r="I402" i="7"/>
  <c r="I401" i="7" s="1"/>
  <c r="G402" i="7"/>
  <c r="G401" i="7" s="1"/>
  <c r="O401" i="7"/>
  <c r="N401" i="7"/>
  <c r="M401" i="7"/>
  <c r="L401" i="7"/>
  <c r="L398" i="7" s="1"/>
  <c r="L397" i="7" s="1"/>
  <c r="J401" i="7"/>
  <c r="O400" i="7"/>
  <c r="N400" i="7"/>
  <c r="M400" i="7"/>
  <c r="I400" i="7"/>
  <c r="O399" i="7"/>
  <c r="N399" i="7"/>
  <c r="M399" i="7"/>
  <c r="L399" i="7"/>
  <c r="J399" i="7"/>
  <c r="J398" i="7" s="1"/>
  <c r="J397" i="7" s="1"/>
  <c r="J396" i="7" s="1"/>
  <c r="J395" i="7" s="1"/>
  <c r="J394" i="7" s="1"/>
  <c r="J393" i="7" s="1"/>
  <c r="I399" i="7"/>
  <c r="I398" i="7" s="1"/>
  <c r="I397" i="7" s="1"/>
  <c r="H399" i="7"/>
  <c r="G399" i="7"/>
  <c r="O398" i="7"/>
  <c r="O397" i="7" s="1"/>
  <c r="N398" i="7"/>
  <c r="N397" i="7" s="1"/>
  <c r="N396" i="7" s="1"/>
  <c r="N395" i="7" s="1"/>
  <c r="K398" i="7"/>
  <c r="H398" i="7"/>
  <c r="G398" i="7"/>
  <c r="K397" i="7"/>
  <c r="K396" i="7" s="1"/>
  <c r="K395" i="7" s="1"/>
  <c r="H397" i="7"/>
  <c r="G397" i="7"/>
  <c r="H396" i="7"/>
  <c r="H395" i="7" s="1"/>
  <c r="H394" i="7" s="1"/>
  <c r="H393" i="7" s="1"/>
  <c r="N394" i="7"/>
  <c r="N393" i="7" s="1"/>
  <c r="K394" i="7"/>
  <c r="K393" i="7" s="1"/>
  <c r="M392" i="7"/>
  <c r="M391" i="7" s="1"/>
  <c r="M390" i="7" s="1"/>
  <c r="M389" i="7" s="1"/>
  <c r="I392" i="7"/>
  <c r="I391" i="7" s="1"/>
  <c r="I390" i="7" s="1"/>
  <c r="I389" i="7" s="1"/>
  <c r="I388" i="7" s="1"/>
  <c r="I387" i="7" s="1"/>
  <c r="I386" i="7" s="1"/>
  <c r="H392" i="7"/>
  <c r="N392" i="7" s="1"/>
  <c r="O392" i="7" s="1"/>
  <c r="G392" i="7"/>
  <c r="O391" i="7"/>
  <c r="N391" i="7"/>
  <c r="N390" i="7" s="1"/>
  <c r="N389" i="7" s="1"/>
  <c r="N388" i="7" s="1"/>
  <c r="N387" i="7" s="1"/>
  <c r="N386" i="7" s="1"/>
  <c r="L391" i="7"/>
  <c r="J391" i="7"/>
  <c r="H391" i="7"/>
  <c r="G391" i="7"/>
  <c r="O390" i="7"/>
  <c r="O389" i="7" s="1"/>
  <c r="O388" i="7" s="1"/>
  <c r="O387" i="7" s="1"/>
  <c r="L390" i="7"/>
  <c r="K390" i="7"/>
  <c r="J390" i="7"/>
  <c r="J389" i="7" s="1"/>
  <c r="J388" i="7" s="1"/>
  <c r="H390" i="7"/>
  <c r="G390" i="7"/>
  <c r="G389" i="7" s="1"/>
  <c r="G388" i="7" s="1"/>
  <c r="G387" i="7" s="1"/>
  <c r="L389" i="7"/>
  <c r="K389" i="7"/>
  <c r="K388" i="7" s="1"/>
  <c r="K387" i="7" s="1"/>
  <c r="H389" i="7"/>
  <c r="H388" i="7" s="1"/>
  <c r="H387" i="7" s="1"/>
  <c r="H386" i="7" s="1"/>
  <c r="M388" i="7"/>
  <c r="L388" i="7"/>
  <c r="L387" i="7" s="1"/>
  <c r="L386" i="7" s="1"/>
  <c r="M387" i="7"/>
  <c r="M386" i="7" s="1"/>
  <c r="J387" i="7"/>
  <c r="J386" i="7" s="1"/>
  <c r="O386" i="7"/>
  <c r="K386" i="7"/>
  <c r="K385" i="7" s="1"/>
  <c r="G386" i="7"/>
  <c r="O384" i="7"/>
  <c r="N384" i="7"/>
  <c r="M384" i="7"/>
  <c r="M383" i="7" s="1"/>
  <c r="M382" i="7" s="1"/>
  <c r="L384" i="7"/>
  <c r="L383" i="7" s="1"/>
  <c r="L382" i="7" s="1"/>
  <c r="J384" i="7"/>
  <c r="I384" i="7"/>
  <c r="G384" i="7"/>
  <c r="G383" i="7" s="1"/>
  <c r="G382" i="7" s="1"/>
  <c r="O383" i="7"/>
  <c r="O382" i="7" s="1"/>
  <c r="N383" i="7"/>
  <c r="K383" i="7"/>
  <c r="K382" i="7" s="1"/>
  <c r="J383" i="7"/>
  <c r="I383" i="7"/>
  <c r="H383" i="7"/>
  <c r="N382" i="7"/>
  <c r="J382" i="7"/>
  <c r="I382" i="7"/>
  <c r="I376" i="7" s="1"/>
  <c r="I375" i="7" s="1"/>
  <c r="H382" i="7"/>
  <c r="O379" i="7"/>
  <c r="O378" i="7" s="1"/>
  <c r="N379" i="7"/>
  <c r="M379" i="7"/>
  <c r="M378" i="7" s="1"/>
  <c r="M377" i="7" s="1"/>
  <c r="M376" i="7" s="1"/>
  <c r="M375" i="7" s="1"/>
  <c r="L379" i="7"/>
  <c r="J379" i="7"/>
  <c r="I379" i="7"/>
  <c r="I378" i="7" s="1"/>
  <c r="G379" i="7"/>
  <c r="G378" i="7" s="1"/>
  <c r="N378" i="7"/>
  <c r="N377" i="7" s="1"/>
  <c r="N376" i="7" s="1"/>
  <c r="L378" i="7"/>
  <c r="K378" i="7"/>
  <c r="J378" i="7"/>
  <c r="J377" i="7" s="1"/>
  <c r="J376" i="7" s="1"/>
  <c r="J375" i="7" s="1"/>
  <c r="H378" i="7"/>
  <c r="O377" i="7"/>
  <c r="L377" i="7"/>
  <c r="L376" i="7" s="1"/>
  <c r="L375" i="7" s="1"/>
  <c r="K377" i="7"/>
  <c r="K376" i="7" s="1"/>
  <c r="K375" i="7" s="1"/>
  <c r="I377" i="7"/>
  <c r="H377" i="7"/>
  <c r="H376" i="7" s="1"/>
  <c r="H375" i="7" s="1"/>
  <c r="G377" i="7"/>
  <c r="G376" i="7" s="1"/>
  <c r="G375" i="7" s="1"/>
  <c r="N375" i="7"/>
  <c r="O373" i="7"/>
  <c r="N373" i="7"/>
  <c r="N372" i="7" s="1"/>
  <c r="N371" i="7" s="1"/>
  <c r="N370" i="7" s="1"/>
  <c r="N369" i="7" s="1"/>
  <c r="M373" i="7"/>
  <c r="L373" i="7"/>
  <c r="L372" i="7" s="1"/>
  <c r="J373" i="7"/>
  <c r="I373" i="7"/>
  <c r="I372" i="7" s="1"/>
  <c r="I371" i="7" s="1"/>
  <c r="G373" i="7"/>
  <c r="O372" i="7"/>
  <c r="M372" i="7"/>
  <c r="M371" i="7" s="1"/>
  <c r="M370" i="7" s="1"/>
  <c r="K372" i="7"/>
  <c r="K371" i="7" s="1"/>
  <c r="J372" i="7"/>
  <c r="H372" i="7"/>
  <c r="G372" i="7"/>
  <c r="G371" i="7" s="1"/>
  <c r="G370" i="7" s="1"/>
  <c r="G369" i="7" s="1"/>
  <c r="O371" i="7"/>
  <c r="L371" i="7"/>
  <c r="L370" i="7" s="1"/>
  <c r="L369" i="7" s="1"/>
  <c r="J371" i="7"/>
  <c r="J370" i="7" s="1"/>
  <c r="J369" i="7" s="1"/>
  <c r="H371" i="7"/>
  <c r="O370" i="7"/>
  <c r="O369" i="7" s="1"/>
  <c r="K370" i="7"/>
  <c r="K369" i="7" s="1"/>
  <c r="I370" i="7"/>
  <c r="I369" i="7" s="1"/>
  <c r="H370" i="7"/>
  <c r="M369" i="7"/>
  <c r="H369" i="7"/>
  <c r="O368" i="7"/>
  <c r="M368" i="7"/>
  <c r="O367" i="7"/>
  <c r="O366" i="7" s="1"/>
  <c r="O365" i="7" s="1"/>
  <c r="O364" i="7" s="1"/>
  <c r="O363" i="7" s="1"/>
  <c r="N367" i="7"/>
  <c r="M367" i="7"/>
  <c r="M366" i="7" s="1"/>
  <c r="L367" i="7"/>
  <c r="J367" i="7"/>
  <c r="J366" i="7" s="1"/>
  <c r="J365" i="7" s="1"/>
  <c r="J364" i="7" s="1"/>
  <c r="I367" i="7"/>
  <c r="G367" i="7"/>
  <c r="N366" i="7"/>
  <c r="N365" i="7" s="1"/>
  <c r="N364" i="7" s="1"/>
  <c r="L366" i="7"/>
  <c r="L365" i="7" s="1"/>
  <c r="K366" i="7"/>
  <c r="I366" i="7"/>
  <c r="H366" i="7"/>
  <c r="H365" i="7" s="1"/>
  <c r="H364" i="7" s="1"/>
  <c r="H363" i="7" s="1"/>
  <c r="G366" i="7"/>
  <c r="M365" i="7"/>
  <c r="M364" i="7" s="1"/>
  <c r="M363" i="7" s="1"/>
  <c r="K365" i="7"/>
  <c r="K364" i="7" s="1"/>
  <c r="K363" i="7" s="1"/>
  <c r="I365" i="7"/>
  <c r="G365" i="7"/>
  <c r="G364" i="7" s="1"/>
  <c r="G363" i="7" s="1"/>
  <c r="L364" i="7"/>
  <c r="L363" i="7" s="1"/>
  <c r="I364" i="7"/>
  <c r="N363" i="7"/>
  <c r="J363" i="7"/>
  <c r="I363" i="7"/>
  <c r="O361" i="7"/>
  <c r="N361" i="7"/>
  <c r="N360" i="7" s="1"/>
  <c r="N359" i="7" s="1"/>
  <c r="N358" i="7" s="1"/>
  <c r="N357" i="7" s="1"/>
  <c r="M361" i="7"/>
  <c r="L361" i="7"/>
  <c r="L360" i="7" s="1"/>
  <c r="J361" i="7"/>
  <c r="I361" i="7"/>
  <c r="I360" i="7" s="1"/>
  <c r="I359" i="7" s="1"/>
  <c r="I358" i="7" s="1"/>
  <c r="G361" i="7"/>
  <c r="O360" i="7"/>
  <c r="M360" i="7"/>
  <c r="M359" i="7" s="1"/>
  <c r="M358" i="7" s="1"/>
  <c r="K360" i="7"/>
  <c r="K359" i="7" s="1"/>
  <c r="K358" i="7" s="1"/>
  <c r="K357" i="7" s="1"/>
  <c r="J360" i="7"/>
  <c r="H360" i="7"/>
  <c r="G360" i="7"/>
  <c r="O359" i="7"/>
  <c r="L359" i="7"/>
  <c r="L358" i="7" s="1"/>
  <c r="L357" i="7" s="1"/>
  <c r="J359" i="7"/>
  <c r="J358" i="7" s="1"/>
  <c r="J357" i="7" s="1"/>
  <c r="H359" i="7"/>
  <c r="G359" i="7"/>
  <c r="G358" i="7" s="1"/>
  <c r="G357" i="7" s="1"/>
  <c r="O358" i="7"/>
  <c r="O357" i="7" s="1"/>
  <c r="H358" i="7"/>
  <c r="M357" i="7"/>
  <c r="I357" i="7"/>
  <c r="H357" i="7"/>
  <c r="O355" i="7"/>
  <c r="O354" i="7" s="1"/>
  <c r="N355" i="7"/>
  <c r="M355" i="7"/>
  <c r="M354" i="7" s="1"/>
  <c r="M353" i="7" s="1"/>
  <c r="M352" i="7" s="1"/>
  <c r="M351" i="7" s="1"/>
  <c r="M350" i="7" s="1"/>
  <c r="L355" i="7"/>
  <c r="J355" i="7"/>
  <c r="I355" i="7"/>
  <c r="G355" i="7"/>
  <c r="G354" i="7" s="1"/>
  <c r="G353" i="7" s="1"/>
  <c r="N354" i="7"/>
  <c r="L354" i="7"/>
  <c r="L353" i="7" s="1"/>
  <c r="K354" i="7"/>
  <c r="J354" i="7"/>
  <c r="J353" i="7" s="1"/>
  <c r="J352" i="7" s="1"/>
  <c r="J351" i="7" s="1"/>
  <c r="I354" i="7"/>
  <c r="H354" i="7"/>
  <c r="H353" i="7" s="1"/>
  <c r="O353" i="7"/>
  <c r="O352" i="7" s="1"/>
  <c r="O351" i="7" s="1"/>
  <c r="N353" i="7"/>
  <c r="K353" i="7"/>
  <c r="I353" i="7"/>
  <c r="I352" i="7" s="1"/>
  <c r="I351" i="7" s="1"/>
  <c r="N352" i="7"/>
  <c r="N351" i="7" s="1"/>
  <c r="N350" i="7" s="1"/>
  <c r="L352" i="7"/>
  <c r="K352" i="7"/>
  <c r="H352" i="7"/>
  <c r="H351" i="7" s="1"/>
  <c r="H350" i="7" s="1"/>
  <c r="G352" i="7"/>
  <c r="G351" i="7" s="1"/>
  <c r="G350" i="7" s="1"/>
  <c r="L351" i="7"/>
  <c r="K351" i="7"/>
  <c r="K350" i="7" s="1"/>
  <c r="J350" i="7"/>
  <c r="O348" i="7"/>
  <c r="O347" i="7" s="1"/>
  <c r="N348" i="7"/>
  <c r="N347" i="7" s="1"/>
  <c r="N346" i="7" s="1"/>
  <c r="N345" i="7" s="1"/>
  <c r="M348" i="7"/>
  <c r="M347" i="7" s="1"/>
  <c r="M346" i="7" s="1"/>
  <c r="L348" i="7"/>
  <c r="J348" i="7"/>
  <c r="I348" i="7"/>
  <c r="I347" i="7" s="1"/>
  <c r="I346" i="7" s="1"/>
  <c r="I345" i="7" s="1"/>
  <c r="G348" i="7"/>
  <c r="G347" i="7" s="1"/>
  <c r="G346" i="7" s="1"/>
  <c r="G345" i="7" s="1"/>
  <c r="L347" i="7"/>
  <c r="L346" i="7" s="1"/>
  <c r="K347" i="7"/>
  <c r="J347" i="7"/>
  <c r="H347" i="7"/>
  <c r="H346" i="7" s="1"/>
  <c r="H345" i="7" s="1"/>
  <c r="O346" i="7"/>
  <c r="O345" i="7" s="1"/>
  <c r="K346" i="7"/>
  <c r="K345" i="7" s="1"/>
  <c r="J346" i="7"/>
  <c r="J345" i="7" s="1"/>
  <c r="M345" i="7"/>
  <c r="L345" i="7"/>
  <c r="N344" i="7"/>
  <c r="M344" i="7"/>
  <c r="L344" i="7"/>
  <c r="O344" i="7" s="1"/>
  <c r="N343" i="7"/>
  <c r="M343" i="7"/>
  <c r="M341" i="7" s="1"/>
  <c r="L343" i="7"/>
  <c r="O343" i="7" s="1"/>
  <c r="N342" i="7"/>
  <c r="M342" i="7"/>
  <c r="O342" i="7" s="1"/>
  <c r="O341" i="7" s="1"/>
  <c r="I342" i="7"/>
  <c r="N341" i="7"/>
  <c r="N336" i="7" s="1"/>
  <c r="L341" i="7"/>
  <c r="J341" i="7"/>
  <c r="I341" i="7"/>
  <c r="G341" i="7"/>
  <c r="N339" i="7"/>
  <c r="M339" i="7"/>
  <c r="L339" i="7"/>
  <c r="L337" i="7" s="1"/>
  <c r="L336" i="7" s="1"/>
  <c r="I339" i="7"/>
  <c r="O339" i="7" s="1"/>
  <c r="N338" i="7"/>
  <c r="M338" i="7"/>
  <c r="M337" i="7" s="1"/>
  <c r="M336" i="7" s="1"/>
  <c r="I338" i="7"/>
  <c r="O338" i="7" s="1"/>
  <c r="O337" i="7" s="1"/>
  <c r="N337" i="7"/>
  <c r="K337" i="7"/>
  <c r="J337" i="7"/>
  <c r="J336" i="7" s="1"/>
  <c r="J330" i="7" s="1"/>
  <c r="J329" i="7" s="1"/>
  <c r="J328" i="7" s="1"/>
  <c r="I337" i="7"/>
  <c r="H337" i="7"/>
  <c r="H336" i="7" s="1"/>
  <c r="G337" i="7"/>
  <c r="O336" i="7"/>
  <c r="K336" i="7"/>
  <c r="G336" i="7"/>
  <c r="G330" i="7" s="1"/>
  <c r="G329" i="7" s="1"/>
  <c r="G328" i="7" s="1"/>
  <c r="O334" i="7"/>
  <c r="N334" i="7"/>
  <c r="M334" i="7"/>
  <c r="L334" i="7"/>
  <c r="L331" i="7" s="1"/>
  <c r="J334" i="7"/>
  <c r="I334" i="7"/>
  <c r="G334" i="7"/>
  <c r="O332" i="7"/>
  <c r="O331" i="7" s="1"/>
  <c r="N332" i="7"/>
  <c r="M332" i="7"/>
  <c r="L332" i="7"/>
  <c r="J332" i="7"/>
  <c r="J331" i="7" s="1"/>
  <c r="I332" i="7"/>
  <c r="G332" i="7"/>
  <c r="G331" i="7" s="1"/>
  <c r="N331" i="7"/>
  <c r="M331" i="7"/>
  <c r="K331" i="7"/>
  <c r="I331" i="7"/>
  <c r="H331" i="7"/>
  <c r="H330" i="7" s="1"/>
  <c r="H329" i="7" s="1"/>
  <c r="H328" i="7" s="1"/>
  <c r="K330" i="7"/>
  <c r="K329" i="7" s="1"/>
  <c r="K328" i="7" s="1"/>
  <c r="N327" i="7"/>
  <c r="M327" i="7"/>
  <c r="I327" i="7"/>
  <c r="O327" i="7" s="1"/>
  <c r="N326" i="7"/>
  <c r="N321" i="7" s="1"/>
  <c r="M326" i="7"/>
  <c r="H326" i="7"/>
  <c r="G326" i="7"/>
  <c r="I326" i="7" s="1"/>
  <c r="O326" i="7" s="1"/>
  <c r="N325" i="7"/>
  <c r="M325" i="7"/>
  <c r="I325" i="7"/>
  <c r="O325" i="7" s="1"/>
  <c r="N324" i="7"/>
  <c r="I324" i="7"/>
  <c r="O324" i="7" s="1"/>
  <c r="G324" i="7"/>
  <c r="M324" i="7" s="1"/>
  <c r="N323" i="7"/>
  <c r="M323" i="7"/>
  <c r="I323" i="7"/>
  <c r="I322" i="7" s="1"/>
  <c r="I321" i="7" s="1"/>
  <c r="N322" i="7"/>
  <c r="L322" i="7"/>
  <c r="J322" i="7"/>
  <c r="J321" i="7" s="1"/>
  <c r="H322" i="7"/>
  <c r="G322" i="7"/>
  <c r="L321" i="7"/>
  <c r="K321" i="7"/>
  <c r="H321" i="7"/>
  <c r="H317" i="7" s="1"/>
  <c r="H316" i="7" s="1"/>
  <c r="H315" i="7" s="1"/>
  <c r="O319" i="7"/>
  <c r="N319" i="7"/>
  <c r="N318" i="7" s="1"/>
  <c r="N317" i="7" s="1"/>
  <c r="N316" i="7" s="1"/>
  <c r="N315" i="7" s="1"/>
  <c r="M319" i="7"/>
  <c r="L319" i="7"/>
  <c r="J319" i="7"/>
  <c r="I319" i="7"/>
  <c r="G319" i="7"/>
  <c r="G318" i="7" s="1"/>
  <c r="O318" i="7"/>
  <c r="M318" i="7"/>
  <c r="L318" i="7"/>
  <c r="K318" i="7"/>
  <c r="K317" i="7" s="1"/>
  <c r="J318" i="7"/>
  <c r="I318" i="7"/>
  <c r="H318" i="7"/>
  <c r="J317" i="7"/>
  <c r="J316" i="7" s="1"/>
  <c r="J315" i="7" s="1"/>
  <c r="K316" i="7"/>
  <c r="K315" i="7" s="1"/>
  <c r="N313" i="7"/>
  <c r="M313" i="7"/>
  <c r="I313" i="7"/>
  <c r="O313" i="7" s="1"/>
  <c r="M312" i="7"/>
  <c r="I312" i="7"/>
  <c r="O312" i="7" s="1"/>
  <c r="H312" i="7"/>
  <c r="N312" i="7" s="1"/>
  <c r="N311" i="7"/>
  <c r="M311" i="7"/>
  <c r="I311" i="7"/>
  <c r="O311" i="7" s="1"/>
  <c r="H311" i="7"/>
  <c r="O310" i="7"/>
  <c r="I310" i="7"/>
  <c r="O309" i="7"/>
  <c r="N309" i="7"/>
  <c r="M309" i="7"/>
  <c r="I309" i="7"/>
  <c r="O308" i="7"/>
  <c r="N308" i="7"/>
  <c r="M308" i="7"/>
  <c r="I308" i="7"/>
  <c r="O307" i="7"/>
  <c r="N307" i="7"/>
  <c r="I307" i="7"/>
  <c r="H307" i="7"/>
  <c r="O306" i="7"/>
  <c r="N306" i="7"/>
  <c r="M306" i="7"/>
  <c r="L306" i="7"/>
  <c r="J306" i="7"/>
  <c r="J305" i="7" s="1"/>
  <c r="J304" i="7" s="1"/>
  <c r="I306" i="7"/>
  <c r="I305" i="7" s="1"/>
  <c r="I304" i="7" s="1"/>
  <c r="H306" i="7"/>
  <c r="H305" i="7" s="1"/>
  <c r="G306" i="7"/>
  <c r="O305" i="7"/>
  <c r="N305" i="7"/>
  <c r="N304" i="7" s="1"/>
  <c r="M305" i="7"/>
  <c r="M304" i="7" s="1"/>
  <c r="L305" i="7"/>
  <c r="K305" i="7"/>
  <c r="K304" i="7" s="1"/>
  <c r="G305" i="7"/>
  <c r="O304" i="7"/>
  <c r="L304" i="7"/>
  <c r="H304" i="7"/>
  <c r="G304" i="7"/>
  <c r="O302" i="7"/>
  <c r="N302" i="7"/>
  <c r="M302" i="7"/>
  <c r="M301" i="7" s="1"/>
  <c r="L302" i="7"/>
  <c r="L301" i="7" s="1"/>
  <c r="L300" i="7" s="1"/>
  <c r="L299" i="7" s="1"/>
  <c r="J302" i="7"/>
  <c r="I302" i="7"/>
  <c r="G302" i="7"/>
  <c r="G301" i="7" s="1"/>
  <c r="G300" i="7" s="1"/>
  <c r="G299" i="7" s="1"/>
  <c r="O301" i="7"/>
  <c r="O300" i="7" s="1"/>
  <c r="O299" i="7" s="1"/>
  <c r="N301" i="7"/>
  <c r="N300" i="7" s="1"/>
  <c r="K301" i="7"/>
  <c r="K300" i="7" s="1"/>
  <c r="J301" i="7"/>
  <c r="J300" i="7" s="1"/>
  <c r="J299" i="7" s="1"/>
  <c r="I301" i="7"/>
  <c r="H301" i="7"/>
  <c r="M300" i="7"/>
  <c r="M299" i="7" s="1"/>
  <c r="I300" i="7"/>
  <c r="I299" i="7" s="1"/>
  <c r="H300" i="7"/>
  <c r="O298" i="7"/>
  <c r="N298" i="7"/>
  <c r="L298" i="7"/>
  <c r="I298" i="7"/>
  <c r="O297" i="7"/>
  <c r="L297" i="7"/>
  <c r="I297" i="7"/>
  <c r="H297" i="7"/>
  <c r="N297" i="7" s="1"/>
  <c r="N296" i="7"/>
  <c r="M296" i="7"/>
  <c r="L296" i="7"/>
  <c r="I296" i="7"/>
  <c r="N295" i="7"/>
  <c r="M295" i="7"/>
  <c r="M294" i="7" s="1"/>
  <c r="M293" i="7" s="1"/>
  <c r="J295" i="7"/>
  <c r="I295" i="7"/>
  <c r="H295" i="7"/>
  <c r="H294" i="7" s="1"/>
  <c r="G295" i="7"/>
  <c r="G294" i="7" s="1"/>
  <c r="G293" i="7" s="1"/>
  <c r="K294" i="7"/>
  <c r="J294" i="7"/>
  <c r="J293" i="7" s="1"/>
  <c r="I294" i="7"/>
  <c r="I293" i="7" s="1"/>
  <c r="K293" i="7"/>
  <c r="N292" i="7"/>
  <c r="L292" i="7"/>
  <c r="I292" i="7"/>
  <c r="O292" i="7" s="1"/>
  <c r="L291" i="7"/>
  <c r="K291" i="7"/>
  <c r="I291" i="7"/>
  <c r="O291" i="7" s="1"/>
  <c r="H291" i="7"/>
  <c r="N291" i="7" s="1"/>
  <c r="N290" i="7"/>
  <c r="N289" i="7" s="1"/>
  <c r="M290" i="7"/>
  <c r="M289" i="7" s="1"/>
  <c r="L290" i="7"/>
  <c r="L289" i="7" s="1"/>
  <c r="I290" i="7"/>
  <c r="O290" i="7" s="1"/>
  <c r="O289" i="7"/>
  <c r="K289" i="7"/>
  <c r="J289" i="7"/>
  <c r="I289" i="7"/>
  <c r="H289" i="7"/>
  <c r="G289" i="7"/>
  <c r="O287" i="7"/>
  <c r="N287" i="7"/>
  <c r="M287" i="7"/>
  <c r="L287" i="7"/>
  <c r="J287" i="7"/>
  <c r="I287" i="7"/>
  <c r="G287" i="7"/>
  <c r="O286" i="7"/>
  <c r="N286" i="7"/>
  <c r="M286" i="7"/>
  <c r="I286" i="7"/>
  <c r="O285" i="7"/>
  <c r="N285" i="7"/>
  <c r="M285" i="7"/>
  <c r="I285" i="7"/>
  <c r="O284" i="7"/>
  <c r="N284" i="7"/>
  <c r="M284" i="7"/>
  <c r="I284" i="7"/>
  <c r="O283" i="7"/>
  <c r="N283" i="7"/>
  <c r="M283" i="7"/>
  <c r="L283" i="7"/>
  <c r="J283" i="7"/>
  <c r="I283" i="7"/>
  <c r="H283" i="7"/>
  <c r="G283" i="7"/>
  <c r="O281" i="7"/>
  <c r="N281" i="7"/>
  <c r="M281" i="7"/>
  <c r="L281" i="7"/>
  <c r="J281" i="7"/>
  <c r="I281" i="7"/>
  <c r="G281" i="7"/>
  <c r="N280" i="7"/>
  <c r="N279" i="7" s="1"/>
  <c r="M280" i="7"/>
  <c r="M279" i="7" s="1"/>
  <c r="L280" i="7"/>
  <c r="I280" i="7"/>
  <c r="O280" i="7" s="1"/>
  <c r="O279" i="7" s="1"/>
  <c r="L279" i="7"/>
  <c r="K279" i="7"/>
  <c r="J279" i="7"/>
  <c r="H279" i="7"/>
  <c r="G279" i="7"/>
  <c r="O278" i="7"/>
  <c r="N278" i="7"/>
  <c r="M278" i="7"/>
  <c r="I278" i="7"/>
  <c r="I277" i="7" s="1"/>
  <c r="O277" i="7"/>
  <c r="N277" i="7"/>
  <c r="M277" i="7"/>
  <c r="L277" i="7"/>
  <c r="J277" i="7"/>
  <c r="J276" i="7" s="1"/>
  <c r="J275" i="7" s="1"/>
  <c r="J274" i="7" s="1"/>
  <c r="J273" i="7" s="1"/>
  <c r="H277" i="7"/>
  <c r="G277" i="7"/>
  <c r="L276" i="7"/>
  <c r="L275" i="7" s="1"/>
  <c r="L274" i="7" s="1"/>
  <c r="K276" i="7"/>
  <c r="H276" i="7"/>
  <c r="G276" i="7"/>
  <c r="G275" i="7" s="1"/>
  <c r="G274" i="7" s="1"/>
  <c r="G273" i="7" s="1"/>
  <c r="K275" i="7"/>
  <c r="H275" i="7"/>
  <c r="H274" i="7" s="1"/>
  <c r="K274" i="7"/>
  <c r="K273" i="7" s="1"/>
  <c r="N268" i="7"/>
  <c r="M268" i="7"/>
  <c r="I268" i="7"/>
  <c r="O268" i="7" s="1"/>
  <c r="N267" i="7"/>
  <c r="I267" i="7"/>
  <c r="O267" i="7" s="1"/>
  <c r="H267" i="7"/>
  <c r="N266" i="7"/>
  <c r="H266" i="7"/>
  <c r="G266" i="7"/>
  <c r="O265" i="7"/>
  <c r="N265" i="7"/>
  <c r="L265" i="7"/>
  <c r="L264" i="7" s="1"/>
  <c r="J265" i="7"/>
  <c r="I265" i="7"/>
  <c r="H265" i="7"/>
  <c r="G265" i="7"/>
  <c r="G264" i="7" s="1"/>
  <c r="O264" i="7"/>
  <c r="N264" i="7"/>
  <c r="I264" i="7"/>
  <c r="H264" i="7"/>
  <c r="O263" i="7"/>
  <c r="N263" i="7"/>
  <c r="M263" i="7"/>
  <c r="I263" i="7"/>
  <c r="N262" i="7"/>
  <c r="N261" i="7" s="1"/>
  <c r="N260" i="7" s="1"/>
  <c r="M262" i="7"/>
  <c r="K262" i="7"/>
  <c r="I262" i="7"/>
  <c r="I261" i="7" s="1"/>
  <c r="M261" i="7"/>
  <c r="L261" i="7"/>
  <c r="J261" i="7"/>
  <c r="H261" i="7"/>
  <c r="G261" i="7"/>
  <c r="G260" i="7" s="1"/>
  <c r="G259" i="7" s="1"/>
  <c r="G258" i="7" s="1"/>
  <c r="I260" i="7"/>
  <c r="H260" i="7"/>
  <c r="H259" i="7" s="1"/>
  <c r="H258" i="7" s="1"/>
  <c r="N259" i="7"/>
  <c r="N258" i="7" s="1"/>
  <c r="I259" i="7"/>
  <c r="N257" i="7"/>
  <c r="M257" i="7"/>
  <c r="I257" i="7"/>
  <c r="H256" i="7"/>
  <c r="G256" i="7"/>
  <c r="M256" i="7" s="1"/>
  <c r="G255" i="7"/>
  <c r="M255" i="7" s="1"/>
  <c r="O254" i="7"/>
  <c r="O253" i="7" s="1"/>
  <c r="L254" i="7"/>
  <c r="J254" i="7"/>
  <c r="M254" i="7" s="1"/>
  <c r="M253" i="7" s="1"/>
  <c r="N253" i="7"/>
  <c r="L253" i="7"/>
  <c r="J253" i="7"/>
  <c r="I253" i="7"/>
  <c r="G253" i="7"/>
  <c r="N252" i="7"/>
  <c r="N251" i="7" s="1"/>
  <c r="L252" i="7"/>
  <c r="J252" i="7"/>
  <c r="I252" i="7"/>
  <c r="I251" i="7" s="1"/>
  <c r="L251" i="7"/>
  <c r="L245" i="7" s="1"/>
  <c r="H251" i="7"/>
  <c r="H245" i="7" s="1"/>
  <c r="H244" i="7" s="1"/>
  <c r="G251" i="7"/>
  <c r="O250" i="7"/>
  <c r="M250" i="7"/>
  <c r="O249" i="7"/>
  <c r="N249" i="7"/>
  <c r="M249" i="7"/>
  <c r="L249" i="7"/>
  <c r="J249" i="7"/>
  <c r="I249" i="7"/>
  <c r="G249" i="7"/>
  <c r="N248" i="7"/>
  <c r="M248" i="7"/>
  <c r="O248" i="7" s="1"/>
  <c r="I248" i="7"/>
  <c r="N247" i="7"/>
  <c r="N246" i="7" s="1"/>
  <c r="N245" i="7" s="1"/>
  <c r="N244" i="7" s="1"/>
  <c r="M247" i="7"/>
  <c r="M246" i="7" s="1"/>
  <c r="L247" i="7"/>
  <c r="O247" i="7" s="1"/>
  <c r="O246" i="7" s="1"/>
  <c r="L246" i="7"/>
  <c r="K246" i="7"/>
  <c r="J246" i="7"/>
  <c r="I246" i="7"/>
  <c r="I245" i="7" s="1"/>
  <c r="I244" i="7" s="1"/>
  <c r="H246" i="7"/>
  <c r="G246" i="7"/>
  <c r="K245" i="7"/>
  <c r="G245" i="7"/>
  <c r="L244" i="7"/>
  <c r="K244" i="7"/>
  <c r="K243" i="7" s="1"/>
  <c r="G244" i="7"/>
  <c r="L243" i="7"/>
  <c r="O241" i="7"/>
  <c r="N241" i="7"/>
  <c r="M241" i="7"/>
  <c r="I241" i="7"/>
  <c r="O240" i="7"/>
  <c r="N240" i="7"/>
  <c r="M240" i="7"/>
  <c r="L240" i="7"/>
  <c r="J240" i="7"/>
  <c r="I240" i="7"/>
  <c r="H240" i="7"/>
  <c r="G240" i="7"/>
  <c r="O238" i="7"/>
  <c r="O237" i="7" s="1"/>
  <c r="O236" i="7" s="1"/>
  <c r="O235" i="7" s="1"/>
  <c r="N238" i="7"/>
  <c r="N237" i="7" s="1"/>
  <c r="M238" i="7"/>
  <c r="L238" i="7"/>
  <c r="J238" i="7"/>
  <c r="J237" i="7" s="1"/>
  <c r="J236" i="7" s="1"/>
  <c r="J235" i="7" s="1"/>
  <c r="J229" i="7" s="1"/>
  <c r="I238" i="7"/>
  <c r="I237" i="7" s="1"/>
  <c r="I236" i="7" s="1"/>
  <c r="I235" i="7" s="1"/>
  <c r="I229" i="7" s="1"/>
  <c r="G238" i="7"/>
  <c r="M237" i="7"/>
  <c r="M236" i="7" s="1"/>
  <c r="M235" i="7" s="1"/>
  <c r="L237" i="7"/>
  <c r="K237" i="7"/>
  <c r="H237" i="7"/>
  <c r="G237" i="7"/>
  <c r="N236" i="7"/>
  <c r="N235" i="7" s="1"/>
  <c r="L236" i="7"/>
  <c r="K236" i="7"/>
  <c r="H236" i="7"/>
  <c r="G236" i="7"/>
  <c r="G235" i="7" s="1"/>
  <c r="L235" i="7"/>
  <c r="K235" i="7"/>
  <c r="K229" i="7" s="1"/>
  <c r="H235" i="7"/>
  <c r="N233" i="7"/>
  <c r="M233" i="7"/>
  <c r="M230" i="7" s="1"/>
  <c r="O233" i="7"/>
  <c r="M231" i="7"/>
  <c r="I231" i="7"/>
  <c r="O231" i="7" s="1"/>
  <c r="N231" i="7"/>
  <c r="G231" i="7"/>
  <c r="G230" i="7"/>
  <c r="I230" i="7" s="1"/>
  <c r="O230" i="7" s="1"/>
  <c r="L229" i="7"/>
  <c r="O226" i="7"/>
  <c r="O225" i="7" s="1"/>
  <c r="O224" i="7" s="1"/>
  <c r="N226" i="7"/>
  <c r="M226" i="7"/>
  <c r="L226" i="7"/>
  <c r="J226" i="7"/>
  <c r="I226" i="7"/>
  <c r="I225" i="7" s="1"/>
  <c r="I224" i="7" s="1"/>
  <c r="G226" i="7"/>
  <c r="N225" i="7"/>
  <c r="N224" i="7" s="1"/>
  <c r="M225" i="7"/>
  <c r="M224" i="7" s="1"/>
  <c r="L225" i="7"/>
  <c r="K225" i="7"/>
  <c r="J225" i="7"/>
  <c r="H225" i="7"/>
  <c r="H224" i="7" s="1"/>
  <c r="G225" i="7"/>
  <c r="L224" i="7"/>
  <c r="K224" i="7"/>
  <c r="J224" i="7"/>
  <c r="G224" i="7"/>
  <c r="O221" i="7"/>
  <c r="O220" i="7" s="1"/>
  <c r="O219" i="7" s="1"/>
  <c r="N221" i="7"/>
  <c r="M221" i="7"/>
  <c r="L221" i="7"/>
  <c r="L220" i="7" s="1"/>
  <c r="L219" i="7" s="1"/>
  <c r="J221" i="7"/>
  <c r="J220" i="7" s="1"/>
  <c r="J219" i="7" s="1"/>
  <c r="I221" i="7"/>
  <c r="G221" i="7"/>
  <c r="N220" i="7"/>
  <c r="N219" i="7" s="1"/>
  <c r="M220" i="7"/>
  <c r="M219" i="7" s="1"/>
  <c r="K220" i="7"/>
  <c r="I220" i="7"/>
  <c r="H220" i="7"/>
  <c r="G220" i="7"/>
  <c r="G219" i="7" s="1"/>
  <c r="K219" i="7"/>
  <c r="I219" i="7"/>
  <c r="H219" i="7"/>
  <c r="O216" i="7"/>
  <c r="N216" i="7"/>
  <c r="M216" i="7"/>
  <c r="M215" i="7" s="1"/>
  <c r="M214" i="7" s="1"/>
  <c r="L216" i="7"/>
  <c r="L215" i="7" s="1"/>
  <c r="L214" i="7" s="1"/>
  <c r="J216" i="7"/>
  <c r="I216" i="7"/>
  <c r="G216" i="7"/>
  <c r="G215" i="7" s="1"/>
  <c r="G214" i="7" s="1"/>
  <c r="O215" i="7"/>
  <c r="O214" i="7" s="1"/>
  <c r="N215" i="7"/>
  <c r="N214" i="7" s="1"/>
  <c r="K215" i="7"/>
  <c r="K214" i="7" s="1"/>
  <c r="K213" i="7" s="1"/>
  <c r="J215" i="7"/>
  <c r="I215" i="7"/>
  <c r="H215" i="7"/>
  <c r="H214" i="7" s="1"/>
  <c r="H213" i="7" s="1"/>
  <c r="J214" i="7"/>
  <c r="J213" i="7" s="1"/>
  <c r="I214" i="7"/>
  <c r="O212" i="7"/>
  <c r="N212" i="7"/>
  <c r="M212" i="7"/>
  <c r="I212" i="7"/>
  <c r="N211" i="7"/>
  <c r="M211" i="7"/>
  <c r="H211" i="7"/>
  <c r="H210" i="7" s="1"/>
  <c r="N210" i="7" s="1"/>
  <c r="G211" i="7"/>
  <c r="O208" i="7"/>
  <c r="O207" i="7" s="1"/>
  <c r="N208" i="7"/>
  <c r="M208" i="7"/>
  <c r="L208" i="7"/>
  <c r="J208" i="7"/>
  <c r="I208" i="7"/>
  <c r="I207" i="7" s="1"/>
  <c r="G208" i="7"/>
  <c r="N207" i="7"/>
  <c r="M207" i="7"/>
  <c r="L207" i="7"/>
  <c r="K207" i="7"/>
  <c r="J207" i="7"/>
  <c r="J199" i="7" s="1"/>
  <c r="H207" i="7"/>
  <c r="G207" i="7"/>
  <c r="O206" i="7"/>
  <c r="N206" i="7"/>
  <c r="M206" i="7"/>
  <c r="I206" i="7"/>
  <c r="N205" i="7"/>
  <c r="G205" i="7"/>
  <c r="N204" i="7"/>
  <c r="G204" i="7"/>
  <c r="M204" i="7" s="1"/>
  <c r="N203" i="7"/>
  <c r="M203" i="7"/>
  <c r="O203" i="7" s="1"/>
  <c r="O201" i="7" s="1"/>
  <c r="O200" i="7" s="1"/>
  <c r="I203" i="7"/>
  <c r="I201" i="7" s="1"/>
  <c r="N201" i="7"/>
  <c r="L201" i="7"/>
  <c r="L200" i="7" s="1"/>
  <c r="L199" i="7" s="1"/>
  <c r="J201" i="7"/>
  <c r="H201" i="7"/>
  <c r="G201" i="7"/>
  <c r="G200" i="7" s="1"/>
  <c r="G199" i="7" s="1"/>
  <c r="N200" i="7"/>
  <c r="K200" i="7"/>
  <c r="J200" i="7"/>
  <c r="I200" i="7"/>
  <c r="H200" i="7"/>
  <c r="H199" i="7" s="1"/>
  <c r="N199" i="7"/>
  <c r="K199" i="7"/>
  <c r="N198" i="7"/>
  <c r="N197" i="7" s="1"/>
  <c r="M198" i="7"/>
  <c r="L198" i="7"/>
  <c r="I198" i="7"/>
  <c r="I197" i="7" s="1"/>
  <c r="I192" i="7" s="1"/>
  <c r="I191" i="7" s="1"/>
  <c r="M197" i="7"/>
  <c r="L197" i="7"/>
  <c r="L192" i="7" s="1"/>
  <c r="L191" i="7" s="1"/>
  <c r="K197" i="7"/>
  <c r="J197" i="7"/>
  <c r="H197" i="7"/>
  <c r="H192" i="7" s="1"/>
  <c r="H191" i="7" s="1"/>
  <c r="G197" i="7"/>
  <c r="G192" i="7" s="1"/>
  <c r="G191" i="7" s="1"/>
  <c r="N196" i="7"/>
  <c r="O196" i="7" s="1"/>
  <c r="L196" i="7"/>
  <c r="I196" i="7"/>
  <c r="N195" i="7"/>
  <c r="O195" i="7" s="1"/>
  <c r="L195" i="7"/>
  <c r="I195" i="7"/>
  <c r="N194" i="7"/>
  <c r="M194" i="7"/>
  <c r="O194" i="7" s="1"/>
  <c r="I194" i="7"/>
  <c r="N193" i="7"/>
  <c r="M193" i="7"/>
  <c r="O193" i="7" s="1"/>
  <c r="I193" i="7"/>
  <c r="H193" i="7"/>
  <c r="M192" i="7"/>
  <c r="M191" i="7" s="1"/>
  <c r="K192" i="7"/>
  <c r="J192" i="7"/>
  <c r="J191" i="7" s="1"/>
  <c r="K191" i="7"/>
  <c r="K190" i="7" s="1"/>
  <c r="K189" i="7" s="1"/>
  <c r="H190" i="7"/>
  <c r="G190" i="7"/>
  <c r="H189" i="7"/>
  <c r="O187" i="7"/>
  <c r="N187" i="7"/>
  <c r="N186" i="7" s="1"/>
  <c r="M187" i="7"/>
  <c r="L187" i="7"/>
  <c r="J187" i="7"/>
  <c r="I187" i="7"/>
  <c r="G187" i="7"/>
  <c r="G186" i="7" s="1"/>
  <c r="G185" i="7" s="1"/>
  <c r="O186" i="7"/>
  <c r="M186" i="7"/>
  <c r="L186" i="7"/>
  <c r="L185" i="7" s="1"/>
  <c r="L184" i="7" s="1"/>
  <c r="K186" i="7"/>
  <c r="J186" i="7"/>
  <c r="I186" i="7"/>
  <c r="I185" i="7" s="1"/>
  <c r="I184" i="7" s="1"/>
  <c r="I183" i="7" s="1"/>
  <c r="H186" i="7"/>
  <c r="H185" i="7" s="1"/>
  <c r="H184" i="7" s="1"/>
  <c r="O185" i="7"/>
  <c r="N185" i="7"/>
  <c r="N184" i="7" s="1"/>
  <c r="N183" i="7" s="1"/>
  <c r="M185" i="7"/>
  <c r="M184" i="7" s="1"/>
  <c r="M183" i="7" s="1"/>
  <c r="K185" i="7"/>
  <c r="J185" i="7"/>
  <c r="O184" i="7"/>
  <c r="O183" i="7" s="1"/>
  <c r="K184" i="7"/>
  <c r="J184" i="7"/>
  <c r="J183" i="7" s="1"/>
  <c r="G184" i="7"/>
  <c r="G183" i="7" s="1"/>
  <c r="L183" i="7"/>
  <c r="K183" i="7"/>
  <c r="H183" i="7"/>
  <c r="O182" i="7"/>
  <c r="N182" i="7"/>
  <c r="O181" i="7"/>
  <c r="N181" i="7"/>
  <c r="I181" i="7"/>
  <c r="H181" i="7"/>
  <c r="O180" i="7"/>
  <c r="N180" i="7"/>
  <c r="M180" i="7"/>
  <c r="I180" i="7"/>
  <c r="O179" i="7"/>
  <c r="N179" i="7"/>
  <c r="M179" i="7"/>
  <c r="L179" i="7"/>
  <c r="J179" i="7"/>
  <c r="J178" i="7" s="1"/>
  <c r="J177" i="7" s="1"/>
  <c r="J176" i="7" s="1"/>
  <c r="I179" i="7"/>
  <c r="I178" i="7" s="1"/>
  <c r="I177" i="7" s="1"/>
  <c r="H179" i="7"/>
  <c r="G179" i="7"/>
  <c r="O178" i="7"/>
  <c r="O177" i="7" s="1"/>
  <c r="O176" i="7" s="1"/>
  <c r="N178" i="7"/>
  <c r="N177" i="7" s="1"/>
  <c r="N176" i="7" s="1"/>
  <c r="M178" i="7"/>
  <c r="L178" i="7"/>
  <c r="K178" i="7"/>
  <c r="K177" i="7" s="1"/>
  <c r="K176" i="7" s="1"/>
  <c r="H178" i="7"/>
  <c r="G178" i="7"/>
  <c r="G177" i="7" s="1"/>
  <c r="G176" i="7" s="1"/>
  <c r="M177" i="7"/>
  <c r="L177" i="7"/>
  <c r="L176" i="7" s="1"/>
  <c r="H177" i="7"/>
  <c r="H176" i="7" s="1"/>
  <c r="M176" i="7"/>
  <c r="I176" i="7"/>
  <c r="O175" i="7"/>
  <c r="M175" i="7"/>
  <c r="M174" i="7" s="1"/>
  <c r="M173" i="7" s="1"/>
  <c r="M164" i="7" s="1"/>
  <c r="M163" i="7" s="1"/>
  <c r="M162" i="7" s="1"/>
  <c r="I175" i="7"/>
  <c r="G175" i="7"/>
  <c r="O174" i="7"/>
  <c r="O173" i="7" s="1"/>
  <c r="N174" i="7"/>
  <c r="N173" i="7" s="1"/>
  <c r="L174" i="7"/>
  <c r="J174" i="7"/>
  <c r="I174" i="7"/>
  <c r="I173" i="7" s="1"/>
  <c r="G174" i="7"/>
  <c r="G173" i="7" s="1"/>
  <c r="L173" i="7"/>
  <c r="K173" i="7"/>
  <c r="J173" i="7"/>
  <c r="H173" i="7"/>
  <c r="H172" i="7" s="1"/>
  <c r="K172" i="7"/>
  <c r="O171" i="7"/>
  <c r="N171" i="7"/>
  <c r="M171" i="7"/>
  <c r="L171" i="7"/>
  <c r="J171" i="7"/>
  <c r="J165" i="7" s="1"/>
  <c r="I171" i="7"/>
  <c r="G171" i="7"/>
  <c r="N170" i="7"/>
  <c r="N169" i="7" s="1"/>
  <c r="M170" i="7"/>
  <c r="L170" i="7"/>
  <c r="I170" i="7"/>
  <c r="I169" i="7" s="1"/>
  <c r="M169" i="7"/>
  <c r="L169" i="7"/>
  <c r="K169" i="7"/>
  <c r="J169" i="7"/>
  <c r="H169" i="7"/>
  <c r="H165" i="7" s="1"/>
  <c r="H164" i="7" s="1"/>
  <c r="H163" i="7" s="1"/>
  <c r="H162" i="7" s="1"/>
  <c r="G169" i="7"/>
  <c r="N168" i="7"/>
  <c r="M168" i="7"/>
  <c r="L168" i="7"/>
  <c r="I168" i="7"/>
  <c r="N167" i="7"/>
  <c r="N166" i="7" s="1"/>
  <c r="M167" i="7"/>
  <c r="M166" i="7" s="1"/>
  <c r="K167" i="7"/>
  <c r="L167" i="7" s="1"/>
  <c r="L166" i="7" s="1"/>
  <c r="L165" i="7" s="1"/>
  <c r="L164" i="7" s="1"/>
  <c r="L163" i="7" s="1"/>
  <c r="I167" i="7"/>
  <c r="K166" i="7"/>
  <c r="K165" i="7" s="1"/>
  <c r="K164" i="7" s="1"/>
  <c r="K163" i="7" s="1"/>
  <c r="K162" i="7" s="1"/>
  <c r="J166" i="7"/>
  <c r="H166" i="7"/>
  <c r="G166" i="7"/>
  <c r="M165" i="7"/>
  <c r="O161" i="7"/>
  <c r="M161" i="7"/>
  <c r="M160" i="7" s="1"/>
  <c r="M159" i="7" s="1"/>
  <c r="M158" i="7" s="1"/>
  <c r="O160" i="7"/>
  <c r="O159" i="7" s="1"/>
  <c r="O158" i="7" s="1"/>
  <c r="O157" i="7" s="1"/>
  <c r="O156" i="7" s="1"/>
  <c r="N160" i="7"/>
  <c r="L160" i="7"/>
  <c r="J160" i="7"/>
  <c r="J159" i="7" s="1"/>
  <c r="J158" i="7" s="1"/>
  <c r="J157" i="7" s="1"/>
  <c r="J156" i="7" s="1"/>
  <c r="I160" i="7"/>
  <c r="I159" i="7" s="1"/>
  <c r="I158" i="7" s="1"/>
  <c r="I157" i="7" s="1"/>
  <c r="I156" i="7" s="1"/>
  <c r="H160" i="7"/>
  <c r="G160" i="7"/>
  <c r="N159" i="7"/>
  <c r="N158" i="7" s="1"/>
  <c r="N157" i="7" s="1"/>
  <c r="N156" i="7" s="1"/>
  <c r="L159" i="7"/>
  <c r="L158" i="7" s="1"/>
  <c r="L157" i="7" s="1"/>
  <c r="L156" i="7" s="1"/>
  <c r="K159" i="7"/>
  <c r="H159" i="7"/>
  <c r="G159" i="7"/>
  <c r="G158" i="7" s="1"/>
  <c r="G157" i="7" s="1"/>
  <c r="G156" i="7" s="1"/>
  <c r="K158" i="7"/>
  <c r="K157" i="7" s="1"/>
  <c r="K156" i="7" s="1"/>
  <c r="H158" i="7"/>
  <c r="H157" i="7" s="1"/>
  <c r="H156" i="7" s="1"/>
  <c r="M157" i="7"/>
  <c r="M156" i="7"/>
  <c r="O153" i="7"/>
  <c r="O152" i="7" s="1"/>
  <c r="O151" i="7" s="1"/>
  <c r="N153" i="7"/>
  <c r="M153" i="7"/>
  <c r="L153" i="7"/>
  <c r="L152" i="7" s="1"/>
  <c r="J153" i="7"/>
  <c r="J152" i="7" s="1"/>
  <c r="J151" i="7" s="1"/>
  <c r="I153" i="7"/>
  <c r="G153" i="7"/>
  <c r="N152" i="7"/>
  <c r="N151" i="7" s="1"/>
  <c r="M152" i="7"/>
  <c r="M151" i="7" s="1"/>
  <c r="K152" i="7"/>
  <c r="I152" i="7"/>
  <c r="H152" i="7"/>
  <c r="H151" i="7" s="1"/>
  <c r="G152" i="7"/>
  <c r="L151" i="7"/>
  <c r="K151" i="7"/>
  <c r="I151" i="7"/>
  <c r="G151" i="7"/>
  <c r="O149" i="7"/>
  <c r="N149" i="7"/>
  <c r="M149" i="7"/>
  <c r="M148" i="7" s="1"/>
  <c r="M147" i="7" s="1"/>
  <c r="L149" i="7"/>
  <c r="L148" i="7" s="1"/>
  <c r="L147" i="7" s="1"/>
  <c r="J149" i="7"/>
  <c r="J148" i="7" s="1"/>
  <c r="J147" i="7" s="1"/>
  <c r="J140" i="7" s="1"/>
  <c r="J139" i="7" s="1"/>
  <c r="I149" i="7"/>
  <c r="G149" i="7"/>
  <c r="O148" i="7"/>
  <c r="O147" i="7" s="1"/>
  <c r="N148" i="7"/>
  <c r="N147" i="7" s="1"/>
  <c r="K148" i="7"/>
  <c r="K147" i="7" s="1"/>
  <c r="I148" i="7"/>
  <c r="H148" i="7"/>
  <c r="H147" i="7" s="1"/>
  <c r="G148" i="7"/>
  <c r="G147" i="7" s="1"/>
  <c r="I147" i="7"/>
  <c r="O145" i="7"/>
  <c r="N145" i="7"/>
  <c r="N142" i="7" s="1"/>
  <c r="M145" i="7"/>
  <c r="L145" i="7"/>
  <c r="J145" i="7"/>
  <c r="I145" i="7"/>
  <c r="G145" i="7"/>
  <c r="N144" i="7"/>
  <c r="M144" i="7"/>
  <c r="M143" i="7" s="1"/>
  <c r="M142" i="7" s="1"/>
  <c r="M141" i="7" s="1"/>
  <c r="I144" i="7"/>
  <c r="N143" i="7"/>
  <c r="L143" i="7"/>
  <c r="J143" i="7"/>
  <c r="H143" i="7"/>
  <c r="H142" i="7" s="1"/>
  <c r="H141" i="7" s="1"/>
  <c r="H140" i="7" s="1"/>
  <c r="H139" i="7" s="1"/>
  <c r="G143" i="7"/>
  <c r="L142" i="7"/>
  <c r="L141" i="7" s="1"/>
  <c r="L140" i="7" s="1"/>
  <c r="L139" i="7" s="1"/>
  <c r="K142" i="7"/>
  <c r="J142" i="7"/>
  <c r="N141" i="7"/>
  <c r="K141" i="7"/>
  <c r="J141" i="7"/>
  <c r="K140" i="7"/>
  <c r="K139" i="7" s="1"/>
  <c r="O137" i="7"/>
  <c r="O136" i="7" s="1"/>
  <c r="O135" i="7" s="1"/>
  <c r="N137" i="7"/>
  <c r="M137" i="7"/>
  <c r="M136" i="7" s="1"/>
  <c r="L137" i="7"/>
  <c r="L136" i="7" s="1"/>
  <c r="L135" i="7" s="1"/>
  <c r="J137" i="7"/>
  <c r="I137" i="7"/>
  <c r="G137" i="7"/>
  <c r="N136" i="7"/>
  <c r="K136" i="7"/>
  <c r="K135" i="7" s="1"/>
  <c r="J136" i="7"/>
  <c r="I136" i="7"/>
  <c r="H136" i="7"/>
  <c r="H135" i="7" s="1"/>
  <c r="G136" i="7"/>
  <c r="G135" i="7" s="1"/>
  <c r="N135" i="7"/>
  <c r="M135" i="7"/>
  <c r="J135" i="7"/>
  <c r="I135" i="7"/>
  <c r="N134" i="7"/>
  <c r="N133" i="7" s="1"/>
  <c r="N132" i="7" s="1"/>
  <c r="N131" i="7" s="1"/>
  <c r="M134" i="7"/>
  <c r="O134" i="7" s="1"/>
  <c r="O133" i="7" s="1"/>
  <c r="O132" i="7" s="1"/>
  <c r="I134" i="7"/>
  <c r="M133" i="7"/>
  <c r="M132" i="7" s="1"/>
  <c r="M131" i="7" s="1"/>
  <c r="L133" i="7"/>
  <c r="L132" i="7" s="1"/>
  <c r="L131" i="7" s="1"/>
  <c r="J133" i="7"/>
  <c r="I133" i="7"/>
  <c r="I132" i="7" s="1"/>
  <c r="I131" i="7" s="1"/>
  <c r="H133" i="7"/>
  <c r="H132" i="7" s="1"/>
  <c r="H131" i="7" s="1"/>
  <c r="G133" i="7"/>
  <c r="K132" i="7"/>
  <c r="J132" i="7"/>
  <c r="J131" i="7" s="1"/>
  <c r="G132" i="7"/>
  <c r="O131" i="7"/>
  <c r="K131" i="7"/>
  <c r="G131" i="7"/>
  <c r="O130" i="7"/>
  <c r="N130" i="7"/>
  <c r="I130" i="7"/>
  <c r="O129" i="7"/>
  <c r="N129" i="7"/>
  <c r="I129" i="7"/>
  <c r="N128" i="7"/>
  <c r="I128" i="7"/>
  <c r="O128" i="7" s="1"/>
  <c r="N127" i="7"/>
  <c r="I127" i="7"/>
  <c r="O127" i="7" s="1"/>
  <c r="O126" i="7"/>
  <c r="M126" i="7"/>
  <c r="I126" i="7"/>
  <c r="G126" i="7"/>
  <c r="G125" i="7" s="1"/>
  <c r="G124" i="7" s="1"/>
  <c r="O125" i="7"/>
  <c r="O124" i="7" s="1"/>
  <c r="N125" i="7"/>
  <c r="M125" i="7"/>
  <c r="L125" i="7"/>
  <c r="L124" i="7" s="1"/>
  <c r="J125" i="7"/>
  <c r="J124" i="7" s="1"/>
  <c r="I125" i="7"/>
  <c r="N124" i="7"/>
  <c r="M124" i="7"/>
  <c r="K124" i="7"/>
  <c r="K123" i="7" s="1"/>
  <c r="I124" i="7"/>
  <c r="H124" i="7"/>
  <c r="O123" i="7"/>
  <c r="O122" i="7" s="1"/>
  <c r="O121" i="7" s="1"/>
  <c r="M123" i="7"/>
  <c r="I123" i="7"/>
  <c r="H123" i="7"/>
  <c r="G123" i="7"/>
  <c r="N122" i="7"/>
  <c r="N121" i="7" s="1"/>
  <c r="M122" i="7"/>
  <c r="M121" i="7" s="1"/>
  <c r="L122" i="7"/>
  <c r="J122" i="7"/>
  <c r="I122" i="7"/>
  <c r="I121" i="7" s="1"/>
  <c r="G122" i="7"/>
  <c r="G121" i="7" s="1"/>
  <c r="L121" i="7"/>
  <c r="K121" i="7"/>
  <c r="J121" i="7"/>
  <c r="H121" i="7"/>
  <c r="O119" i="7"/>
  <c r="N119" i="7"/>
  <c r="M119" i="7"/>
  <c r="L119" i="7"/>
  <c r="J119" i="7"/>
  <c r="I119" i="7"/>
  <c r="G119" i="7"/>
  <c r="N118" i="7"/>
  <c r="N117" i="7" s="1"/>
  <c r="N112" i="7" s="1"/>
  <c r="M118" i="7"/>
  <c r="H118" i="7"/>
  <c r="M117" i="7"/>
  <c r="L117" i="7"/>
  <c r="J117" i="7"/>
  <c r="G117" i="7"/>
  <c r="O115" i="7"/>
  <c r="N115" i="7"/>
  <c r="M115" i="7"/>
  <c r="I115" i="7"/>
  <c r="O114" i="7"/>
  <c r="N114" i="7"/>
  <c r="M114" i="7"/>
  <c r="I114" i="7"/>
  <c r="I113" i="7" s="1"/>
  <c r="O113" i="7"/>
  <c r="N113" i="7"/>
  <c r="L113" i="7"/>
  <c r="L112" i="7" s="1"/>
  <c r="L111" i="7" s="1"/>
  <c r="J113" i="7"/>
  <c r="H113" i="7"/>
  <c r="G113" i="7"/>
  <c r="M113" i="7" s="1"/>
  <c r="M112" i="7" s="1"/>
  <c r="K112" i="7"/>
  <c r="K111" i="7" s="1"/>
  <c r="K110" i="7" s="1"/>
  <c r="K109" i="7" s="1"/>
  <c r="K108" i="7" s="1"/>
  <c r="K107" i="7" s="1"/>
  <c r="M107" i="7"/>
  <c r="M106" i="7" s="1"/>
  <c r="M105" i="7" s="1"/>
  <c r="M104" i="7" s="1"/>
  <c r="H107" i="7"/>
  <c r="I107" i="7" s="1"/>
  <c r="O107" i="7" s="1"/>
  <c r="O106" i="7"/>
  <c r="O105" i="7" s="1"/>
  <c r="O104" i="7" s="1"/>
  <c r="L106" i="7"/>
  <c r="J106" i="7"/>
  <c r="I106" i="7"/>
  <c r="I105" i="7" s="1"/>
  <c r="I104" i="7" s="1"/>
  <c r="G106" i="7"/>
  <c r="L105" i="7"/>
  <c r="K105" i="7"/>
  <c r="K104" i="7" s="1"/>
  <c r="K103" i="7" s="1"/>
  <c r="J105" i="7"/>
  <c r="J104" i="7" s="1"/>
  <c r="G105" i="7"/>
  <c r="G104" i="7" s="1"/>
  <c r="L104" i="7"/>
  <c r="O102" i="7"/>
  <c r="O101" i="7" s="1"/>
  <c r="O100" i="7" s="1"/>
  <c r="N102" i="7"/>
  <c r="N101" i="7" s="1"/>
  <c r="M102" i="7"/>
  <c r="L102" i="7"/>
  <c r="J102" i="7"/>
  <c r="I102" i="7"/>
  <c r="G102" i="7"/>
  <c r="G101" i="7" s="1"/>
  <c r="G100" i="7" s="1"/>
  <c r="M101" i="7"/>
  <c r="M100" i="7" s="1"/>
  <c r="L101" i="7"/>
  <c r="L100" i="7" s="1"/>
  <c r="K101" i="7"/>
  <c r="J101" i="7"/>
  <c r="I101" i="7"/>
  <c r="I100" i="7" s="1"/>
  <c r="H101" i="7"/>
  <c r="H100" i="7" s="1"/>
  <c r="N100" i="7"/>
  <c r="K100" i="7"/>
  <c r="J100" i="7"/>
  <c r="O99" i="7"/>
  <c r="M99" i="7"/>
  <c r="M97" i="7" s="1"/>
  <c r="M93" i="7" s="1"/>
  <c r="I99" i="7"/>
  <c r="G99" i="7"/>
  <c r="O98" i="7"/>
  <c r="N98" i="7"/>
  <c r="M98" i="7"/>
  <c r="I98" i="7"/>
  <c r="O97" i="7"/>
  <c r="N97" i="7"/>
  <c r="L97" i="7"/>
  <c r="J97" i="7"/>
  <c r="I97" i="7"/>
  <c r="H97" i="7"/>
  <c r="G97" i="7"/>
  <c r="O94" i="7"/>
  <c r="O93" i="7" s="1"/>
  <c r="N94" i="7"/>
  <c r="M94" i="7"/>
  <c r="L94" i="7"/>
  <c r="L93" i="7" s="1"/>
  <c r="J94" i="7"/>
  <c r="I94" i="7"/>
  <c r="G94" i="7"/>
  <c r="N93" i="7"/>
  <c r="K93" i="7"/>
  <c r="J93" i="7"/>
  <c r="I93" i="7"/>
  <c r="H93" i="7"/>
  <c r="G93" i="7"/>
  <c r="O91" i="7"/>
  <c r="N91" i="7"/>
  <c r="M91" i="7"/>
  <c r="I91" i="7"/>
  <c r="O90" i="7"/>
  <c r="N90" i="7"/>
  <c r="M90" i="7"/>
  <c r="I90" i="7"/>
  <c r="O89" i="7"/>
  <c r="O88" i="7" s="1"/>
  <c r="O87" i="7" s="1"/>
  <c r="O86" i="7" s="1"/>
  <c r="N89" i="7"/>
  <c r="N88" i="7" s="1"/>
  <c r="N87" i="7" s="1"/>
  <c r="N86" i="7" s="1"/>
  <c r="M89" i="7"/>
  <c r="M88" i="7" s="1"/>
  <c r="L89" i="7"/>
  <c r="L88" i="7" s="1"/>
  <c r="J89" i="7"/>
  <c r="J88" i="7" s="1"/>
  <c r="J87" i="7" s="1"/>
  <c r="J86" i="7" s="1"/>
  <c r="I89" i="7"/>
  <c r="I88" i="7" s="1"/>
  <c r="I87" i="7" s="1"/>
  <c r="I86" i="7" s="1"/>
  <c r="G89" i="7"/>
  <c r="K88" i="7"/>
  <c r="H88" i="7"/>
  <c r="G88" i="7"/>
  <c r="K87" i="7"/>
  <c r="K86" i="7" s="1"/>
  <c r="H87" i="7"/>
  <c r="G87" i="7"/>
  <c r="H86" i="7"/>
  <c r="G86" i="7"/>
  <c r="O83" i="7"/>
  <c r="N83" i="7"/>
  <c r="N82" i="7" s="1"/>
  <c r="N81" i="7" s="1"/>
  <c r="M83" i="7"/>
  <c r="M82" i="7" s="1"/>
  <c r="L83" i="7"/>
  <c r="J83" i="7"/>
  <c r="I83" i="7"/>
  <c r="G83" i="7"/>
  <c r="O82" i="7"/>
  <c r="O81" i="7" s="1"/>
  <c r="L82" i="7"/>
  <c r="L81" i="7" s="1"/>
  <c r="K82" i="7"/>
  <c r="K81" i="7" s="1"/>
  <c r="J82" i="7"/>
  <c r="I82" i="7"/>
  <c r="H82" i="7"/>
  <c r="H81" i="7" s="1"/>
  <c r="G82" i="7"/>
  <c r="G81" i="7" s="1"/>
  <c r="M81" i="7"/>
  <c r="J81" i="7"/>
  <c r="I81" i="7"/>
  <c r="O79" i="7"/>
  <c r="O78" i="7" s="1"/>
  <c r="O77" i="7" s="1"/>
  <c r="O70" i="7" s="1"/>
  <c r="N79" i="7"/>
  <c r="N78" i="7" s="1"/>
  <c r="M79" i="7"/>
  <c r="M78" i="7" s="1"/>
  <c r="M77" i="7" s="1"/>
  <c r="L79" i="7"/>
  <c r="J79" i="7"/>
  <c r="J78" i="7" s="1"/>
  <c r="J77" i="7" s="1"/>
  <c r="J70" i="7" s="1"/>
  <c r="I79" i="7"/>
  <c r="I78" i="7" s="1"/>
  <c r="I77" i="7" s="1"/>
  <c r="G79" i="7"/>
  <c r="G78" i="7" s="1"/>
  <c r="G77" i="7" s="1"/>
  <c r="L78" i="7"/>
  <c r="L77" i="7" s="1"/>
  <c r="K78" i="7"/>
  <c r="H78" i="7"/>
  <c r="H77" i="7" s="1"/>
  <c r="N77" i="7"/>
  <c r="K77" i="7"/>
  <c r="O75" i="7"/>
  <c r="O72" i="7" s="1"/>
  <c r="O71" i="7" s="1"/>
  <c r="N75" i="7"/>
  <c r="M75" i="7"/>
  <c r="L75" i="7"/>
  <c r="J75" i="7"/>
  <c r="J72" i="7" s="1"/>
  <c r="I75" i="7"/>
  <c r="G75" i="7"/>
  <c r="O73" i="7"/>
  <c r="N73" i="7"/>
  <c r="N72" i="7" s="1"/>
  <c r="M73" i="7"/>
  <c r="L73" i="7"/>
  <c r="J73" i="7"/>
  <c r="I73" i="7"/>
  <c r="I72" i="7" s="1"/>
  <c r="I71" i="7" s="1"/>
  <c r="G73" i="7"/>
  <c r="G72" i="7" s="1"/>
  <c r="G71" i="7" s="1"/>
  <c r="M72" i="7"/>
  <c r="M71" i="7" s="1"/>
  <c r="M70" i="7" s="1"/>
  <c r="L72" i="7"/>
  <c r="L71" i="7" s="1"/>
  <c r="K72" i="7"/>
  <c r="H72" i="7"/>
  <c r="H71" i="7" s="1"/>
  <c r="H70" i="7" s="1"/>
  <c r="N71" i="7"/>
  <c r="N70" i="7" s="1"/>
  <c r="K71" i="7"/>
  <c r="J71" i="7"/>
  <c r="K70" i="7"/>
  <c r="G70" i="7"/>
  <c r="O68" i="7"/>
  <c r="N68" i="7"/>
  <c r="M68" i="7"/>
  <c r="M67" i="7" s="1"/>
  <c r="M66" i="7" s="1"/>
  <c r="M65" i="7" s="1"/>
  <c r="L68" i="7"/>
  <c r="L67" i="7" s="1"/>
  <c r="J68" i="7"/>
  <c r="I68" i="7"/>
  <c r="G68" i="7"/>
  <c r="O67" i="7"/>
  <c r="N67" i="7"/>
  <c r="N66" i="7" s="1"/>
  <c r="N65" i="7" s="1"/>
  <c r="K67" i="7"/>
  <c r="J67" i="7"/>
  <c r="J66" i="7" s="1"/>
  <c r="J65" i="7" s="1"/>
  <c r="I67" i="7"/>
  <c r="H67" i="7"/>
  <c r="G67" i="7"/>
  <c r="G66" i="7" s="1"/>
  <c r="G65" i="7" s="1"/>
  <c r="O66" i="7"/>
  <c r="O65" i="7" s="1"/>
  <c r="L66" i="7"/>
  <c r="L65" i="7" s="1"/>
  <c r="K66" i="7"/>
  <c r="K65" i="7" s="1"/>
  <c r="I66" i="7"/>
  <c r="H66" i="7"/>
  <c r="I65" i="7"/>
  <c r="H65" i="7"/>
  <c r="O63" i="7"/>
  <c r="N63" i="7"/>
  <c r="N62" i="7" s="1"/>
  <c r="M63" i="7"/>
  <c r="L63" i="7"/>
  <c r="J63" i="7"/>
  <c r="I63" i="7"/>
  <c r="G63" i="7"/>
  <c r="G62" i="7" s="1"/>
  <c r="G61" i="7" s="1"/>
  <c r="O62" i="7"/>
  <c r="M62" i="7"/>
  <c r="L62" i="7"/>
  <c r="L61" i="7" s="1"/>
  <c r="L60" i="7" s="1"/>
  <c r="K62" i="7"/>
  <c r="J62" i="7"/>
  <c r="I62" i="7"/>
  <c r="I61" i="7" s="1"/>
  <c r="I60" i="7" s="1"/>
  <c r="H62" i="7"/>
  <c r="H61" i="7" s="1"/>
  <c r="H60" i="7" s="1"/>
  <c r="O61" i="7"/>
  <c r="N61" i="7"/>
  <c r="N60" i="7" s="1"/>
  <c r="M61" i="7"/>
  <c r="M60" i="7" s="1"/>
  <c r="K61" i="7"/>
  <c r="J61" i="7"/>
  <c r="O60" i="7"/>
  <c r="K60" i="7"/>
  <c r="J60" i="7"/>
  <c r="G60" i="7"/>
  <c r="K59" i="7"/>
  <c r="N58" i="7"/>
  <c r="M57" i="7"/>
  <c r="M56" i="7" s="1"/>
  <c r="M55" i="7" s="1"/>
  <c r="M54" i="7" s="1"/>
  <c r="L57" i="7"/>
  <c r="L56" i="7" s="1"/>
  <c r="L55" i="7" s="1"/>
  <c r="L54" i="7" s="1"/>
  <c r="J57" i="7"/>
  <c r="H57" i="7"/>
  <c r="H56" i="7" s="1"/>
  <c r="H55" i="7" s="1"/>
  <c r="H54" i="7" s="1"/>
  <c r="G57" i="7"/>
  <c r="G56" i="7" s="1"/>
  <c r="G55" i="7" s="1"/>
  <c r="G54" i="7" s="1"/>
  <c r="K56" i="7"/>
  <c r="J56" i="7"/>
  <c r="K55" i="7"/>
  <c r="J55" i="7"/>
  <c r="J54" i="7" s="1"/>
  <c r="K54" i="7"/>
  <c r="O52" i="7"/>
  <c r="N52" i="7"/>
  <c r="M52" i="7"/>
  <c r="L52" i="7"/>
  <c r="L47" i="7" s="1"/>
  <c r="L41" i="7" s="1"/>
  <c r="L40" i="7" s="1"/>
  <c r="J52" i="7"/>
  <c r="J47" i="7" s="1"/>
  <c r="I52" i="7"/>
  <c r="G52" i="7"/>
  <c r="K51" i="7"/>
  <c r="K46" i="7" s="1"/>
  <c r="H51" i="7"/>
  <c r="H46" i="7" s="1"/>
  <c r="O48" i="7"/>
  <c r="N48" i="7"/>
  <c r="M48" i="7"/>
  <c r="M47" i="7" s="1"/>
  <c r="M41" i="7" s="1"/>
  <c r="M40" i="7" s="1"/>
  <c r="L48" i="7"/>
  <c r="J48" i="7"/>
  <c r="I48" i="7"/>
  <c r="G48" i="7"/>
  <c r="O47" i="7"/>
  <c r="N47" i="7"/>
  <c r="K47" i="7"/>
  <c r="I47" i="7"/>
  <c r="H47" i="7"/>
  <c r="G47" i="7"/>
  <c r="O44" i="7"/>
  <c r="O43" i="7" s="1"/>
  <c r="O42" i="7" s="1"/>
  <c r="N44" i="7"/>
  <c r="I44" i="7"/>
  <c r="H44" i="7"/>
  <c r="N43" i="7"/>
  <c r="M43" i="7"/>
  <c r="L43" i="7"/>
  <c r="J43" i="7"/>
  <c r="J42" i="7" s="1"/>
  <c r="J41" i="7" s="1"/>
  <c r="J40" i="7" s="1"/>
  <c r="I43" i="7"/>
  <c r="I42" i="7" s="1"/>
  <c r="H43" i="7"/>
  <c r="G43" i="7"/>
  <c r="N42" i="7"/>
  <c r="N41" i="7" s="1"/>
  <c r="N40" i="7" s="1"/>
  <c r="M42" i="7"/>
  <c r="L42" i="7"/>
  <c r="K42" i="7"/>
  <c r="K41" i="7" s="1"/>
  <c r="K40" i="7" s="1"/>
  <c r="K34" i="7" s="1"/>
  <c r="H42" i="7"/>
  <c r="G42" i="7"/>
  <c r="H41" i="7"/>
  <c r="G41" i="7"/>
  <c r="G40" i="7" s="1"/>
  <c r="H40" i="7"/>
  <c r="O38" i="7"/>
  <c r="O37" i="7" s="1"/>
  <c r="O36" i="7" s="1"/>
  <c r="O35" i="7" s="1"/>
  <c r="N38" i="7"/>
  <c r="N37" i="7" s="1"/>
  <c r="M38" i="7"/>
  <c r="M37" i="7" s="1"/>
  <c r="M36" i="7" s="1"/>
  <c r="M35" i="7" s="1"/>
  <c r="L38" i="7"/>
  <c r="J38" i="7"/>
  <c r="I38" i="7"/>
  <c r="G38" i="7"/>
  <c r="G37" i="7" s="1"/>
  <c r="G36" i="7" s="1"/>
  <c r="G35" i="7" s="1"/>
  <c r="L37" i="7"/>
  <c r="L36" i="7" s="1"/>
  <c r="L35" i="7" s="1"/>
  <c r="K37" i="7"/>
  <c r="J37" i="7"/>
  <c r="I37" i="7"/>
  <c r="H37" i="7"/>
  <c r="H36" i="7" s="1"/>
  <c r="H35" i="7" s="1"/>
  <c r="N36" i="7"/>
  <c r="N35" i="7" s="1"/>
  <c r="K36" i="7"/>
  <c r="J36" i="7"/>
  <c r="I36" i="7"/>
  <c r="I35" i="7" s="1"/>
  <c r="K35" i="7"/>
  <c r="J35" i="7"/>
  <c r="O32" i="7"/>
  <c r="M32" i="7"/>
  <c r="M31" i="7" s="1"/>
  <c r="M30" i="7" s="1"/>
  <c r="M29" i="7" s="1"/>
  <c r="M28" i="7" s="1"/>
  <c r="I32" i="7"/>
  <c r="G32" i="7"/>
  <c r="O31" i="7"/>
  <c r="O30" i="7" s="1"/>
  <c r="O29" i="7" s="1"/>
  <c r="O28" i="7" s="1"/>
  <c r="N31" i="7"/>
  <c r="N30" i="7" s="1"/>
  <c r="N29" i="7" s="1"/>
  <c r="N28" i="7" s="1"/>
  <c r="L31" i="7"/>
  <c r="J31" i="7"/>
  <c r="I31" i="7"/>
  <c r="I30" i="7" s="1"/>
  <c r="I29" i="7" s="1"/>
  <c r="I28" i="7" s="1"/>
  <c r="G31" i="7"/>
  <c r="G30" i="7" s="1"/>
  <c r="G29" i="7" s="1"/>
  <c r="L30" i="7"/>
  <c r="L29" i="7" s="1"/>
  <c r="L28" i="7" s="1"/>
  <c r="K30" i="7"/>
  <c r="J30" i="7"/>
  <c r="H30" i="7"/>
  <c r="H29" i="7" s="1"/>
  <c r="H28" i="7" s="1"/>
  <c r="K29" i="7"/>
  <c r="J29" i="7"/>
  <c r="J28" i="7" s="1"/>
  <c r="K28" i="7"/>
  <c r="G28" i="7"/>
  <c r="O27" i="7"/>
  <c r="O26" i="7" s="1"/>
  <c r="O25" i="7" s="1"/>
  <c r="O24" i="7" s="1"/>
  <c r="O23" i="7" s="1"/>
  <c r="M27" i="7"/>
  <c r="M26" i="7" s="1"/>
  <c r="M25" i="7" s="1"/>
  <c r="M24" i="7" s="1"/>
  <c r="M23" i="7" s="1"/>
  <c r="M22" i="7" s="1"/>
  <c r="M21" i="7" s="1"/>
  <c r="I27" i="7"/>
  <c r="G27" i="7"/>
  <c r="G26" i="7" s="1"/>
  <c r="G25" i="7" s="1"/>
  <c r="G24" i="7" s="1"/>
  <c r="G23" i="7" s="1"/>
  <c r="G22" i="7" s="1"/>
  <c r="G21" i="7" s="1"/>
  <c r="N26" i="7"/>
  <c r="L26" i="7"/>
  <c r="L25" i="7" s="1"/>
  <c r="L24" i="7" s="1"/>
  <c r="L23" i="7" s="1"/>
  <c r="L22" i="7" s="1"/>
  <c r="L21" i="7" s="1"/>
  <c r="J26" i="7"/>
  <c r="I26" i="7"/>
  <c r="N25" i="7"/>
  <c r="N24" i="7" s="1"/>
  <c r="N23" i="7" s="1"/>
  <c r="K25" i="7"/>
  <c r="J25" i="7"/>
  <c r="J24" i="7" s="1"/>
  <c r="J23" i="7" s="1"/>
  <c r="I25" i="7"/>
  <c r="I24" i="7" s="1"/>
  <c r="I23" i="7" s="1"/>
  <c r="H25" i="7"/>
  <c r="K24" i="7"/>
  <c r="K23" i="7" s="1"/>
  <c r="K22" i="7" s="1"/>
  <c r="K21" i="7" s="1"/>
  <c r="H24" i="7"/>
  <c r="H23" i="7"/>
  <c r="H22" i="7" s="1"/>
  <c r="H21" i="7" s="1"/>
  <c r="N33" i="6"/>
  <c r="N20" i="6"/>
  <c r="O195" i="8" l="1"/>
  <c r="O160" i="8" s="1"/>
  <c r="N284" i="8"/>
  <c r="N238" i="8" s="1"/>
  <c r="N33" i="8" s="1"/>
  <c r="N20" i="8" s="1"/>
  <c r="G238" i="8"/>
  <c r="M238" i="8"/>
  <c r="M33" i="8" s="1"/>
  <c r="M20" i="8" s="1"/>
  <c r="H238" i="8"/>
  <c r="J33" i="8"/>
  <c r="J20" i="8" s="1"/>
  <c r="O284" i="8"/>
  <c r="L33" i="8"/>
  <c r="L20" i="8" s="1"/>
  <c r="G33" i="8"/>
  <c r="G20" i="8" s="1"/>
  <c r="O265" i="8"/>
  <c r="O253" i="8" s="1"/>
  <c r="O252" i="8" s="1"/>
  <c r="I253" i="8"/>
  <c r="I252" i="8" s="1"/>
  <c r="I238" i="8" s="1"/>
  <c r="I33" i="8" s="1"/>
  <c r="I20" i="8" s="1"/>
  <c r="O117" i="8"/>
  <c r="O116" i="8" s="1"/>
  <c r="O115" i="8" s="1"/>
  <c r="O114" i="8" s="1"/>
  <c r="O108" i="8" s="1"/>
  <c r="H230" i="7"/>
  <c r="N230" i="7" s="1"/>
  <c r="N229" i="7" s="1"/>
  <c r="J34" i="7"/>
  <c r="J33" i="7" s="1"/>
  <c r="J22" i="7"/>
  <c r="J21" i="7" s="1"/>
  <c r="M111" i="7"/>
  <c r="M110" i="7" s="1"/>
  <c r="M109" i="7" s="1"/>
  <c r="N140" i="7"/>
  <c r="N139" i="7" s="1"/>
  <c r="L162" i="7"/>
  <c r="K155" i="7"/>
  <c r="K33" i="7" s="1"/>
  <c r="N213" i="7"/>
  <c r="L190" i="7"/>
  <c r="O213" i="7"/>
  <c r="L213" i="7"/>
  <c r="O22" i="7"/>
  <c r="O21" i="7" s="1"/>
  <c r="I41" i="7"/>
  <c r="I40" i="7" s="1"/>
  <c r="O41" i="7"/>
  <c r="O40" i="7" s="1"/>
  <c r="M140" i="7"/>
  <c r="M139" i="7" s="1"/>
  <c r="G213" i="7"/>
  <c r="M213" i="7"/>
  <c r="G59" i="7"/>
  <c r="G34" i="7" s="1"/>
  <c r="L110" i="7"/>
  <c r="L109" i="7" s="1"/>
  <c r="L108" i="7" s="1"/>
  <c r="J164" i="7"/>
  <c r="J163" i="7" s="1"/>
  <c r="J162" i="7" s="1"/>
  <c r="N22" i="7"/>
  <c r="N21" i="7" s="1"/>
  <c r="I70" i="7"/>
  <c r="I59" i="7" s="1"/>
  <c r="O112" i="7"/>
  <c r="O111" i="7" s="1"/>
  <c r="O110" i="7" s="1"/>
  <c r="O109" i="7" s="1"/>
  <c r="O108" i="7" s="1"/>
  <c r="I22" i="7"/>
  <c r="I21" i="7" s="1"/>
  <c r="O59" i="7"/>
  <c r="L70" i="7"/>
  <c r="L59" i="7" s="1"/>
  <c r="L34" i="7" s="1"/>
  <c r="H155" i="7"/>
  <c r="O167" i="7"/>
  <c r="I166" i="7"/>
  <c r="I165" i="7" s="1"/>
  <c r="I164" i="7" s="1"/>
  <c r="I163" i="7" s="1"/>
  <c r="I162" i="7" s="1"/>
  <c r="O257" i="7"/>
  <c r="I256" i="7"/>
  <c r="I330" i="7"/>
  <c r="I329" i="7" s="1"/>
  <c r="I328" i="7" s="1"/>
  <c r="J59" i="7"/>
  <c r="M87" i="7"/>
  <c r="M86" i="7" s="1"/>
  <c r="M59" i="7" s="1"/>
  <c r="M34" i="7" s="1"/>
  <c r="N111" i="7"/>
  <c r="N110" i="7" s="1"/>
  <c r="H229" i="7"/>
  <c r="O229" i="7"/>
  <c r="M252" i="7"/>
  <c r="M251" i="7" s="1"/>
  <c r="J251" i="7"/>
  <c r="J245" i="7" s="1"/>
  <c r="J244" i="7" s="1"/>
  <c r="J243" i="7" s="1"/>
  <c r="J242" i="7" s="1"/>
  <c r="J228" i="7" s="1"/>
  <c r="I58" i="7"/>
  <c r="I57" i="7" s="1"/>
  <c r="I56" i="7" s="1"/>
  <c r="I55" i="7" s="1"/>
  <c r="I54" i="7" s="1"/>
  <c r="L87" i="7"/>
  <c r="L86" i="7" s="1"/>
  <c r="J112" i="7"/>
  <c r="J111" i="7" s="1"/>
  <c r="J110" i="7" s="1"/>
  <c r="J109" i="7" s="1"/>
  <c r="J108" i="7" s="1"/>
  <c r="O118" i="7"/>
  <c r="O117" i="7" s="1"/>
  <c r="J190" i="7"/>
  <c r="J189" i="7" s="1"/>
  <c r="J155" i="7" s="1"/>
  <c r="M201" i="7"/>
  <c r="M200" i="7" s="1"/>
  <c r="M199" i="7" s="1"/>
  <c r="K228" i="7"/>
  <c r="M229" i="7"/>
  <c r="L350" i="7"/>
  <c r="I350" i="7"/>
  <c r="M444" i="7"/>
  <c r="G189" i="7"/>
  <c r="O198" i="7"/>
  <c r="O197" i="7" s="1"/>
  <c r="G229" i="7"/>
  <c r="M265" i="7"/>
  <c r="M264" i="7" s="1"/>
  <c r="M260" i="7" s="1"/>
  <c r="M259" i="7" s="1"/>
  <c r="M258" i="7" s="1"/>
  <c r="J264" i="7"/>
  <c r="I266" i="7"/>
  <c r="O266" i="7" s="1"/>
  <c r="M266" i="7"/>
  <c r="O58" i="7"/>
  <c r="O57" i="7" s="1"/>
  <c r="O56" i="7" s="1"/>
  <c r="O55" i="7" s="1"/>
  <c r="O54" i="7" s="1"/>
  <c r="O34" i="7" s="1"/>
  <c r="N57" i="7"/>
  <c r="N56" i="7" s="1"/>
  <c r="N55" i="7" s="1"/>
  <c r="N54" i="7" s="1"/>
  <c r="M276" i="7"/>
  <c r="M275" i="7" s="1"/>
  <c r="M274" i="7" s="1"/>
  <c r="M273" i="7" s="1"/>
  <c r="H293" i="7"/>
  <c r="N294" i="7"/>
  <c r="N293" i="7" s="1"/>
  <c r="G112" i="7"/>
  <c r="G111" i="7" s="1"/>
  <c r="G110" i="7" s="1"/>
  <c r="G109" i="7" s="1"/>
  <c r="I118" i="7"/>
  <c r="I117" i="7" s="1"/>
  <c r="I112" i="7" s="1"/>
  <c r="I111" i="7" s="1"/>
  <c r="I110" i="7" s="1"/>
  <c r="I109" i="7" s="1"/>
  <c r="H117" i="7"/>
  <c r="H112" i="7" s="1"/>
  <c r="H111" i="7" s="1"/>
  <c r="H110" i="7" s="1"/>
  <c r="H109" i="7" s="1"/>
  <c r="I143" i="7"/>
  <c r="I142" i="7" s="1"/>
  <c r="I141" i="7" s="1"/>
  <c r="I140" i="7" s="1"/>
  <c r="I139" i="7" s="1"/>
  <c r="O144" i="7"/>
  <c r="O143" i="7" s="1"/>
  <c r="O142" i="7" s="1"/>
  <c r="O141" i="7" s="1"/>
  <c r="O140" i="7" s="1"/>
  <c r="O139" i="7" s="1"/>
  <c r="I213" i="7"/>
  <c r="M245" i="7"/>
  <c r="M244" i="7" s="1"/>
  <c r="M243" i="7" s="1"/>
  <c r="H255" i="7"/>
  <c r="N255" i="7" s="1"/>
  <c r="N243" i="7" s="1"/>
  <c r="N242" i="7" s="1"/>
  <c r="N256" i="7"/>
  <c r="I258" i="7"/>
  <c r="L260" i="7"/>
  <c r="L259" i="7" s="1"/>
  <c r="L258" i="7" s="1"/>
  <c r="L242" i="7" s="1"/>
  <c r="H273" i="7"/>
  <c r="N107" i="7"/>
  <c r="N106" i="7" s="1"/>
  <c r="N105" i="7" s="1"/>
  <c r="N104" i="7" s="1"/>
  <c r="N59" i="7" s="1"/>
  <c r="G165" i="7"/>
  <c r="G164" i="7" s="1"/>
  <c r="G163" i="7" s="1"/>
  <c r="G162" i="7" s="1"/>
  <c r="G155" i="7" s="1"/>
  <c r="M190" i="7"/>
  <c r="I205" i="7"/>
  <c r="O205" i="7" s="1"/>
  <c r="M205" i="7"/>
  <c r="I211" i="7"/>
  <c r="O211" i="7" s="1"/>
  <c r="G210" i="7"/>
  <c r="G243" i="7"/>
  <c r="G242" i="7" s="1"/>
  <c r="O262" i="7"/>
  <c r="O261" i="7" s="1"/>
  <c r="O260" i="7" s="1"/>
  <c r="O259" i="7" s="1"/>
  <c r="O258" i="7" s="1"/>
  <c r="O323" i="7"/>
  <c r="O322" i="7" s="1"/>
  <c r="O321" i="7" s="1"/>
  <c r="O317" i="7" s="1"/>
  <c r="O316" i="7" s="1"/>
  <c r="O315" i="7" s="1"/>
  <c r="M322" i="7"/>
  <c r="M321" i="7" s="1"/>
  <c r="M317" i="7" s="1"/>
  <c r="M316" i="7" s="1"/>
  <c r="M315" i="7" s="1"/>
  <c r="M330" i="7"/>
  <c r="M329" i="7" s="1"/>
  <c r="M328" i="7" s="1"/>
  <c r="O330" i="7"/>
  <c r="O329" i="7" s="1"/>
  <c r="O328" i="7" s="1"/>
  <c r="L330" i="7"/>
  <c r="L329" i="7" s="1"/>
  <c r="L328" i="7" s="1"/>
  <c r="G444" i="7"/>
  <c r="H106" i="7"/>
  <c r="H105" i="7" s="1"/>
  <c r="G142" i="7"/>
  <c r="G141" i="7" s="1"/>
  <c r="G140" i="7" s="1"/>
  <c r="G139" i="7" s="1"/>
  <c r="N165" i="7"/>
  <c r="N164" i="7" s="1"/>
  <c r="N163" i="7" s="1"/>
  <c r="N162" i="7" s="1"/>
  <c r="N155" i="7" s="1"/>
  <c r="O168" i="7"/>
  <c r="O170" i="7"/>
  <c r="O169" i="7" s="1"/>
  <c r="N192" i="7"/>
  <c r="N191" i="7" s="1"/>
  <c r="N190" i="7" s="1"/>
  <c r="N189" i="7" s="1"/>
  <c r="I204" i="7"/>
  <c r="O252" i="7"/>
  <c r="O251" i="7" s="1"/>
  <c r="O245" i="7" s="1"/>
  <c r="O244" i="7" s="1"/>
  <c r="J260" i="7"/>
  <c r="J259" i="7" s="1"/>
  <c r="J258" i="7" s="1"/>
  <c r="I317" i="7"/>
  <c r="I316" i="7" s="1"/>
  <c r="I315" i="7" s="1"/>
  <c r="N330" i="7"/>
  <c r="N329" i="7" s="1"/>
  <c r="N328" i="7" s="1"/>
  <c r="O296" i="7"/>
  <c r="O295" i="7" s="1"/>
  <c r="O294" i="7" s="1"/>
  <c r="O293" i="7" s="1"/>
  <c r="L295" i="7"/>
  <c r="L294" i="7" s="1"/>
  <c r="L293" i="7" s="1"/>
  <c r="L273" i="7" s="1"/>
  <c r="L317" i="7"/>
  <c r="L316" i="7" s="1"/>
  <c r="L315" i="7" s="1"/>
  <c r="I336" i="7"/>
  <c r="N276" i="7"/>
  <c r="N275" i="7" s="1"/>
  <c r="G317" i="7"/>
  <c r="G316" i="7" s="1"/>
  <c r="G315" i="7" s="1"/>
  <c r="G321" i="7"/>
  <c r="O350" i="7"/>
  <c r="J448" i="7"/>
  <c r="J447" i="7" s="1"/>
  <c r="J446" i="7" s="1"/>
  <c r="J445" i="7" s="1"/>
  <c r="J444" i="7" s="1"/>
  <c r="I279" i="7"/>
  <c r="I276" i="7" s="1"/>
  <c r="O436" i="7"/>
  <c r="O435" i="7" s="1"/>
  <c r="O434" i="7" s="1"/>
  <c r="I435" i="7"/>
  <c r="I434" i="7" s="1"/>
  <c r="I429" i="7" s="1"/>
  <c r="I428" i="7" s="1"/>
  <c r="I427" i="7" s="1"/>
  <c r="K447" i="7"/>
  <c r="K446" i="7" s="1"/>
  <c r="K445" i="7" s="1"/>
  <c r="K444" i="7" s="1"/>
  <c r="H310" i="7"/>
  <c r="N310" i="7" s="1"/>
  <c r="O376" i="7"/>
  <c r="O375" i="7" s="1"/>
  <c r="M396" i="7"/>
  <c r="M395" i="7" s="1"/>
  <c r="I414" i="7"/>
  <c r="I406" i="7" s="1"/>
  <c r="I405" i="7" s="1"/>
  <c r="I396" i="7" s="1"/>
  <c r="I395" i="7" s="1"/>
  <c r="I394" i="7" s="1"/>
  <c r="I393" i="7" s="1"/>
  <c r="G406" i="7"/>
  <c r="G405" i="7" s="1"/>
  <c r="G396" i="7" s="1"/>
  <c r="G395" i="7" s="1"/>
  <c r="G394" i="7" s="1"/>
  <c r="G393" i="7" s="1"/>
  <c r="O433" i="7"/>
  <c r="O431" i="7" s="1"/>
  <c r="O430" i="7" s="1"/>
  <c r="O429" i="7" s="1"/>
  <c r="O428" i="7" s="1"/>
  <c r="O427" i="7" s="1"/>
  <c r="M431" i="7"/>
  <c r="M430" i="7" s="1"/>
  <c r="M429" i="7" s="1"/>
  <c r="M428" i="7" s="1"/>
  <c r="M427" i="7" s="1"/>
  <c r="M406" i="7"/>
  <c r="M405" i="7" s="1"/>
  <c r="L429" i="7"/>
  <c r="L428" i="7" s="1"/>
  <c r="L427" i="7" s="1"/>
  <c r="O412" i="7"/>
  <c r="O406" i="7" s="1"/>
  <c r="O405" i="7" s="1"/>
  <c r="O396" i="7" s="1"/>
  <c r="O395" i="7" s="1"/>
  <c r="O394" i="7" s="1"/>
  <c r="O393" i="7" s="1"/>
  <c r="L406" i="7"/>
  <c r="L405" i="7" s="1"/>
  <c r="L396" i="7" s="1"/>
  <c r="L395" i="7" s="1"/>
  <c r="L394" i="7" s="1"/>
  <c r="L393" i="7" s="1"/>
  <c r="K272" i="6"/>
  <c r="J272" i="6"/>
  <c r="L275" i="6"/>
  <c r="K275" i="6"/>
  <c r="N291" i="6"/>
  <c r="I290" i="6"/>
  <c r="I275" i="6" s="1"/>
  <c r="H290" i="6"/>
  <c r="N290" i="6" s="1"/>
  <c r="I291" i="6"/>
  <c r="O291" i="6" s="1"/>
  <c r="L290" i="6"/>
  <c r="K290" i="6"/>
  <c r="L291" i="6"/>
  <c r="O238" i="8" l="1"/>
  <c r="O33" i="8" s="1"/>
  <c r="O20" i="8" s="1"/>
  <c r="L33" i="7"/>
  <c r="G33" i="7"/>
  <c r="I108" i="7"/>
  <c r="K20" i="7"/>
  <c r="M108" i="7"/>
  <c r="M33" i="7" s="1"/>
  <c r="N34" i="7"/>
  <c r="I34" i="7"/>
  <c r="L189" i="7"/>
  <c r="L155" i="7" s="1"/>
  <c r="L228" i="7"/>
  <c r="L20" i="7"/>
  <c r="J20" i="7"/>
  <c r="I275" i="7"/>
  <c r="I274" i="7" s="1"/>
  <c r="I273" i="7" s="1"/>
  <c r="O276" i="7"/>
  <c r="H108" i="7"/>
  <c r="N109" i="7"/>
  <c r="N108" i="7" s="1"/>
  <c r="M242" i="7"/>
  <c r="M228" i="7" s="1"/>
  <c r="G108" i="7"/>
  <c r="G228" i="7"/>
  <c r="H243" i="7"/>
  <c r="H242" i="7" s="1"/>
  <c r="H228" i="7" s="1"/>
  <c r="H33" i="7" s="1"/>
  <c r="N274" i="7"/>
  <c r="N273" i="7" s="1"/>
  <c r="N228" i="7" s="1"/>
  <c r="O275" i="7"/>
  <c r="O274" i="7" s="1"/>
  <c r="O273" i="7" s="1"/>
  <c r="M394" i="7"/>
  <c r="M393" i="7" s="1"/>
  <c r="H104" i="7"/>
  <c r="H59" i="7"/>
  <c r="H34" i="7" s="1"/>
  <c r="I255" i="7"/>
  <c r="O256" i="7"/>
  <c r="O204" i="7"/>
  <c r="O199" i="7" s="1"/>
  <c r="I199" i="7"/>
  <c r="I190" i="7" s="1"/>
  <c r="I189" i="7" s="1"/>
  <c r="I155" i="7" s="1"/>
  <c r="I210" i="7"/>
  <c r="O210" i="7" s="1"/>
  <c r="M210" i="7"/>
  <c r="M189" i="7"/>
  <c r="M155" i="7" s="1"/>
  <c r="O192" i="7"/>
  <c r="O191" i="7" s="1"/>
  <c r="O166" i="7"/>
  <c r="O165" i="7" s="1"/>
  <c r="O164" i="7" s="1"/>
  <c r="O163" i="7" s="1"/>
  <c r="O162" i="7" s="1"/>
  <c r="H275" i="6"/>
  <c r="N275" i="6" s="1"/>
  <c r="O290" i="6"/>
  <c r="N289" i="6"/>
  <c r="K288" i="6"/>
  <c r="L289" i="6"/>
  <c r="M20" i="7" l="1"/>
  <c r="O190" i="7"/>
  <c r="O189" i="7" s="1"/>
  <c r="N33" i="7"/>
  <c r="H20" i="7"/>
  <c r="O255" i="7"/>
  <c r="O243" i="7" s="1"/>
  <c r="O242" i="7" s="1"/>
  <c r="O228" i="7" s="1"/>
  <c r="I243" i="7"/>
  <c r="I242" i="7" s="1"/>
  <c r="I228" i="7" s="1"/>
  <c r="N20" i="7"/>
  <c r="O155" i="7"/>
  <c r="G20" i="7"/>
  <c r="H58" i="6"/>
  <c r="H391" i="6"/>
  <c r="O33" i="7" l="1"/>
  <c r="I33" i="7"/>
  <c r="I20" i="7" s="1"/>
  <c r="O20" i="7"/>
  <c r="H306" i="6"/>
  <c r="N293" i="6"/>
  <c r="L293" i="6"/>
  <c r="K293" i="6"/>
  <c r="O293" i="6"/>
  <c r="I293" i="6"/>
  <c r="H293" i="6"/>
  <c r="O296" i="6"/>
  <c r="O297" i="6"/>
  <c r="N296" i="6"/>
  <c r="N297" i="6"/>
  <c r="L296" i="6"/>
  <c r="L297" i="6"/>
  <c r="I296" i="6"/>
  <c r="I297" i="6"/>
  <c r="H296" i="6"/>
  <c r="H107" i="6" l="1"/>
  <c r="O262" i="6" l="1"/>
  <c r="I261" i="6"/>
  <c r="I262" i="6"/>
  <c r="O168" i="6" l="1"/>
  <c r="I168" i="6"/>
  <c r="H412" i="6"/>
  <c r="H118" i="6" l="1"/>
  <c r="I144" i="6" l="1"/>
  <c r="H390" i="6" l="1"/>
  <c r="H389" i="6" s="1"/>
  <c r="I256" i="6" l="1"/>
  <c r="N295" i="6" l="1"/>
  <c r="L295" i="6"/>
  <c r="I295" i="6"/>
  <c r="O295" i="6" s="1"/>
  <c r="L411" i="6"/>
  <c r="L412" i="6"/>
  <c r="I412" i="6"/>
  <c r="H57" i="6" l="1"/>
  <c r="N118" i="6" l="1"/>
  <c r="O118" i="6" s="1"/>
  <c r="I118" i="6"/>
  <c r="O264" i="6" l="1"/>
  <c r="N264" i="6"/>
  <c r="L264" i="6"/>
  <c r="N192" i="6" l="1"/>
  <c r="K192" i="6"/>
  <c r="I192" i="6"/>
  <c r="H192" i="6"/>
  <c r="O195" i="6"/>
  <c r="N195" i="6"/>
  <c r="O196" i="6"/>
  <c r="N196" i="6"/>
  <c r="L195" i="6"/>
  <c r="L196" i="6"/>
  <c r="I195" i="6"/>
  <c r="I196" i="6"/>
  <c r="N198" i="6"/>
  <c r="I198" i="6"/>
  <c r="H197" i="6"/>
  <c r="N391" i="6"/>
  <c r="O391" i="6" s="1"/>
  <c r="I391" i="6"/>
  <c r="H44" i="6"/>
  <c r="N259" i="5" l="1"/>
  <c r="L259" i="5"/>
  <c r="K258" i="5"/>
  <c r="H264" i="6" l="1"/>
  <c r="N58" i="6" l="1"/>
  <c r="O58" i="6" s="1"/>
  <c r="I58" i="6"/>
  <c r="O127" i="6"/>
  <c r="O128" i="6"/>
  <c r="O129" i="6"/>
  <c r="N127" i="6"/>
  <c r="N128" i="6"/>
  <c r="N129" i="6"/>
  <c r="O130" i="6"/>
  <c r="N130" i="6"/>
  <c r="I127" i="6"/>
  <c r="I128" i="6"/>
  <c r="I129" i="6"/>
  <c r="I130" i="6"/>
  <c r="K197" i="6" l="1"/>
  <c r="L198" i="6"/>
  <c r="O198" i="6" s="1"/>
  <c r="G316" i="6"/>
  <c r="G320" i="6"/>
  <c r="I322" i="6"/>
  <c r="I264" i="6"/>
  <c r="H263" i="6"/>
  <c r="I107" i="6"/>
  <c r="H42" i="6"/>
  <c r="H43" i="6"/>
  <c r="N44" i="6"/>
  <c r="O44" i="6" s="1"/>
  <c r="I44" i="6"/>
  <c r="M180" i="6"/>
  <c r="O180" i="6" s="1"/>
  <c r="M168" i="6"/>
  <c r="M144" i="6"/>
  <c r="M118" i="6"/>
  <c r="M114" i="6"/>
  <c r="M134" i="6"/>
  <c r="O134" i="6" s="1"/>
  <c r="M115" i="6"/>
  <c r="M436" i="6"/>
  <c r="M435" i="6"/>
  <c r="M432" i="6"/>
  <c r="M414" i="6"/>
  <c r="O414" i="6" s="1"/>
  <c r="M408" i="6"/>
  <c r="M399" i="6"/>
  <c r="M337" i="6"/>
  <c r="M338" i="6"/>
  <c r="M324" i="6"/>
  <c r="M307" i="6"/>
  <c r="M308" i="6"/>
  <c r="M295" i="6"/>
  <c r="M289" i="6"/>
  <c r="M284" i="6"/>
  <c r="M285" i="6"/>
  <c r="M283" i="6"/>
  <c r="M279" i="6"/>
  <c r="M277" i="6"/>
  <c r="M261" i="6"/>
  <c r="M262" i="6"/>
  <c r="M246" i="6"/>
  <c r="M247" i="6"/>
  <c r="O247" i="6" s="1"/>
  <c r="M203" i="6"/>
  <c r="O203" i="6" s="1"/>
  <c r="M193" i="6"/>
  <c r="O193" i="6" s="1"/>
  <c r="M194" i="6"/>
  <c r="O194" i="6" s="1"/>
  <c r="M167" i="6"/>
  <c r="M170" i="6"/>
  <c r="L168" i="6"/>
  <c r="L279" i="6"/>
  <c r="L246" i="6"/>
  <c r="O246" i="6" s="1"/>
  <c r="I337" i="6"/>
  <c r="O337" i="6" s="1"/>
  <c r="I338" i="6"/>
  <c r="O338" i="6" s="1"/>
  <c r="I435" i="6"/>
  <c r="O435" i="6" s="1"/>
  <c r="I436" i="6"/>
  <c r="O436" i="6" s="1"/>
  <c r="I309" i="6"/>
  <c r="I310" i="6"/>
  <c r="M267" i="6"/>
  <c r="I267" i="6"/>
  <c r="G265" i="6"/>
  <c r="I115" i="6"/>
  <c r="O115" i="6" s="1"/>
  <c r="I134" i="6"/>
  <c r="I289" i="6"/>
  <c r="O289" i="6" s="1"/>
  <c r="I283" i="6"/>
  <c r="O283" i="6" s="1"/>
  <c r="I279" i="6"/>
  <c r="O279" i="6" s="1"/>
  <c r="I277" i="6"/>
  <c r="O277" i="6" s="1"/>
  <c r="I251" i="6"/>
  <c r="M265" i="6" l="1"/>
  <c r="I265" i="6"/>
  <c r="M245" i="6"/>
  <c r="I180" i="6"/>
  <c r="I167" i="6"/>
  <c r="O144" i="6"/>
  <c r="I414" i="6"/>
  <c r="M412" i="6"/>
  <c r="J411" i="6"/>
  <c r="G411" i="6"/>
  <c r="I408" i="6"/>
  <c r="O408" i="6" s="1"/>
  <c r="M342" i="6"/>
  <c r="M343" i="6"/>
  <c r="L343" i="6"/>
  <c r="M341" i="6"/>
  <c r="I341" i="6"/>
  <c r="M326" i="6"/>
  <c r="I326" i="6"/>
  <c r="G325" i="6"/>
  <c r="I324" i="6"/>
  <c r="G323" i="6"/>
  <c r="M322" i="6"/>
  <c r="M311" i="6"/>
  <c r="M312" i="6"/>
  <c r="M310" i="6" s="1"/>
  <c r="I311" i="6"/>
  <c r="I312" i="6"/>
  <c r="I307" i="6"/>
  <c r="I308" i="6"/>
  <c r="I284" i="6"/>
  <c r="I285" i="6"/>
  <c r="O261" i="6"/>
  <c r="G255" i="6"/>
  <c r="M256" i="6"/>
  <c r="G245" i="6"/>
  <c r="I247" i="6"/>
  <c r="M240" i="6"/>
  <c r="O240" i="6" s="1"/>
  <c r="I240" i="6"/>
  <c r="M232" i="6"/>
  <c r="M230" i="6" s="1"/>
  <c r="I232" i="6"/>
  <c r="G230" i="6"/>
  <c r="I230" i="6" s="1"/>
  <c r="G231" i="6"/>
  <c r="M211" i="6"/>
  <c r="I212" i="6"/>
  <c r="M212" i="6"/>
  <c r="G211" i="6"/>
  <c r="M206" i="6"/>
  <c r="I206" i="6"/>
  <c r="G204" i="6"/>
  <c r="G205" i="6"/>
  <c r="I203" i="6"/>
  <c r="I193" i="6"/>
  <c r="I194" i="6"/>
  <c r="I114" i="6"/>
  <c r="O114" i="6" s="1"/>
  <c r="M90" i="6"/>
  <c r="M91" i="6"/>
  <c r="M98" i="6"/>
  <c r="M107" i="6"/>
  <c r="I98" i="6"/>
  <c r="O98" i="6" s="1"/>
  <c r="I91" i="6"/>
  <c r="O91" i="6" s="1"/>
  <c r="I90" i="6"/>
  <c r="O90" i="6" s="1"/>
  <c r="O461" i="6"/>
  <c r="O460" i="6" s="1"/>
  <c r="O459" i="6" s="1"/>
  <c r="O458" i="6" s="1"/>
  <c r="O457" i="6" s="1"/>
  <c r="N461" i="6"/>
  <c r="M461" i="6"/>
  <c r="M460" i="6" s="1"/>
  <c r="M459" i="6" s="1"/>
  <c r="M458" i="6" s="1"/>
  <c r="M457" i="6" s="1"/>
  <c r="M456" i="6" s="1"/>
  <c r="L461" i="6"/>
  <c r="J461" i="6"/>
  <c r="I461" i="6"/>
  <c r="G461" i="6"/>
  <c r="N460" i="6"/>
  <c r="N459" i="6" s="1"/>
  <c r="N458" i="6" s="1"/>
  <c r="L460" i="6"/>
  <c r="K460" i="6"/>
  <c r="K459" i="6" s="1"/>
  <c r="K458" i="6" s="1"/>
  <c r="K457" i="6" s="1"/>
  <c r="J460" i="6"/>
  <c r="J459" i="6" s="1"/>
  <c r="J458" i="6" s="1"/>
  <c r="J457" i="6" s="1"/>
  <c r="J456" i="6" s="1"/>
  <c r="I460" i="6"/>
  <c r="H460" i="6"/>
  <c r="G460" i="6"/>
  <c r="G459" i="6" s="1"/>
  <c r="G458" i="6" s="1"/>
  <c r="G457" i="6" s="1"/>
  <c r="L459" i="6"/>
  <c r="L458" i="6" s="1"/>
  <c r="L457" i="6" s="1"/>
  <c r="L456" i="6" s="1"/>
  <c r="I459" i="6"/>
  <c r="H459" i="6"/>
  <c r="H458" i="6" s="1"/>
  <c r="H457" i="6" s="1"/>
  <c r="H456" i="6" s="1"/>
  <c r="H455" i="6" s="1"/>
  <c r="I458" i="6"/>
  <c r="I457" i="6" s="1"/>
  <c r="I456" i="6" s="1"/>
  <c r="N457" i="6"/>
  <c r="N456" i="6" s="1"/>
  <c r="O456" i="6"/>
  <c r="K456" i="6"/>
  <c r="K455" i="6" s="1"/>
  <c r="G456" i="6"/>
  <c r="O455" i="6"/>
  <c r="M455" i="6"/>
  <c r="I455" i="6"/>
  <c r="G455" i="6"/>
  <c r="O454" i="6"/>
  <c r="M454" i="6"/>
  <c r="M453" i="6" s="1"/>
  <c r="I454" i="6"/>
  <c r="G454" i="6"/>
  <c r="O453" i="6"/>
  <c r="O452" i="6" s="1"/>
  <c r="N453" i="6"/>
  <c r="N452" i="6" s="1"/>
  <c r="L453" i="6"/>
  <c r="J453" i="6"/>
  <c r="G453" i="6"/>
  <c r="G452" i="6" s="1"/>
  <c r="M452" i="6"/>
  <c r="L452" i="6"/>
  <c r="K452" i="6"/>
  <c r="J452" i="6"/>
  <c r="H452" i="6"/>
  <c r="K451" i="6"/>
  <c r="H451" i="6"/>
  <c r="O449" i="6"/>
  <c r="N449" i="6"/>
  <c r="M449" i="6"/>
  <c r="M448" i="6" s="1"/>
  <c r="L449" i="6"/>
  <c r="L448" i="6" s="1"/>
  <c r="L447" i="6" s="1"/>
  <c r="L446" i="6" s="1"/>
  <c r="L445" i="6" s="1"/>
  <c r="L444" i="6" s="1"/>
  <c r="L443" i="6" s="1"/>
  <c r="J449" i="6"/>
  <c r="I449" i="6"/>
  <c r="G449" i="6"/>
  <c r="G448" i="6" s="1"/>
  <c r="O448" i="6"/>
  <c r="O447" i="6" s="1"/>
  <c r="N448" i="6"/>
  <c r="J448" i="6"/>
  <c r="I448" i="6"/>
  <c r="N447" i="6"/>
  <c r="N446" i="6" s="1"/>
  <c r="N445" i="6" s="1"/>
  <c r="N444" i="6" s="1"/>
  <c r="N443" i="6" s="1"/>
  <c r="K447" i="6"/>
  <c r="J447" i="6"/>
  <c r="J446" i="6" s="1"/>
  <c r="J445" i="6" s="1"/>
  <c r="J444" i="6" s="1"/>
  <c r="H447" i="6"/>
  <c r="O446" i="6"/>
  <c r="O445" i="6" s="1"/>
  <c r="O444" i="6" s="1"/>
  <c r="O443" i="6" s="1"/>
  <c r="K446" i="6"/>
  <c r="K445" i="6" s="1"/>
  <c r="K444" i="6" s="1"/>
  <c r="K443" i="6" s="1"/>
  <c r="O442" i="6"/>
  <c r="M442" i="6"/>
  <c r="I442" i="6"/>
  <c r="G442" i="6"/>
  <c r="O441" i="6"/>
  <c r="M441" i="6"/>
  <c r="M440" i="6" s="1"/>
  <c r="M439" i="6" s="1"/>
  <c r="M438" i="6" s="1"/>
  <c r="I441" i="6"/>
  <c r="G441" i="6"/>
  <c r="G440" i="6" s="1"/>
  <c r="G439" i="6" s="1"/>
  <c r="G438" i="6" s="1"/>
  <c r="O440" i="6"/>
  <c r="O439" i="6" s="1"/>
  <c r="O438" i="6" s="1"/>
  <c r="N440" i="6"/>
  <c r="L440" i="6"/>
  <c r="L439" i="6" s="1"/>
  <c r="L438" i="6" s="1"/>
  <c r="J440" i="6"/>
  <c r="I440" i="6"/>
  <c r="N439" i="6"/>
  <c r="N438" i="6" s="1"/>
  <c r="K439" i="6"/>
  <c r="J439" i="6"/>
  <c r="J438" i="6" s="1"/>
  <c r="I439" i="6"/>
  <c r="I438" i="6" s="1"/>
  <c r="H439" i="6"/>
  <c r="K438" i="6"/>
  <c r="H438" i="6"/>
  <c r="O437" i="6"/>
  <c r="M437" i="6"/>
  <c r="I437" i="6"/>
  <c r="G437" i="6"/>
  <c r="N436" i="6"/>
  <c r="N435" i="6"/>
  <c r="M434" i="6"/>
  <c r="M433" i="6" s="1"/>
  <c r="N434" i="6"/>
  <c r="N433" i="6" s="1"/>
  <c r="L434" i="6"/>
  <c r="J434" i="6"/>
  <c r="H434" i="6"/>
  <c r="H433" i="6" s="1"/>
  <c r="L433" i="6"/>
  <c r="K433" i="6"/>
  <c r="J433" i="6"/>
  <c r="N432" i="6"/>
  <c r="I432" i="6"/>
  <c r="O431" i="6"/>
  <c r="M431" i="6"/>
  <c r="I431" i="6"/>
  <c r="G431" i="6"/>
  <c r="G430" i="6" s="1"/>
  <c r="G429" i="6" s="1"/>
  <c r="M430" i="6"/>
  <c r="M429" i="6" s="1"/>
  <c r="L430" i="6"/>
  <c r="L429" i="6" s="1"/>
  <c r="L428" i="6" s="1"/>
  <c r="L427" i="6" s="1"/>
  <c r="L426" i="6" s="1"/>
  <c r="J430" i="6"/>
  <c r="J429" i="6" s="1"/>
  <c r="H430" i="6"/>
  <c r="K429" i="6"/>
  <c r="K428" i="6" s="1"/>
  <c r="K427" i="6" s="1"/>
  <c r="K426" i="6" s="1"/>
  <c r="H429" i="6"/>
  <c r="O425" i="6"/>
  <c r="M425" i="6"/>
  <c r="I425" i="6"/>
  <c r="I424" i="6" s="1"/>
  <c r="I423" i="6" s="1"/>
  <c r="I422" i="6" s="1"/>
  <c r="G425" i="6"/>
  <c r="G424" i="6" s="1"/>
  <c r="G423" i="6" s="1"/>
  <c r="G422" i="6" s="1"/>
  <c r="G421" i="6" s="1"/>
  <c r="G420" i="6" s="1"/>
  <c r="O424" i="6"/>
  <c r="N424" i="6"/>
  <c r="M424" i="6"/>
  <c r="M423" i="6" s="1"/>
  <c r="M422" i="6" s="1"/>
  <c r="L424" i="6"/>
  <c r="L423" i="6" s="1"/>
  <c r="J424" i="6"/>
  <c r="O423" i="6"/>
  <c r="O422" i="6" s="1"/>
  <c r="O421" i="6" s="1"/>
  <c r="O420" i="6" s="1"/>
  <c r="N423" i="6"/>
  <c r="N422" i="6" s="1"/>
  <c r="N421" i="6" s="1"/>
  <c r="K423" i="6"/>
  <c r="K422" i="6" s="1"/>
  <c r="K421" i="6" s="1"/>
  <c r="K420" i="6" s="1"/>
  <c r="J423" i="6"/>
  <c r="J422" i="6" s="1"/>
  <c r="J421" i="6" s="1"/>
  <c r="H423" i="6"/>
  <c r="L422" i="6"/>
  <c r="L421" i="6" s="1"/>
  <c r="L420" i="6" s="1"/>
  <c r="H422" i="6"/>
  <c r="H421" i="6" s="1"/>
  <c r="H420" i="6" s="1"/>
  <c r="M421" i="6"/>
  <c r="M420" i="6" s="1"/>
  <c r="I421" i="6"/>
  <c r="I420" i="6" s="1"/>
  <c r="N420" i="6"/>
  <c r="J420" i="6"/>
  <c r="O419" i="6"/>
  <c r="M419" i="6"/>
  <c r="O418" i="6"/>
  <c r="M418" i="6"/>
  <c r="O417" i="6"/>
  <c r="M417" i="6"/>
  <c r="O416" i="6"/>
  <c r="M416" i="6"/>
  <c r="M415" i="6" s="1"/>
  <c r="O415" i="6"/>
  <c r="N415" i="6"/>
  <c r="L415" i="6"/>
  <c r="J415" i="6"/>
  <c r="I415" i="6"/>
  <c r="G415" i="6"/>
  <c r="N414" i="6"/>
  <c r="M413" i="6"/>
  <c r="L413" i="6"/>
  <c r="J413" i="6"/>
  <c r="H413" i="6"/>
  <c r="G413" i="6"/>
  <c r="I413" i="6" s="1"/>
  <c r="N412" i="6"/>
  <c r="K411" i="6"/>
  <c r="K405" i="6" s="1"/>
  <c r="K404" i="6" s="1"/>
  <c r="H411" i="6"/>
  <c r="I411" i="6" s="1"/>
  <c r="O410" i="6"/>
  <c r="M410" i="6"/>
  <c r="I410" i="6"/>
  <c r="G410" i="6"/>
  <c r="O409" i="6"/>
  <c r="M409" i="6"/>
  <c r="I409" i="6"/>
  <c r="G409" i="6"/>
  <c r="O407" i="6"/>
  <c r="M407" i="6"/>
  <c r="I407" i="6"/>
  <c r="G407" i="6"/>
  <c r="L406" i="6"/>
  <c r="L405" i="6" s="1"/>
  <c r="J406" i="6"/>
  <c r="J405" i="6" s="1"/>
  <c r="G406" i="6"/>
  <c r="J404" i="6"/>
  <c r="O402" i="6"/>
  <c r="N402" i="6"/>
  <c r="M402" i="6"/>
  <c r="L402" i="6"/>
  <c r="J402" i="6"/>
  <c r="I402" i="6"/>
  <c r="G402" i="6"/>
  <c r="O401" i="6"/>
  <c r="M401" i="6"/>
  <c r="M400" i="6" s="1"/>
  <c r="I401" i="6"/>
  <c r="G401" i="6"/>
  <c r="O400" i="6"/>
  <c r="N400" i="6"/>
  <c r="L400" i="6"/>
  <c r="J400" i="6"/>
  <c r="I400" i="6"/>
  <c r="G400" i="6"/>
  <c r="N399" i="6"/>
  <c r="N398" i="6" s="1"/>
  <c r="N397" i="6" s="1"/>
  <c r="N396" i="6" s="1"/>
  <c r="M398" i="6"/>
  <c r="M397" i="6" s="1"/>
  <c r="M396" i="6" s="1"/>
  <c r="I399" i="6"/>
  <c r="I398" i="6" s="1"/>
  <c r="I397" i="6" s="1"/>
  <c r="I396" i="6" s="1"/>
  <c r="L398" i="6"/>
  <c r="J398" i="6"/>
  <c r="H398" i="6"/>
  <c r="H397" i="6" s="1"/>
  <c r="G398" i="6"/>
  <c r="K397" i="6"/>
  <c r="J397" i="6"/>
  <c r="J396" i="6" s="1"/>
  <c r="J395" i="6" s="1"/>
  <c r="J394" i="6" s="1"/>
  <c r="G397" i="6"/>
  <c r="K396" i="6"/>
  <c r="H396" i="6"/>
  <c r="G396" i="6"/>
  <c r="M391" i="6"/>
  <c r="I390" i="6"/>
  <c r="I389" i="6" s="1"/>
  <c r="I388" i="6" s="1"/>
  <c r="I387" i="6" s="1"/>
  <c r="I386" i="6" s="1"/>
  <c r="I385" i="6" s="1"/>
  <c r="G391" i="6"/>
  <c r="G390" i="6" s="1"/>
  <c r="G389" i="6" s="1"/>
  <c r="G388" i="6" s="1"/>
  <c r="G387" i="6" s="1"/>
  <c r="G386" i="6" s="1"/>
  <c r="G385" i="6" s="1"/>
  <c r="O390" i="6"/>
  <c r="O389" i="6" s="1"/>
  <c r="O388" i="6" s="1"/>
  <c r="O387" i="6" s="1"/>
  <c r="O386" i="6" s="1"/>
  <c r="O385" i="6" s="1"/>
  <c r="N390" i="6"/>
  <c r="N389" i="6" s="1"/>
  <c r="N388" i="6" s="1"/>
  <c r="N387" i="6" s="1"/>
  <c r="N386" i="6" s="1"/>
  <c r="N385" i="6" s="1"/>
  <c r="M390" i="6"/>
  <c r="M389" i="6" s="1"/>
  <c r="L390" i="6"/>
  <c r="L389" i="6" s="1"/>
  <c r="L388" i="6" s="1"/>
  <c r="L387" i="6" s="1"/>
  <c r="L386" i="6" s="1"/>
  <c r="L385" i="6" s="1"/>
  <c r="J390" i="6"/>
  <c r="J389" i="6" s="1"/>
  <c r="J388" i="6" s="1"/>
  <c r="J387" i="6" s="1"/>
  <c r="J386" i="6" s="1"/>
  <c r="J385" i="6" s="1"/>
  <c r="K389" i="6"/>
  <c r="M388" i="6"/>
  <c r="M387" i="6" s="1"/>
  <c r="M386" i="6" s="1"/>
  <c r="M385" i="6" s="1"/>
  <c r="K388" i="6"/>
  <c r="K387" i="6" s="1"/>
  <c r="K386" i="6" s="1"/>
  <c r="K385" i="6" s="1"/>
  <c r="K384" i="6" s="1"/>
  <c r="O383" i="6"/>
  <c r="N383" i="6"/>
  <c r="M383" i="6"/>
  <c r="M382" i="6" s="1"/>
  <c r="M381" i="6" s="1"/>
  <c r="L383" i="6"/>
  <c r="J383" i="6"/>
  <c r="I383" i="6"/>
  <c r="G383" i="6"/>
  <c r="G382" i="6" s="1"/>
  <c r="G381" i="6" s="1"/>
  <c r="O382" i="6"/>
  <c r="N382" i="6"/>
  <c r="N381" i="6" s="1"/>
  <c r="L382" i="6"/>
  <c r="L381" i="6" s="1"/>
  <c r="K382" i="6"/>
  <c r="J382" i="6"/>
  <c r="J381" i="6" s="1"/>
  <c r="I382" i="6"/>
  <c r="H382" i="6"/>
  <c r="H381" i="6" s="1"/>
  <c r="O381" i="6"/>
  <c r="K381" i="6"/>
  <c r="I381" i="6"/>
  <c r="O378" i="6"/>
  <c r="N378" i="6"/>
  <c r="N377" i="6" s="1"/>
  <c r="N376" i="6" s="1"/>
  <c r="N375" i="6" s="1"/>
  <c r="N374" i="6" s="1"/>
  <c r="M378" i="6"/>
  <c r="L378" i="6"/>
  <c r="J378" i="6"/>
  <c r="I378" i="6"/>
  <c r="G378" i="6"/>
  <c r="O377" i="6"/>
  <c r="O376" i="6" s="1"/>
  <c r="O375" i="6" s="1"/>
  <c r="O374" i="6" s="1"/>
  <c r="M377" i="6"/>
  <c r="M376" i="6" s="1"/>
  <c r="M375" i="6" s="1"/>
  <c r="M374" i="6" s="1"/>
  <c r="L377" i="6"/>
  <c r="K377" i="6"/>
  <c r="K376" i="6" s="1"/>
  <c r="K375" i="6" s="1"/>
  <c r="K374" i="6" s="1"/>
  <c r="J377" i="6"/>
  <c r="I377" i="6"/>
  <c r="I376" i="6" s="1"/>
  <c r="I375" i="6" s="1"/>
  <c r="I374" i="6" s="1"/>
  <c r="H377" i="6"/>
  <c r="G377" i="6"/>
  <c r="G376" i="6" s="1"/>
  <c r="G375" i="6" s="1"/>
  <c r="G374" i="6" s="1"/>
  <c r="L376" i="6"/>
  <c r="J376" i="6"/>
  <c r="J375" i="6" s="1"/>
  <c r="J374" i="6" s="1"/>
  <c r="H376" i="6"/>
  <c r="H375" i="6" s="1"/>
  <c r="H374" i="6" s="1"/>
  <c r="O372" i="6"/>
  <c r="N372" i="6"/>
  <c r="M372" i="6"/>
  <c r="M371" i="6" s="1"/>
  <c r="M370" i="6" s="1"/>
  <c r="M369" i="6" s="1"/>
  <c r="M368" i="6" s="1"/>
  <c r="L372" i="6"/>
  <c r="J372" i="6"/>
  <c r="I372" i="6"/>
  <c r="G372" i="6"/>
  <c r="G371" i="6" s="1"/>
  <c r="G370" i="6" s="1"/>
  <c r="G369" i="6" s="1"/>
  <c r="G368" i="6" s="1"/>
  <c r="O371" i="6"/>
  <c r="N371" i="6"/>
  <c r="N370" i="6" s="1"/>
  <c r="N369" i="6" s="1"/>
  <c r="N368" i="6" s="1"/>
  <c r="L371" i="6"/>
  <c r="L370" i="6" s="1"/>
  <c r="L369" i="6" s="1"/>
  <c r="L368" i="6" s="1"/>
  <c r="K371" i="6"/>
  <c r="J371" i="6"/>
  <c r="J370" i="6" s="1"/>
  <c r="J369" i="6" s="1"/>
  <c r="J368" i="6" s="1"/>
  <c r="I371" i="6"/>
  <c r="H371" i="6"/>
  <c r="H370" i="6" s="1"/>
  <c r="H369" i="6" s="1"/>
  <c r="H368" i="6" s="1"/>
  <c r="O370" i="6"/>
  <c r="O369" i="6" s="1"/>
  <c r="O368" i="6" s="1"/>
  <c r="K370" i="6"/>
  <c r="K369" i="6" s="1"/>
  <c r="K368" i="6" s="1"/>
  <c r="I370" i="6"/>
  <c r="I369" i="6" s="1"/>
  <c r="I368" i="6" s="1"/>
  <c r="O367" i="6"/>
  <c r="O366" i="6" s="1"/>
  <c r="O365" i="6" s="1"/>
  <c r="O364" i="6" s="1"/>
  <c r="O363" i="6" s="1"/>
  <c r="O362" i="6" s="1"/>
  <c r="M367" i="6"/>
  <c r="N366" i="6"/>
  <c r="N365" i="6" s="1"/>
  <c r="N364" i="6" s="1"/>
  <c r="N363" i="6" s="1"/>
  <c r="N362" i="6" s="1"/>
  <c r="M366" i="6"/>
  <c r="L366" i="6"/>
  <c r="J366" i="6"/>
  <c r="I366" i="6"/>
  <c r="G366" i="6"/>
  <c r="M365" i="6"/>
  <c r="M364" i="6" s="1"/>
  <c r="M363" i="6" s="1"/>
  <c r="M362" i="6" s="1"/>
  <c r="L365" i="6"/>
  <c r="K365" i="6"/>
  <c r="K364" i="6" s="1"/>
  <c r="K363" i="6" s="1"/>
  <c r="K362" i="6" s="1"/>
  <c r="J365" i="6"/>
  <c r="I365" i="6"/>
  <c r="I364" i="6" s="1"/>
  <c r="I363" i="6" s="1"/>
  <c r="I362" i="6" s="1"/>
  <c r="H365" i="6"/>
  <c r="G365" i="6"/>
  <c r="G364" i="6" s="1"/>
  <c r="G363" i="6" s="1"/>
  <c r="G362" i="6" s="1"/>
  <c r="L364" i="6"/>
  <c r="L363" i="6" s="1"/>
  <c r="L362" i="6" s="1"/>
  <c r="J364" i="6"/>
  <c r="J363" i="6" s="1"/>
  <c r="J362" i="6" s="1"/>
  <c r="H364" i="6"/>
  <c r="H363" i="6" s="1"/>
  <c r="H362" i="6" s="1"/>
  <c r="O360" i="6"/>
  <c r="N360" i="6"/>
  <c r="M360" i="6"/>
  <c r="M359" i="6" s="1"/>
  <c r="M358" i="6" s="1"/>
  <c r="M357" i="6" s="1"/>
  <c r="M356" i="6" s="1"/>
  <c r="L360" i="6"/>
  <c r="J360" i="6"/>
  <c r="I360" i="6"/>
  <c r="G360" i="6"/>
  <c r="G359" i="6" s="1"/>
  <c r="G358" i="6" s="1"/>
  <c r="G357" i="6" s="1"/>
  <c r="G356" i="6" s="1"/>
  <c r="O359" i="6"/>
  <c r="N359" i="6"/>
  <c r="N358" i="6" s="1"/>
  <c r="N357" i="6" s="1"/>
  <c r="N356" i="6" s="1"/>
  <c r="L359" i="6"/>
  <c r="L358" i="6" s="1"/>
  <c r="L357" i="6" s="1"/>
  <c r="L356" i="6" s="1"/>
  <c r="K359" i="6"/>
  <c r="J359" i="6"/>
  <c r="J358" i="6" s="1"/>
  <c r="J357" i="6" s="1"/>
  <c r="J356" i="6" s="1"/>
  <c r="I359" i="6"/>
  <c r="H359" i="6"/>
  <c r="H358" i="6" s="1"/>
  <c r="H357" i="6" s="1"/>
  <c r="H356" i="6" s="1"/>
  <c r="O358" i="6"/>
  <c r="K358" i="6"/>
  <c r="I358" i="6"/>
  <c r="I357" i="6" s="1"/>
  <c r="I356" i="6" s="1"/>
  <c r="O357" i="6"/>
  <c r="K357" i="6"/>
  <c r="O356" i="6"/>
  <c r="K356" i="6"/>
  <c r="O354" i="6"/>
  <c r="N354" i="6"/>
  <c r="M354" i="6"/>
  <c r="L354" i="6"/>
  <c r="L353" i="6" s="1"/>
  <c r="L352" i="6" s="1"/>
  <c r="L351" i="6" s="1"/>
  <c r="L350" i="6" s="1"/>
  <c r="L349" i="6" s="1"/>
  <c r="J354" i="6"/>
  <c r="I354" i="6"/>
  <c r="G354" i="6"/>
  <c r="O353" i="6"/>
  <c r="O352" i="6" s="1"/>
  <c r="O351" i="6" s="1"/>
  <c r="O350" i="6" s="1"/>
  <c r="O349" i="6" s="1"/>
  <c r="N353" i="6"/>
  <c r="M353" i="6"/>
  <c r="K353" i="6"/>
  <c r="K352" i="6" s="1"/>
  <c r="K351" i="6" s="1"/>
  <c r="K350" i="6" s="1"/>
  <c r="K349" i="6" s="1"/>
  <c r="J353" i="6"/>
  <c r="I353" i="6"/>
  <c r="H353" i="6"/>
  <c r="G353" i="6"/>
  <c r="G352" i="6" s="1"/>
  <c r="G351" i="6" s="1"/>
  <c r="G350" i="6" s="1"/>
  <c r="G349" i="6" s="1"/>
  <c r="N352" i="6"/>
  <c r="M352" i="6"/>
  <c r="J352" i="6"/>
  <c r="I352" i="6"/>
  <c r="H352" i="6"/>
  <c r="H351" i="6" s="1"/>
  <c r="H350" i="6" s="1"/>
  <c r="H349" i="6" s="1"/>
  <c r="N351" i="6"/>
  <c r="M351" i="6"/>
  <c r="M350" i="6" s="1"/>
  <c r="M349" i="6" s="1"/>
  <c r="J351" i="6"/>
  <c r="I351" i="6"/>
  <c r="I350" i="6" s="1"/>
  <c r="I349" i="6" s="1"/>
  <c r="N350" i="6"/>
  <c r="J350" i="6"/>
  <c r="J349" i="6" s="1"/>
  <c r="O347" i="6"/>
  <c r="N347" i="6"/>
  <c r="M347" i="6"/>
  <c r="M346" i="6" s="1"/>
  <c r="M345" i="6" s="1"/>
  <c r="M344" i="6" s="1"/>
  <c r="L347" i="6"/>
  <c r="L346" i="6" s="1"/>
  <c r="L345" i="6" s="1"/>
  <c r="L344" i="6" s="1"/>
  <c r="J347" i="6"/>
  <c r="I347" i="6"/>
  <c r="G347" i="6"/>
  <c r="O346" i="6"/>
  <c r="O345" i="6" s="1"/>
  <c r="O344" i="6" s="1"/>
  <c r="N346" i="6"/>
  <c r="K346" i="6"/>
  <c r="K345" i="6" s="1"/>
  <c r="K344" i="6" s="1"/>
  <c r="J346" i="6"/>
  <c r="I346" i="6"/>
  <c r="H346" i="6"/>
  <c r="G346" i="6"/>
  <c r="G345" i="6" s="1"/>
  <c r="G344" i="6" s="1"/>
  <c r="N345" i="6"/>
  <c r="J345" i="6"/>
  <c r="I345" i="6"/>
  <c r="H345" i="6"/>
  <c r="H344" i="6" s="1"/>
  <c r="N344" i="6"/>
  <c r="J344" i="6"/>
  <c r="I344" i="6"/>
  <c r="N343" i="6"/>
  <c r="O343" i="6"/>
  <c r="N342" i="6"/>
  <c r="N341" i="6"/>
  <c r="I340" i="6"/>
  <c r="L340" i="6"/>
  <c r="J340" i="6"/>
  <c r="G340" i="6"/>
  <c r="L338" i="6"/>
  <c r="N337" i="6"/>
  <c r="M336" i="6"/>
  <c r="L336" i="6"/>
  <c r="K336" i="6"/>
  <c r="K335" i="6" s="1"/>
  <c r="J336" i="6"/>
  <c r="G336" i="6"/>
  <c r="G335" i="6" s="1"/>
  <c r="L335" i="6"/>
  <c r="J335" i="6"/>
  <c r="O333" i="6"/>
  <c r="N333" i="6"/>
  <c r="M333" i="6"/>
  <c r="L333" i="6"/>
  <c r="J333" i="6"/>
  <c r="I333" i="6"/>
  <c r="G333" i="6"/>
  <c r="O331" i="6"/>
  <c r="O330" i="6" s="1"/>
  <c r="N331" i="6"/>
  <c r="M331" i="6"/>
  <c r="M330" i="6" s="1"/>
  <c r="L331" i="6"/>
  <c r="J331" i="6"/>
  <c r="I331" i="6"/>
  <c r="G331" i="6"/>
  <c r="G330" i="6" s="1"/>
  <c r="L330" i="6"/>
  <c r="K330" i="6"/>
  <c r="J330" i="6"/>
  <c r="H330" i="6"/>
  <c r="N326" i="6"/>
  <c r="H325" i="6"/>
  <c r="N325" i="6" s="1"/>
  <c r="N324" i="6"/>
  <c r="O324" i="6"/>
  <c r="N323" i="6"/>
  <c r="N322" i="6"/>
  <c r="M321" i="6"/>
  <c r="M320" i="6" s="1"/>
  <c r="L321" i="6"/>
  <c r="J321" i="6"/>
  <c r="J320" i="6" s="1"/>
  <c r="I321" i="6"/>
  <c r="H321" i="6"/>
  <c r="G321" i="6"/>
  <c r="L320" i="6"/>
  <c r="K320" i="6"/>
  <c r="O318" i="6"/>
  <c r="N318" i="6"/>
  <c r="N317" i="6" s="1"/>
  <c r="M318" i="6"/>
  <c r="L318" i="6"/>
  <c r="L317" i="6" s="1"/>
  <c r="L316" i="6" s="1"/>
  <c r="L315" i="6" s="1"/>
  <c r="L314" i="6" s="1"/>
  <c r="J318" i="6"/>
  <c r="I318" i="6"/>
  <c r="G318" i="6"/>
  <c r="O317" i="6"/>
  <c r="M317" i="6"/>
  <c r="K317" i="6"/>
  <c r="K316" i="6" s="1"/>
  <c r="K315" i="6" s="1"/>
  <c r="K314" i="6" s="1"/>
  <c r="J317" i="6"/>
  <c r="I317" i="6"/>
  <c r="H317" i="6"/>
  <c r="G317" i="6"/>
  <c r="N312" i="6"/>
  <c r="O312" i="6"/>
  <c r="H311" i="6"/>
  <c r="N311" i="6" s="1"/>
  <c r="H310" i="6"/>
  <c r="N310" i="6" s="1"/>
  <c r="H309" i="6"/>
  <c r="N309" i="6" s="1"/>
  <c r="N308" i="6"/>
  <c r="O308" i="6"/>
  <c r="N307" i="6"/>
  <c r="O307" i="6"/>
  <c r="N306" i="6"/>
  <c r="O306" i="6" s="1"/>
  <c r="O305" i="6" s="1"/>
  <c r="I306" i="6"/>
  <c r="M305" i="6"/>
  <c r="M304" i="6" s="1"/>
  <c r="L305" i="6"/>
  <c r="J305" i="6"/>
  <c r="J304" i="6" s="1"/>
  <c r="J303" i="6" s="1"/>
  <c r="I305" i="6"/>
  <c r="I304" i="6" s="1"/>
  <c r="H305" i="6"/>
  <c r="H304" i="6" s="1"/>
  <c r="G305" i="6"/>
  <c r="G304" i="6" s="1"/>
  <c r="M303" i="6"/>
  <c r="L304" i="6"/>
  <c r="K304" i="6"/>
  <c r="K303" i="6" s="1"/>
  <c r="G303" i="6"/>
  <c r="L303" i="6"/>
  <c r="O301" i="6"/>
  <c r="O300" i="6" s="1"/>
  <c r="O299" i="6" s="1"/>
  <c r="O298" i="6" s="1"/>
  <c r="N301" i="6"/>
  <c r="M301" i="6"/>
  <c r="M300" i="6" s="1"/>
  <c r="M299" i="6" s="1"/>
  <c r="M298" i="6" s="1"/>
  <c r="L301" i="6"/>
  <c r="J301" i="6"/>
  <c r="I301" i="6"/>
  <c r="G301" i="6"/>
  <c r="G300" i="6" s="1"/>
  <c r="G299" i="6" s="1"/>
  <c r="G298" i="6" s="1"/>
  <c r="N300" i="6"/>
  <c r="N299" i="6" s="1"/>
  <c r="L300" i="6"/>
  <c r="L299" i="6" s="1"/>
  <c r="L298" i="6" s="1"/>
  <c r="K300" i="6"/>
  <c r="J300" i="6"/>
  <c r="J299" i="6" s="1"/>
  <c r="J298" i="6" s="1"/>
  <c r="I300" i="6"/>
  <c r="H300" i="6"/>
  <c r="H299" i="6" s="1"/>
  <c r="K299" i="6"/>
  <c r="I299" i="6"/>
  <c r="I298" i="6"/>
  <c r="O294" i="6"/>
  <c r="O292" i="6" s="1"/>
  <c r="N294" i="6"/>
  <c r="N292" i="6" s="1"/>
  <c r="I294" i="6"/>
  <c r="I292" i="6" s="1"/>
  <c r="M294" i="6"/>
  <c r="M293" i="6" s="1"/>
  <c r="M292" i="6" s="1"/>
  <c r="J294" i="6"/>
  <c r="H294" i="6"/>
  <c r="H292" i="6" s="1"/>
  <c r="G294" i="6"/>
  <c r="G293" i="6" s="1"/>
  <c r="G292" i="6" s="1"/>
  <c r="J293" i="6"/>
  <c r="J292" i="6" s="1"/>
  <c r="I288" i="6"/>
  <c r="M288" i="6"/>
  <c r="L288" i="6"/>
  <c r="J288" i="6"/>
  <c r="H288" i="6"/>
  <c r="G288" i="6"/>
  <c r="O286" i="6"/>
  <c r="N286" i="6"/>
  <c r="M286" i="6"/>
  <c r="L286" i="6"/>
  <c r="J286" i="6"/>
  <c r="I286" i="6"/>
  <c r="G286" i="6"/>
  <c r="N285" i="6"/>
  <c r="O285" i="6"/>
  <c r="N284" i="6"/>
  <c r="O284" i="6"/>
  <c r="N283" i="6"/>
  <c r="M282" i="6"/>
  <c r="L282" i="6"/>
  <c r="J282" i="6"/>
  <c r="G282" i="6"/>
  <c r="O280" i="6"/>
  <c r="N280" i="6"/>
  <c r="M280" i="6"/>
  <c r="L280" i="6"/>
  <c r="J280" i="6"/>
  <c r="I280" i="6"/>
  <c r="G280" i="6"/>
  <c r="L278" i="6"/>
  <c r="I278" i="6"/>
  <c r="M278" i="6"/>
  <c r="K278" i="6"/>
  <c r="J278" i="6"/>
  <c r="H278" i="6"/>
  <c r="G278" i="6"/>
  <c r="O276" i="6"/>
  <c r="N277" i="6"/>
  <c r="I276" i="6"/>
  <c r="N276" i="6"/>
  <c r="M276" i="6"/>
  <c r="L276" i="6"/>
  <c r="J276" i="6"/>
  <c r="J275" i="6" s="1"/>
  <c r="J274" i="6" s="1"/>
  <c r="J273" i="6" s="1"/>
  <c r="H276" i="6"/>
  <c r="G276" i="6"/>
  <c r="K274" i="6"/>
  <c r="K273" i="6" s="1"/>
  <c r="N267" i="6"/>
  <c r="O267" i="6"/>
  <c r="H266" i="6"/>
  <c r="H265" i="6"/>
  <c r="O263" i="6"/>
  <c r="J264" i="6"/>
  <c r="M264" i="6" s="1"/>
  <c r="M263" i="6" s="1"/>
  <c r="I263" i="6"/>
  <c r="G264" i="6"/>
  <c r="N263" i="6"/>
  <c r="J263" i="6"/>
  <c r="G263" i="6"/>
  <c r="N262" i="6"/>
  <c r="N261" i="6"/>
  <c r="K261" i="6"/>
  <c r="M260" i="6"/>
  <c r="L260" i="6"/>
  <c r="J260" i="6"/>
  <c r="I260" i="6"/>
  <c r="I259" i="6" s="1"/>
  <c r="I258" i="6" s="1"/>
  <c r="H260" i="6"/>
  <c r="H259" i="6" s="1"/>
  <c r="H258" i="6" s="1"/>
  <c r="G260" i="6"/>
  <c r="G259" i="6" s="1"/>
  <c r="G258" i="6" s="1"/>
  <c r="G257" i="6" s="1"/>
  <c r="K259" i="6"/>
  <c r="J259" i="6"/>
  <c r="J258" i="6" s="1"/>
  <c r="J257" i="6" s="1"/>
  <c r="K258" i="6"/>
  <c r="K257" i="6" s="1"/>
  <c r="N256" i="6"/>
  <c r="O256" i="6"/>
  <c r="H255" i="6"/>
  <c r="N255" i="6" s="1"/>
  <c r="L253" i="6"/>
  <c r="O253" i="6" s="1"/>
  <c r="O252" i="6" s="1"/>
  <c r="J253" i="6"/>
  <c r="N252" i="6"/>
  <c r="L252" i="6"/>
  <c r="I252" i="6"/>
  <c r="G252" i="6"/>
  <c r="N251" i="6"/>
  <c r="N250" i="6" s="1"/>
  <c r="L251" i="6"/>
  <c r="O251" i="6" s="1"/>
  <c r="J251" i="6"/>
  <c r="I250" i="6"/>
  <c r="L250" i="6"/>
  <c r="J250" i="6"/>
  <c r="H250" i="6"/>
  <c r="G250" i="6"/>
  <c r="O249" i="6"/>
  <c r="O248" i="6" s="1"/>
  <c r="M249" i="6"/>
  <c r="N248" i="6"/>
  <c r="M248" i="6"/>
  <c r="L248" i="6"/>
  <c r="J248" i="6"/>
  <c r="I248" i="6"/>
  <c r="G248" i="6"/>
  <c r="N247" i="6"/>
  <c r="N246" i="6"/>
  <c r="L245" i="6"/>
  <c r="L244" i="6" s="1"/>
  <c r="L243" i="6" s="1"/>
  <c r="L242" i="6" s="1"/>
  <c r="K245" i="6"/>
  <c r="J245" i="6"/>
  <c r="H245" i="6"/>
  <c r="H244" i="6" s="1"/>
  <c r="H243" i="6" s="1"/>
  <c r="K244" i="6"/>
  <c r="K243" i="6" s="1"/>
  <c r="K242" i="6"/>
  <c r="K241" i="6" s="1"/>
  <c r="N240" i="6"/>
  <c r="N239" i="6" s="1"/>
  <c r="M239" i="6"/>
  <c r="I239" i="6"/>
  <c r="L239" i="6"/>
  <c r="J239" i="6"/>
  <c r="H239" i="6"/>
  <c r="G239" i="6"/>
  <c r="O237" i="6"/>
  <c r="N237" i="6"/>
  <c r="M237" i="6"/>
  <c r="L237" i="6"/>
  <c r="L236" i="6" s="1"/>
  <c r="L235" i="6" s="1"/>
  <c r="L234" i="6" s="1"/>
  <c r="L229" i="6" s="1"/>
  <c r="J237" i="6"/>
  <c r="I237" i="6"/>
  <c r="G237" i="6"/>
  <c r="K236" i="6"/>
  <c r="K235" i="6" s="1"/>
  <c r="K234" i="6" s="1"/>
  <c r="K229" i="6" s="1"/>
  <c r="J236" i="6"/>
  <c r="H236" i="6"/>
  <c r="H235" i="6" s="1"/>
  <c r="H234" i="6" s="1"/>
  <c r="G236" i="6"/>
  <c r="G235" i="6" s="1"/>
  <c r="G234" i="6" s="1"/>
  <c r="G229" i="6" s="1"/>
  <c r="J235" i="6"/>
  <c r="J234" i="6" s="1"/>
  <c r="J229" i="6" s="1"/>
  <c r="N232" i="6"/>
  <c r="O232" i="6"/>
  <c r="H231" i="6"/>
  <c r="N231" i="6" s="1"/>
  <c r="O226" i="6"/>
  <c r="O225" i="6" s="1"/>
  <c r="O224" i="6" s="1"/>
  <c r="N226" i="6"/>
  <c r="N225" i="6" s="1"/>
  <c r="N224" i="6" s="1"/>
  <c r="M226" i="6"/>
  <c r="M225" i="6" s="1"/>
  <c r="M224" i="6" s="1"/>
  <c r="L226" i="6"/>
  <c r="J226" i="6"/>
  <c r="J225" i="6" s="1"/>
  <c r="J224" i="6" s="1"/>
  <c r="I226" i="6"/>
  <c r="G226" i="6"/>
  <c r="G225" i="6" s="1"/>
  <c r="G224" i="6" s="1"/>
  <c r="L225" i="6"/>
  <c r="L224" i="6" s="1"/>
  <c r="K225" i="6"/>
  <c r="I225" i="6"/>
  <c r="I224" i="6" s="1"/>
  <c r="H225" i="6"/>
  <c r="H224" i="6" s="1"/>
  <c r="K224" i="6"/>
  <c r="O221" i="6"/>
  <c r="N221" i="6"/>
  <c r="N220" i="6" s="1"/>
  <c r="N219" i="6" s="1"/>
  <c r="M221" i="6"/>
  <c r="L221" i="6"/>
  <c r="L220" i="6" s="1"/>
  <c r="L219" i="6" s="1"/>
  <c r="J221" i="6"/>
  <c r="I221" i="6"/>
  <c r="G221" i="6"/>
  <c r="O220" i="6"/>
  <c r="O219" i="6" s="1"/>
  <c r="M220" i="6"/>
  <c r="M219" i="6" s="1"/>
  <c r="K220" i="6"/>
  <c r="K219" i="6" s="1"/>
  <c r="J220" i="6"/>
  <c r="I220" i="6"/>
  <c r="I219" i="6" s="1"/>
  <c r="H220" i="6"/>
  <c r="G220" i="6"/>
  <c r="G219" i="6" s="1"/>
  <c r="J219" i="6"/>
  <c r="H219" i="6"/>
  <c r="O216" i="6"/>
  <c r="O215" i="6" s="1"/>
  <c r="O214" i="6" s="1"/>
  <c r="N216" i="6"/>
  <c r="M216" i="6"/>
  <c r="M215" i="6" s="1"/>
  <c r="M214" i="6" s="1"/>
  <c r="L216" i="6"/>
  <c r="J216" i="6"/>
  <c r="I216" i="6"/>
  <c r="G216" i="6"/>
  <c r="G215" i="6" s="1"/>
  <c r="G214" i="6" s="1"/>
  <c r="N215" i="6"/>
  <c r="N214" i="6" s="1"/>
  <c r="L215" i="6"/>
  <c r="L214" i="6" s="1"/>
  <c r="K215" i="6"/>
  <c r="J215" i="6"/>
  <c r="J214" i="6" s="1"/>
  <c r="I215" i="6"/>
  <c r="H215" i="6"/>
  <c r="H214" i="6" s="1"/>
  <c r="H213" i="6" s="1"/>
  <c r="K214" i="6"/>
  <c r="K213" i="6" s="1"/>
  <c r="I214" i="6"/>
  <c r="N212" i="6"/>
  <c r="O212" i="6"/>
  <c r="H211" i="6"/>
  <c r="N211" i="6" s="1"/>
  <c r="H210" i="6"/>
  <c r="O208" i="6"/>
  <c r="O207" i="6" s="1"/>
  <c r="N208" i="6"/>
  <c r="N207" i="6" s="1"/>
  <c r="M208" i="6"/>
  <c r="M207" i="6" s="1"/>
  <c r="L208" i="6"/>
  <c r="L207" i="6" s="1"/>
  <c r="J208" i="6"/>
  <c r="I208" i="6"/>
  <c r="I207" i="6" s="1"/>
  <c r="G208" i="6"/>
  <c r="G207" i="6" s="1"/>
  <c r="K207" i="6"/>
  <c r="J207" i="6"/>
  <c r="H207" i="6"/>
  <c r="N206" i="6"/>
  <c r="O206" i="6"/>
  <c r="N205" i="6"/>
  <c r="N204" i="6"/>
  <c r="N203" i="6"/>
  <c r="N201" i="6" s="1"/>
  <c r="N200" i="6" s="1"/>
  <c r="M201" i="6"/>
  <c r="M200" i="6" s="1"/>
  <c r="L201" i="6"/>
  <c r="J201" i="6"/>
  <c r="I201" i="6"/>
  <c r="I200" i="6" s="1"/>
  <c r="H201" i="6"/>
  <c r="G201" i="6"/>
  <c r="G200" i="6" s="1"/>
  <c r="L200" i="6"/>
  <c r="L199" i="6" s="1"/>
  <c r="K200" i="6"/>
  <c r="J200" i="6"/>
  <c r="H200" i="6"/>
  <c r="H199" i="6" s="1"/>
  <c r="K199" i="6"/>
  <c r="O197" i="6"/>
  <c r="O192" i="6" s="1"/>
  <c r="M198" i="6"/>
  <c r="M197" i="6" s="1"/>
  <c r="N197" i="6"/>
  <c r="L197" i="6"/>
  <c r="J197" i="6"/>
  <c r="J192" i="6" s="1"/>
  <c r="J191" i="6" s="1"/>
  <c r="I197" i="6"/>
  <c r="I191" i="6" s="1"/>
  <c r="G197" i="6"/>
  <c r="G192" i="6" s="1"/>
  <c r="G191" i="6" s="1"/>
  <c r="N194" i="6"/>
  <c r="H193" i="6"/>
  <c r="K191" i="6"/>
  <c r="K190" i="6" s="1"/>
  <c r="K189" i="6" s="1"/>
  <c r="H191" i="6"/>
  <c r="O187" i="6"/>
  <c r="O186" i="6" s="1"/>
  <c r="O185" i="6" s="1"/>
  <c r="O184" i="6" s="1"/>
  <c r="O183" i="6" s="1"/>
  <c r="N187" i="6"/>
  <c r="N186" i="6" s="1"/>
  <c r="N185" i="6" s="1"/>
  <c r="N184" i="6" s="1"/>
  <c r="N183" i="6" s="1"/>
  <c r="M187" i="6"/>
  <c r="M186" i="6" s="1"/>
  <c r="M185" i="6" s="1"/>
  <c r="M184" i="6" s="1"/>
  <c r="M183" i="6" s="1"/>
  <c r="L187" i="6"/>
  <c r="L186" i="6" s="1"/>
  <c r="L185" i="6" s="1"/>
  <c r="L184" i="6" s="1"/>
  <c r="L183" i="6" s="1"/>
  <c r="J187" i="6"/>
  <c r="I187" i="6"/>
  <c r="G187" i="6"/>
  <c r="G186" i="6" s="1"/>
  <c r="G185" i="6" s="1"/>
  <c r="G184" i="6" s="1"/>
  <c r="G183" i="6" s="1"/>
  <c r="K186" i="6"/>
  <c r="J186" i="6"/>
  <c r="J185" i="6" s="1"/>
  <c r="J184" i="6" s="1"/>
  <c r="J183" i="6" s="1"/>
  <c r="I186" i="6"/>
  <c r="I185" i="6" s="1"/>
  <c r="I184" i="6" s="1"/>
  <c r="I183" i="6" s="1"/>
  <c r="H186" i="6"/>
  <c r="H185" i="6" s="1"/>
  <c r="H184" i="6" s="1"/>
  <c r="H183" i="6" s="1"/>
  <c r="K185" i="6"/>
  <c r="K184" i="6" s="1"/>
  <c r="K183" i="6" s="1"/>
  <c r="O182" i="6"/>
  <c r="N182" i="6"/>
  <c r="I181" i="6"/>
  <c r="O181" i="6" s="1"/>
  <c r="H181" i="6"/>
  <c r="N181" i="6" s="1"/>
  <c r="N180" i="6"/>
  <c r="O179" i="6" s="1"/>
  <c r="M179" i="6"/>
  <c r="M178" i="6" s="1"/>
  <c r="M177" i="6" s="1"/>
  <c r="M176" i="6" s="1"/>
  <c r="L179" i="6"/>
  <c r="L178" i="6" s="1"/>
  <c r="L177" i="6" s="1"/>
  <c r="L176" i="6" s="1"/>
  <c r="J179" i="6"/>
  <c r="J178" i="6" s="1"/>
  <c r="J177" i="6" s="1"/>
  <c r="J176" i="6" s="1"/>
  <c r="I179" i="6"/>
  <c r="I178" i="6" s="1"/>
  <c r="I177" i="6" s="1"/>
  <c r="I176" i="6" s="1"/>
  <c r="H179" i="6"/>
  <c r="H178" i="6" s="1"/>
  <c r="H177" i="6" s="1"/>
  <c r="H176" i="6" s="1"/>
  <c r="G179" i="6"/>
  <c r="K178" i="6"/>
  <c r="K177" i="6" s="1"/>
  <c r="K176" i="6" s="1"/>
  <c r="G178" i="6"/>
  <c r="G177" i="6" s="1"/>
  <c r="G176" i="6" s="1"/>
  <c r="O175" i="6"/>
  <c r="M175" i="6"/>
  <c r="M174" i="6" s="1"/>
  <c r="M173" i="6" s="1"/>
  <c r="I175" i="6"/>
  <c r="G175" i="6"/>
  <c r="G174" i="6" s="1"/>
  <c r="G173" i="6" s="1"/>
  <c r="O174" i="6"/>
  <c r="O173" i="6" s="1"/>
  <c r="N174" i="6"/>
  <c r="N173" i="6" s="1"/>
  <c r="L174" i="6"/>
  <c r="L173" i="6" s="1"/>
  <c r="J174" i="6"/>
  <c r="J173" i="6" s="1"/>
  <c r="I174" i="6"/>
  <c r="I173" i="6" s="1"/>
  <c r="K173" i="6"/>
  <c r="K172" i="6" s="1"/>
  <c r="H173" i="6"/>
  <c r="H172" i="6" s="1"/>
  <c r="O171" i="6"/>
  <c r="N171" i="6"/>
  <c r="M171" i="6"/>
  <c r="L171" i="6"/>
  <c r="J171" i="6"/>
  <c r="I171" i="6"/>
  <c r="G171" i="6"/>
  <c r="N170" i="6"/>
  <c r="L170" i="6"/>
  <c r="L169" i="6" s="1"/>
  <c r="I170" i="6"/>
  <c r="M169" i="6" s="1"/>
  <c r="N169" i="6"/>
  <c r="K169" i="6"/>
  <c r="J169" i="6"/>
  <c r="H169" i="6"/>
  <c r="G169" i="6"/>
  <c r="N168" i="6"/>
  <c r="K167" i="6"/>
  <c r="G166" i="6"/>
  <c r="G165" i="6" s="1"/>
  <c r="M166" i="6"/>
  <c r="K166" i="6"/>
  <c r="K165" i="6" s="1"/>
  <c r="K164" i="6" s="1"/>
  <c r="J166" i="6"/>
  <c r="J165" i="6" s="1"/>
  <c r="H166" i="6"/>
  <c r="H165" i="6" s="1"/>
  <c r="O161" i="6"/>
  <c r="O160" i="6" s="1"/>
  <c r="O159" i="6" s="1"/>
  <c r="O158" i="6" s="1"/>
  <c r="O157" i="6" s="1"/>
  <c r="O156" i="6" s="1"/>
  <c r="M161" i="6"/>
  <c r="N160" i="6"/>
  <c r="N159" i="6" s="1"/>
  <c r="N158" i="6" s="1"/>
  <c r="N157" i="6" s="1"/>
  <c r="N156" i="6" s="1"/>
  <c r="M160" i="6"/>
  <c r="M159" i="6" s="1"/>
  <c r="M158" i="6" s="1"/>
  <c r="M157" i="6" s="1"/>
  <c r="M156" i="6" s="1"/>
  <c r="L160" i="6"/>
  <c r="L159" i="6" s="1"/>
  <c r="L158" i="6" s="1"/>
  <c r="L157" i="6" s="1"/>
  <c r="L156" i="6" s="1"/>
  <c r="J160" i="6"/>
  <c r="J159" i="6" s="1"/>
  <c r="J158" i="6" s="1"/>
  <c r="J157" i="6" s="1"/>
  <c r="J156" i="6" s="1"/>
  <c r="I160" i="6"/>
  <c r="H160" i="6"/>
  <c r="H159" i="6" s="1"/>
  <c r="H158" i="6" s="1"/>
  <c r="H157" i="6" s="1"/>
  <c r="H156" i="6" s="1"/>
  <c r="G160" i="6"/>
  <c r="K159" i="6"/>
  <c r="K158" i="6" s="1"/>
  <c r="I159" i="6"/>
  <c r="I158" i="6" s="1"/>
  <c r="I157" i="6" s="1"/>
  <c r="I156" i="6" s="1"/>
  <c r="G159" i="6"/>
  <c r="G158" i="6" s="1"/>
  <c r="G157" i="6" s="1"/>
  <c r="G156" i="6" s="1"/>
  <c r="K157" i="6"/>
  <c r="K156" i="6" s="1"/>
  <c r="O153" i="6"/>
  <c r="O152" i="6" s="1"/>
  <c r="O151" i="6" s="1"/>
  <c r="N153" i="6"/>
  <c r="N152" i="6" s="1"/>
  <c r="N151" i="6" s="1"/>
  <c r="M153" i="6"/>
  <c r="M152" i="6" s="1"/>
  <c r="M151" i="6" s="1"/>
  <c r="L153" i="6"/>
  <c r="L152" i="6" s="1"/>
  <c r="J153" i="6"/>
  <c r="J152" i="6" s="1"/>
  <c r="J151" i="6" s="1"/>
  <c r="I153" i="6"/>
  <c r="I152" i="6" s="1"/>
  <c r="I151" i="6" s="1"/>
  <c r="G153" i="6"/>
  <c r="K152" i="6"/>
  <c r="K151" i="6" s="1"/>
  <c r="H152" i="6"/>
  <c r="H151" i="6" s="1"/>
  <c r="G152" i="6"/>
  <c r="G151" i="6" s="1"/>
  <c r="L151" i="6"/>
  <c r="O149" i="6"/>
  <c r="O148" i="6" s="1"/>
  <c r="O147" i="6" s="1"/>
  <c r="N149" i="6"/>
  <c r="M149" i="6"/>
  <c r="M148" i="6" s="1"/>
  <c r="M147" i="6" s="1"/>
  <c r="L149" i="6"/>
  <c r="L148" i="6" s="1"/>
  <c r="L147" i="6" s="1"/>
  <c r="J149" i="6"/>
  <c r="J148" i="6" s="1"/>
  <c r="J147" i="6" s="1"/>
  <c r="I149" i="6"/>
  <c r="G149" i="6"/>
  <c r="G148" i="6" s="1"/>
  <c r="G147" i="6" s="1"/>
  <c r="N148" i="6"/>
  <c r="N147" i="6" s="1"/>
  <c r="K148" i="6"/>
  <c r="I148" i="6"/>
  <c r="I147" i="6" s="1"/>
  <c r="H148" i="6"/>
  <c r="H147" i="6" s="1"/>
  <c r="K147" i="6"/>
  <c r="O145" i="6"/>
  <c r="N145" i="6"/>
  <c r="M145" i="6"/>
  <c r="L145" i="6"/>
  <c r="J145" i="6"/>
  <c r="I145" i="6"/>
  <c r="G145" i="6"/>
  <c r="O143" i="6"/>
  <c r="O142" i="6" s="1"/>
  <c r="O141" i="6" s="1"/>
  <c r="N144" i="6"/>
  <c r="N143" i="6" s="1"/>
  <c r="N142" i="6" s="1"/>
  <c r="N141" i="6" s="1"/>
  <c r="M143" i="6"/>
  <c r="M142" i="6" s="1"/>
  <c r="M141" i="6" s="1"/>
  <c r="L143" i="6"/>
  <c r="L142" i="6" s="1"/>
  <c r="L141" i="6" s="1"/>
  <c r="J143" i="6"/>
  <c r="I143" i="6"/>
  <c r="H143" i="6"/>
  <c r="H142" i="6" s="1"/>
  <c r="H141" i="6" s="1"/>
  <c r="H140" i="6" s="1"/>
  <c r="H139" i="6" s="1"/>
  <c r="G143" i="6"/>
  <c r="G142" i="6" s="1"/>
  <c r="G141" i="6" s="1"/>
  <c r="K142" i="6"/>
  <c r="J142" i="6"/>
  <c r="J141" i="6" s="1"/>
  <c r="K141" i="6"/>
  <c r="K140" i="6" s="1"/>
  <c r="K139" i="6" s="1"/>
  <c r="O137" i="6"/>
  <c r="O136" i="6" s="1"/>
  <c r="O135" i="6" s="1"/>
  <c r="N137" i="6"/>
  <c r="N136" i="6" s="1"/>
  <c r="N135" i="6" s="1"/>
  <c r="M137" i="6"/>
  <c r="M136" i="6" s="1"/>
  <c r="M135" i="6" s="1"/>
  <c r="L137" i="6"/>
  <c r="L136" i="6" s="1"/>
  <c r="L135" i="6" s="1"/>
  <c r="J137" i="6"/>
  <c r="J136" i="6" s="1"/>
  <c r="J135" i="6" s="1"/>
  <c r="I137" i="6"/>
  <c r="G137" i="6"/>
  <c r="K136" i="6"/>
  <c r="K135" i="6" s="1"/>
  <c r="I136" i="6"/>
  <c r="I135" i="6" s="1"/>
  <c r="H136" i="6"/>
  <c r="H135" i="6" s="1"/>
  <c r="G136" i="6"/>
  <c r="G135" i="6" s="1"/>
  <c r="I133" i="6"/>
  <c r="I132" i="6" s="1"/>
  <c r="I131" i="6" s="1"/>
  <c r="N134" i="6"/>
  <c r="N133" i="6" s="1"/>
  <c r="N132" i="6" s="1"/>
  <c r="N131" i="6" s="1"/>
  <c r="M133" i="6"/>
  <c r="M132" i="6" s="1"/>
  <c r="M131" i="6" s="1"/>
  <c r="L133" i="6"/>
  <c r="L132" i="6" s="1"/>
  <c r="L131" i="6" s="1"/>
  <c r="J133" i="6"/>
  <c r="J132" i="6" s="1"/>
  <c r="J131" i="6" s="1"/>
  <c r="H133" i="6"/>
  <c r="H132" i="6" s="1"/>
  <c r="G133" i="6"/>
  <c r="K132" i="6"/>
  <c r="K131" i="6" s="1"/>
  <c r="G132" i="6"/>
  <c r="G131" i="6" s="1"/>
  <c r="H131" i="6"/>
  <c r="O126" i="6"/>
  <c r="M126" i="6"/>
  <c r="I126" i="6"/>
  <c r="I125" i="6" s="1"/>
  <c r="I124" i="6" s="1"/>
  <c r="G126" i="6"/>
  <c r="O125" i="6"/>
  <c r="O124" i="6" s="1"/>
  <c r="N125" i="6"/>
  <c r="N124" i="6" s="1"/>
  <c r="M125" i="6"/>
  <c r="M124" i="6" s="1"/>
  <c r="L125" i="6"/>
  <c r="L124" i="6" s="1"/>
  <c r="J125" i="6"/>
  <c r="J124" i="6" s="1"/>
  <c r="G125" i="6"/>
  <c r="G124" i="6" s="1"/>
  <c r="K124" i="6"/>
  <c r="H124" i="6"/>
  <c r="H123" i="6" s="1"/>
  <c r="O123" i="6"/>
  <c r="O122" i="6" s="1"/>
  <c r="O121" i="6" s="1"/>
  <c r="M123" i="6"/>
  <c r="K123" i="6"/>
  <c r="K110" i="6" s="1"/>
  <c r="K109" i="6" s="1"/>
  <c r="K108" i="6" s="1"/>
  <c r="I123" i="6"/>
  <c r="G123" i="6"/>
  <c r="N122" i="6"/>
  <c r="N121" i="6" s="1"/>
  <c r="M122" i="6"/>
  <c r="M121" i="6" s="1"/>
  <c r="L122" i="6"/>
  <c r="L121" i="6" s="1"/>
  <c r="J122" i="6"/>
  <c r="J121" i="6" s="1"/>
  <c r="I122" i="6"/>
  <c r="I121" i="6" s="1"/>
  <c r="G122" i="6"/>
  <c r="G121" i="6" s="1"/>
  <c r="K121" i="6"/>
  <c r="H121" i="6"/>
  <c r="O119" i="6"/>
  <c r="N119" i="6"/>
  <c r="M119" i="6"/>
  <c r="L119" i="6"/>
  <c r="J119" i="6"/>
  <c r="I119" i="6"/>
  <c r="G119" i="6"/>
  <c r="O117" i="6"/>
  <c r="I117" i="6"/>
  <c r="G117" i="6"/>
  <c r="M117" i="6"/>
  <c r="L117" i="6"/>
  <c r="J117" i="6"/>
  <c r="H117" i="6"/>
  <c r="I113" i="6"/>
  <c r="O113" i="6" s="1"/>
  <c r="N114" i="6"/>
  <c r="L113" i="6"/>
  <c r="J113" i="6"/>
  <c r="G113" i="6"/>
  <c r="M113" i="6" s="1"/>
  <c r="K112" i="6"/>
  <c r="K111" i="6" s="1"/>
  <c r="N107" i="6"/>
  <c r="N106" i="6" s="1"/>
  <c r="N105" i="6" s="1"/>
  <c r="N104" i="6" s="1"/>
  <c r="M106" i="6"/>
  <c r="M105" i="6" s="1"/>
  <c r="M104" i="6" s="1"/>
  <c r="L106" i="6"/>
  <c r="L105" i="6" s="1"/>
  <c r="L104" i="6" s="1"/>
  <c r="J106" i="6"/>
  <c r="J105" i="6" s="1"/>
  <c r="J104" i="6" s="1"/>
  <c r="H106" i="6"/>
  <c r="H105" i="6" s="1"/>
  <c r="H104" i="6" s="1"/>
  <c r="G106" i="6"/>
  <c r="G105" i="6" s="1"/>
  <c r="G104" i="6" s="1"/>
  <c r="K105" i="6"/>
  <c r="K104" i="6" s="1"/>
  <c r="K103" i="6" s="1"/>
  <c r="O102" i="6"/>
  <c r="O101" i="6" s="1"/>
  <c r="O100" i="6" s="1"/>
  <c r="N102" i="6"/>
  <c r="N101" i="6" s="1"/>
  <c r="N100" i="6" s="1"/>
  <c r="M102" i="6"/>
  <c r="M101" i="6" s="1"/>
  <c r="M100" i="6" s="1"/>
  <c r="L102" i="6"/>
  <c r="L101" i="6" s="1"/>
  <c r="L100" i="6" s="1"/>
  <c r="J102" i="6"/>
  <c r="J101" i="6" s="1"/>
  <c r="J100" i="6" s="1"/>
  <c r="I102" i="6"/>
  <c r="I101" i="6" s="1"/>
  <c r="I100" i="6" s="1"/>
  <c r="G102" i="6"/>
  <c r="K101" i="6"/>
  <c r="K100" i="6" s="1"/>
  <c r="H101" i="6"/>
  <c r="H100" i="6" s="1"/>
  <c r="G101" i="6"/>
  <c r="G100" i="6" s="1"/>
  <c r="O99" i="6"/>
  <c r="M99" i="6"/>
  <c r="I99" i="6"/>
  <c r="G99" i="6"/>
  <c r="N98" i="6"/>
  <c r="O97" i="6" s="1"/>
  <c r="M97" i="6"/>
  <c r="L97" i="6"/>
  <c r="J97" i="6"/>
  <c r="H97" i="6"/>
  <c r="G97" i="6"/>
  <c r="O94" i="6"/>
  <c r="N94" i="6"/>
  <c r="M94" i="6"/>
  <c r="L94" i="6"/>
  <c r="L93" i="6" s="1"/>
  <c r="J94" i="6"/>
  <c r="I94" i="6"/>
  <c r="G94" i="6"/>
  <c r="K93" i="6"/>
  <c r="J93" i="6"/>
  <c r="H93" i="6"/>
  <c r="N91" i="6"/>
  <c r="N90" i="6"/>
  <c r="M89" i="6"/>
  <c r="M88" i="6" s="1"/>
  <c r="L89" i="6"/>
  <c r="L88" i="6" s="1"/>
  <c r="J89" i="6"/>
  <c r="G89" i="6"/>
  <c r="G88" i="6" s="1"/>
  <c r="K88" i="6"/>
  <c r="K87" i="6" s="1"/>
  <c r="K86" i="6" s="1"/>
  <c r="J88" i="6"/>
  <c r="H88" i="6"/>
  <c r="H87" i="6" s="1"/>
  <c r="J87" i="6"/>
  <c r="O83" i="6"/>
  <c r="N83" i="6"/>
  <c r="N82" i="6" s="1"/>
  <c r="N81" i="6" s="1"/>
  <c r="M83" i="6"/>
  <c r="L83" i="6"/>
  <c r="L82" i="6" s="1"/>
  <c r="L81" i="6" s="1"/>
  <c r="J83" i="6"/>
  <c r="I83" i="6"/>
  <c r="G83" i="6"/>
  <c r="O82" i="6"/>
  <c r="O81" i="6" s="1"/>
  <c r="M82" i="6"/>
  <c r="M81" i="6" s="1"/>
  <c r="K82" i="6"/>
  <c r="K81" i="6" s="1"/>
  <c r="J82" i="6"/>
  <c r="J81" i="6" s="1"/>
  <c r="I82" i="6"/>
  <c r="I81" i="6" s="1"/>
  <c r="H82" i="6"/>
  <c r="G82" i="6"/>
  <c r="G81" i="6" s="1"/>
  <c r="H81" i="6"/>
  <c r="O79" i="6"/>
  <c r="O78" i="6" s="1"/>
  <c r="O77" i="6" s="1"/>
  <c r="N79" i="6"/>
  <c r="N78" i="6" s="1"/>
  <c r="N77" i="6" s="1"/>
  <c r="M79" i="6"/>
  <c r="M78" i="6" s="1"/>
  <c r="M77" i="6" s="1"/>
  <c r="L79" i="6"/>
  <c r="L78" i="6" s="1"/>
  <c r="L77" i="6" s="1"/>
  <c r="J79" i="6"/>
  <c r="J78" i="6" s="1"/>
  <c r="J77" i="6" s="1"/>
  <c r="I79" i="6"/>
  <c r="G79" i="6"/>
  <c r="G78" i="6" s="1"/>
  <c r="G77" i="6" s="1"/>
  <c r="K78" i="6"/>
  <c r="I78" i="6"/>
  <c r="I77" i="6" s="1"/>
  <c r="H78" i="6"/>
  <c r="H77" i="6" s="1"/>
  <c r="K77" i="6"/>
  <c r="O75" i="6"/>
  <c r="N75" i="6"/>
  <c r="M75" i="6"/>
  <c r="L75" i="6"/>
  <c r="J75" i="6"/>
  <c r="I75" i="6"/>
  <c r="G75" i="6"/>
  <c r="O73" i="6"/>
  <c r="O72" i="6" s="1"/>
  <c r="N73" i="6"/>
  <c r="M73" i="6"/>
  <c r="M72" i="6" s="1"/>
  <c r="M71" i="6" s="1"/>
  <c r="L73" i="6"/>
  <c r="J73" i="6"/>
  <c r="J72" i="6" s="1"/>
  <c r="J71" i="6" s="1"/>
  <c r="I73" i="6"/>
  <c r="G73" i="6"/>
  <c r="G72" i="6" s="1"/>
  <c r="N72" i="6"/>
  <c r="N71" i="6" s="1"/>
  <c r="L72" i="6"/>
  <c r="L71" i="6" s="1"/>
  <c r="K72" i="6"/>
  <c r="H72" i="6"/>
  <c r="H71" i="6" s="1"/>
  <c r="H70" i="6" s="1"/>
  <c r="O71" i="6"/>
  <c r="K71" i="6"/>
  <c r="K70" i="6" s="1"/>
  <c r="G71" i="6"/>
  <c r="O68" i="6"/>
  <c r="O67" i="6" s="1"/>
  <c r="O66" i="6" s="1"/>
  <c r="O65" i="6" s="1"/>
  <c r="N68" i="6"/>
  <c r="N67" i="6" s="1"/>
  <c r="N66" i="6" s="1"/>
  <c r="N65" i="6" s="1"/>
  <c r="M68" i="6"/>
  <c r="M67" i="6" s="1"/>
  <c r="M66" i="6" s="1"/>
  <c r="M65" i="6" s="1"/>
  <c r="L68" i="6"/>
  <c r="L67" i="6" s="1"/>
  <c r="L66" i="6" s="1"/>
  <c r="L65" i="6" s="1"/>
  <c r="J68" i="6"/>
  <c r="J67" i="6" s="1"/>
  <c r="J66" i="6" s="1"/>
  <c r="J65" i="6" s="1"/>
  <c r="I68" i="6"/>
  <c r="G68" i="6"/>
  <c r="G67" i="6" s="1"/>
  <c r="G66" i="6" s="1"/>
  <c r="G65" i="6" s="1"/>
  <c r="K67" i="6"/>
  <c r="K66" i="6" s="1"/>
  <c r="K65" i="6" s="1"/>
  <c r="I67" i="6"/>
  <c r="I66" i="6" s="1"/>
  <c r="I65" i="6" s="1"/>
  <c r="H67" i="6"/>
  <c r="H66" i="6" s="1"/>
  <c r="H65" i="6" s="1"/>
  <c r="O63" i="6"/>
  <c r="O62" i="6" s="1"/>
  <c r="O61" i="6" s="1"/>
  <c r="O60" i="6" s="1"/>
  <c r="N63" i="6"/>
  <c r="N62" i="6" s="1"/>
  <c r="N61" i="6" s="1"/>
  <c r="N60" i="6" s="1"/>
  <c r="M63" i="6"/>
  <c r="M62" i="6" s="1"/>
  <c r="M61" i="6" s="1"/>
  <c r="M60" i="6" s="1"/>
  <c r="L63" i="6"/>
  <c r="L62" i="6" s="1"/>
  <c r="L61" i="6" s="1"/>
  <c r="L60" i="6" s="1"/>
  <c r="J63" i="6"/>
  <c r="J62" i="6" s="1"/>
  <c r="J61" i="6" s="1"/>
  <c r="J60" i="6" s="1"/>
  <c r="I63" i="6"/>
  <c r="G63" i="6"/>
  <c r="K62" i="6"/>
  <c r="I62" i="6"/>
  <c r="I61" i="6" s="1"/>
  <c r="I60" i="6" s="1"/>
  <c r="H62" i="6"/>
  <c r="H61" i="6" s="1"/>
  <c r="H60" i="6" s="1"/>
  <c r="G62" i="6"/>
  <c r="G61" i="6" s="1"/>
  <c r="G60" i="6" s="1"/>
  <c r="K61" i="6"/>
  <c r="K60" i="6" s="1"/>
  <c r="K59" i="6" s="1"/>
  <c r="O57" i="6"/>
  <c r="O56" i="6" s="1"/>
  <c r="O55" i="6" s="1"/>
  <c r="O54" i="6" s="1"/>
  <c r="N57" i="6"/>
  <c r="N56" i="6" s="1"/>
  <c r="N55" i="6" s="1"/>
  <c r="N54" i="6" s="1"/>
  <c r="M57" i="6"/>
  <c r="M56" i="6" s="1"/>
  <c r="M55" i="6" s="1"/>
  <c r="M54" i="6" s="1"/>
  <c r="L57" i="6"/>
  <c r="L56" i="6" s="1"/>
  <c r="L55" i="6" s="1"/>
  <c r="L54" i="6" s="1"/>
  <c r="J57" i="6"/>
  <c r="J56" i="6" s="1"/>
  <c r="J55" i="6" s="1"/>
  <c r="J54" i="6" s="1"/>
  <c r="I57" i="6"/>
  <c r="I56" i="6" s="1"/>
  <c r="I55" i="6" s="1"/>
  <c r="I54" i="6" s="1"/>
  <c r="G57" i="6"/>
  <c r="G56" i="6" s="1"/>
  <c r="G55" i="6" s="1"/>
  <c r="G54" i="6" s="1"/>
  <c r="K56" i="6"/>
  <c r="K55" i="6"/>
  <c r="K54" i="6"/>
  <c r="O52" i="6"/>
  <c r="O47" i="6" s="1"/>
  <c r="N52" i="6"/>
  <c r="N47" i="6" s="1"/>
  <c r="M52" i="6"/>
  <c r="L52" i="6"/>
  <c r="L47" i="6" s="1"/>
  <c r="L41" i="6" s="1"/>
  <c r="L40" i="6" s="1"/>
  <c r="J52" i="6"/>
  <c r="I52" i="6"/>
  <c r="I47" i="6" s="1"/>
  <c r="G52" i="6"/>
  <c r="G47" i="6" s="1"/>
  <c r="G41" i="6" s="1"/>
  <c r="G40" i="6" s="1"/>
  <c r="K51" i="6"/>
  <c r="K46" i="6" s="1"/>
  <c r="H51" i="6"/>
  <c r="H46" i="6" s="1"/>
  <c r="O48" i="6"/>
  <c r="N48" i="6"/>
  <c r="M48" i="6"/>
  <c r="L48" i="6"/>
  <c r="J48" i="6"/>
  <c r="I48" i="6"/>
  <c r="G48" i="6"/>
  <c r="K47" i="6"/>
  <c r="H47" i="6"/>
  <c r="O43" i="6"/>
  <c r="O42" i="6" s="1"/>
  <c r="N43" i="6"/>
  <c r="N42" i="6" s="1"/>
  <c r="M43" i="6"/>
  <c r="L43" i="6"/>
  <c r="J43" i="6"/>
  <c r="I43" i="6"/>
  <c r="G43" i="6"/>
  <c r="M42" i="6"/>
  <c r="L42" i="6"/>
  <c r="K42" i="6"/>
  <c r="J42" i="6"/>
  <c r="I42" i="6"/>
  <c r="G42" i="6"/>
  <c r="K41" i="6"/>
  <c r="H41" i="6"/>
  <c r="O38" i="6"/>
  <c r="O37" i="6" s="1"/>
  <c r="O36" i="6" s="1"/>
  <c r="O35" i="6" s="1"/>
  <c r="N38" i="6"/>
  <c r="N37" i="6" s="1"/>
  <c r="N36" i="6" s="1"/>
  <c r="N35" i="6" s="1"/>
  <c r="M38" i="6"/>
  <c r="M37" i="6" s="1"/>
  <c r="M36" i="6" s="1"/>
  <c r="M35" i="6" s="1"/>
  <c r="L38" i="6"/>
  <c r="J38" i="6"/>
  <c r="J37" i="6" s="1"/>
  <c r="J36" i="6" s="1"/>
  <c r="J35" i="6" s="1"/>
  <c r="I38" i="6"/>
  <c r="G38" i="6"/>
  <c r="L37" i="6"/>
  <c r="L36" i="6" s="1"/>
  <c r="L35" i="6" s="1"/>
  <c r="K37" i="6"/>
  <c r="K36" i="6" s="1"/>
  <c r="K35" i="6" s="1"/>
  <c r="K34" i="6" s="1"/>
  <c r="I37" i="6"/>
  <c r="I36" i="6" s="1"/>
  <c r="I35" i="6" s="1"/>
  <c r="H37" i="6"/>
  <c r="H36" i="6" s="1"/>
  <c r="H35" i="6" s="1"/>
  <c r="G37" i="6"/>
  <c r="G36" i="6" s="1"/>
  <c r="G35" i="6" s="1"/>
  <c r="O32" i="6"/>
  <c r="M32" i="6"/>
  <c r="I32" i="6"/>
  <c r="G32" i="6"/>
  <c r="O31" i="6"/>
  <c r="O30" i="6" s="1"/>
  <c r="O29" i="6" s="1"/>
  <c r="O28" i="6" s="1"/>
  <c r="N31" i="6"/>
  <c r="N30" i="6" s="1"/>
  <c r="N29" i="6" s="1"/>
  <c r="N28" i="6" s="1"/>
  <c r="M31" i="6"/>
  <c r="M30" i="6" s="1"/>
  <c r="M29" i="6" s="1"/>
  <c r="M28" i="6" s="1"/>
  <c r="L31" i="6"/>
  <c r="L30" i="6" s="1"/>
  <c r="L29" i="6" s="1"/>
  <c r="L28" i="6" s="1"/>
  <c r="J31" i="6"/>
  <c r="J30" i="6" s="1"/>
  <c r="J29" i="6" s="1"/>
  <c r="J28" i="6" s="1"/>
  <c r="I31" i="6"/>
  <c r="G31" i="6"/>
  <c r="K30" i="6"/>
  <c r="I30" i="6"/>
  <c r="I29" i="6" s="1"/>
  <c r="I28" i="6" s="1"/>
  <c r="H30" i="6"/>
  <c r="H29" i="6" s="1"/>
  <c r="H28" i="6" s="1"/>
  <c r="G30" i="6"/>
  <c r="G29" i="6" s="1"/>
  <c r="G28" i="6" s="1"/>
  <c r="G22" i="6" s="1"/>
  <c r="G21" i="6" s="1"/>
  <c r="K29" i="6"/>
  <c r="K28" i="6"/>
  <c r="O27" i="6"/>
  <c r="M27" i="6"/>
  <c r="I27" i="6"/>
  <c r="I26" i="6" s="1"/>
  <c r="I25" i="6" s="1"/>
  <c r="I24" i="6" s="1"/>
  <c r="I23" i="6" s="1"/>
  <c r="G27" i="6"/>
  <c r="O26" i="6"/>
  <c r="O25" i="6" s="1"/>
  <c r="O24" i="6" s="1"/>
  <c r="O23" i="6" s="1"/>
  <c r="N26" i="6"/>
  <c r="N25" i="6" s="1"/>
  <c r="N24" i="6" s="1"/>
  <c r="N23" i="6" s="1"/>
  <c r="M26" i="6"/>
  <c r="M25" i="6" s="1"/>
  <c r="M24" i="6" s="1"/>
  <c r="M23" i="6" s="1"/>
  <c r="L26" i="6"/>
  <c r="L25" i="6" s="1"/>
  <c r="L24" i="6" s="1"/>
  <c r="L23" i="6" s="1"/>
  <c r="J26" i="6"/>
  <c r="J25" i="6" s="1"/>
  <c r="J24" i="6" s="1"/>
  <c r="J23" i="6" s="1"/>
  <c r="G26" i="6"/>
  <c r="K25" i="6"/>
  <c r="H25" i="6"/>
  <c r="G25" i="6"/>
  <c r="K24" i="6"/>
  <c r="H24" i="6"/>
  <c r="G24" i="6"/>
  <c r="K23" i="6"/>
  <c r="H23" i="6"/>
  <c r="G23" i="6"/>
  <c r="K22" i="6"/>
  <c r="H22" i="6"/>
  <c r="K21" i="6"/>
  <c r="H21" i="6"/>
  <c r="K163" i="6" l="1"/>
  <c r="K162" i="6" s="1"/>
  <c r="I213" i="6"/>
  <c r="J164" i="6"/>
  <c r="J163" i="6" s="1"/>
  <c r="J162" i="6" s="1"/>
  <c r="L192" i="6"/>
  <c r="L191" i="6" s="1"/>
  <c r="L190" i="6" s="1"/>
  <c r="L213" i="6"/>
  <c r="O213" i="6"/>
  <c r="G199" i="6"/>
  <c r="J199" i="6"/>
  <c r="J190" i="6" s="1"/>
  <c r="J213" i="6"/>
  <c r="N260" i="6"/>
  <c r="N259" i="6" s="1"/>
  <c r="N258" i="6" s="1"/>
  <c r="H254" i="6"/>
  <c r="N254" i="6" s="1"/>
  <c r="K155" i="6"/>
  <c r="O22" i="6"/>
  <c r="O21" i="6" s="1"/>
  <c r="G140" i="6"/>
  <c r="G139" i="6" s="1"/>
  <c r="L140" i="6"/>
  <c r="L139" i="6" s="1"/>
  <c r="H164" i="6"/>
  <c r="H163" i="6" s="1"/>
  <c r="G164" i="6"/>
  <c r="G163" i="6" s="1"/>
  <c r="G162" i="6" s="1"/>
  <c r="J140" i="6"/>
  <c r="J139" i="6" s="1"/>
  <c r="M140" i="6"/>
  <c r="M139" i="6" s="1"/>
  <c r="O321" i="6"/>
  <c r="O322" i="6"/>
  <c r="N41" i="6"/>
  <c r="N40" i="6" s="1"/>
  <c r="O41" i="6"/>
  <c r="O40" i="6" s="1"/>
  <c r="M70" i="6"/>
  <c r="J22" i="6"/>
  <c r="J21" i="6" s="1"/>
  <c r="L22" i="6"/>
  <c r="L21" i="6" s="1"/>
  <c r="J70" i="6"/>
  <c r="M47" i="6"/>
  <c r="M41" i="6" s="1"/>
  <c r="M40" i="6" s="1"/>
  <c r="N22" i="6"/>
  <c r="N21" i="6" s="1"/>
  <c r="L70" i="6"/>
  <c r="N70" i="6"/>
  <c r="I22" i="6"/>
  <c r="I21" i="6" s="1"/>
  <c r="I41" i="6"/>
  <c r="I40" i="6" s="1"/>
  <c r="M22" i="6"/>
  <c r="M21" i="6" s="1"/>
  <c r="G70" i="6"/>
  <c r="K107" i="6"/>
  <c r="H40" i="6"/>
  <c r="K40" i="6"/>
  <c r="J47" i="6"/>
  <c r="J41" i="6" s="1"/>
  <c r="J40" i="6" s="1"/>
  <c r="I72" i="6"/>
  <c r="I71" i="6" s="1"/>
  <c r="I70" i="6" s="1"/>
  <c r="O70" i="6"/>
  <c r="L87" i="6"/>
  <c r="L86" i="6" s="1"/>
  <c r="G93" i="6"/>
  <c r="M93" i="6"/>
  <c r="O93" i="6"/>
  <c r="L112" i="6"/>
  <c r="L111" i="6" s="1"/>
  <c r="L110" i="6" s="1"/>
  <c r="L109" i="6" s="1"/>
  <c r="M112" i="6"/>
  <c r="M111" i="6" s="1"/>
  <c r="M110" i="6" s="1"/>
  <c r="M109" i="6" s="1"/>
  <c r="N167" i="6"/>
  <c r="L167" i="6"/>
  <c r="N166" i="6"/>
  <c r="N165" i="6" s="1"/>
  <c r="N164" i="6" s="1"/>
  <c r="N163" i="6" s="1"/>
  <c r="M192" i="6"/>
  <c r="M191" i="6" s="1"/>
  <c r="G190" i="6"/>
  <c r="N210" i="6"/>
  <c r="I236" i="6"/>
  <c r="I235" i="6" s="1"/>
  <c r="I234" i="6" s="1"/>
  <c r="M236" i="6"/>
  <c r="M235" i="6" s="1"/>
  <c r="M234" i="6" s="1"/>
  <c r="M229" i="6" s="1"/>
  <c r="M251" i="6"/>
  <c r="M250" i="6" s="1"/>
  <c r="J252" i="6"/>
  <c r="J244" i="6" s="1"/>
  <c r="J243" i="6" s="1"/>
  <c r="J242" i="6" s="1"/>
  <c r="J241" i="6" s="1"/>
  <c r="M253" i="6"/>
  <c r="M252" i="6" s="1"/>
  <c r="O265" i="6"/>
  <c r="N265" i="6"/>
  <c r="N266" i="6"/>
  <c r="I266" i="6"/>
  <c r="O266" i="6" s="1"/>
  <c r="G275" i="6"/>
  <c r="L274" i="6"/>
  <c r="L273" i="6" s="1"/>
  <c r="J316" i="6"/>
  <c r="J315" i="6" s="1"/>
  <c r="J314" i="6" s="1"/>
  <c r="J329" i="6"/>
  <c r="J328" i="6" s="1"/>
  <c r="J327" i="6" s="1"/>
  <c r="I330" i="6"/>
  <c r="N330" i="6"/>
  <c r="K329" i="6"/>
  <c r="K328" i="6" s="1"/>
  <c r="K327" i="6" s="1"/>
  <c r="L397" i="6"/>
  <c r="L396" i="6" s="1"/>
  <c r="G405" i="6"/>
  <c r="G404" i="6" s="1"/>
  <c r="M406" i="6"/>
  <c r="K395" i="6"/>
  <c r="K394" i="6" s="1"/>
  <c r="K393" i="6" s="1"/>
  <c r="K392" i="6" s="1"/>
  <c r="N430" i="6"/>
  <c r="N429" i="6" s="1"/>
  <c r="O432" i="6"/>
  <c r="O430" i="6" s="1"/>
  <c r="O429" i="6" s="1"/>
  <c r="H446" i="6"/>
  <c r="H445" i="6" s="1"/>
  <c r="H444" i="6" s="1"/>
  <c r="H443" i="6" s="1"/>
  <c r="I453" i="6"/>
  <c r="I452" i="6" s="1"/>
  <c r="I447" i="6" s="1"/>
  <c r="I446" i="6" s="1"/>
  <c r="I445" i="6" s="1"/>
  <c r="I444" i="6" s="1"/>
  <c r="I443" i="6" s="1"/>
  <c r="J443" i="6"/>
  <c r="M205" i="6"/>
  <c r="I205" i="6"/>
  <c r="O205" i="6" s="1"/>
  <c r="M204" i="6"/>
  <c r="M199" i="6" s="1"/>
  <c r="I204" i="6"/>
  <c r="I211" i="6"/>
  <c r="G210" i="6"/>
  <c r="M231" i="6"/>
  <c r="I231" i="6"/>
  <c r="G244" i="6"/>
  <c r="G243" i="6" s="1"/>
  <c r="G254" i="6"/>
  <c r="M254" i="6" s="1"/>
  <c r="M255" i="6"/>
  <c r="M323" i="6"/>
  <c r="I323" i="6"/>
  <c r="O323" i="6" s="1"/>
  <c r="M325" i="6"/>
  <c r="I325" i="6"/>
  <c r="M340" i="6"/>
  <c r="M335" i="6" s="1"/>
  <c r="O341" i="6"/>
  <c r="O340" i="6" s="1"/>
  <c r="M411" i="6"/>
  <c r="M428" i="6"/>
  <c r="M427" i="6" s="1"/>
  <c r="M426" i="6" s="1"/>
  <c r="M405" i="6"/>
  <c r="M404" i="6" s="1"/>
  <c r="M395" i="6" s="1"/>
  <c r="M394" i="6"/>
  <c r="M329" i="6"/>
  <c r="M259" i="6"/>
  <c r="M258" i="6" s="1"/>
  <c r="M165" i="6"/>
  <c r="M164" i="6" s="1"/>
  <c r="M163" i="6" s="1"/>
  <c r="M162" i="6" s="1"/>
  <c r="G395" i="6"/>
  <c r="G394" i="6" s="1"/>
  <c r="O434" i="6"/>
  <c r="O433" i="6" s="1"/>
  <c r="O428" i="6" s="1"/>
  <c r="O427" i="6" s="1"/>
  <c r="O426" i="6" s="1"/>
  <c r="I434" i="6"/>
  <c r="I433" i="6" s="1"/>
  <c r="L404" i="6"/>
  <c r="L395" i="6" s="1"/>
  <c r="L394" i="6" s="1"/>
  <c r="L393" i="6" s="1"/>
  <c r="L392" i="6" s="1"/>
  <c r="O411" i="6"/>
  <c r="N411" i="6"/>
  <c r="O412" i="6"/>
  <c r="I406" i="6"/>
  <c r="I405" i="6" s="1"/>
  <c r="I404" i="6" s="1"/>
  <c r="I395" i="6" s="1"/>
  <c r="I394" i="6" s="1"/>
  <c r="L342" i="6"/>
  <c r="O342" i="6" s="1"/>
  <c r="I336" i="6"/>
  <c r="I335" i="6" s="1"/>
  <c r="G329" i="6"/>
  <c r="G328" i="6" s="1"/>
  <c r="G327" i="6" s="1"/>
  <c r="H320" i="6"/>
  <c r="H316" i="6" s="1"/>
  <c r="H315" i="6" s="1"/>
  <c r="H314" i="6" s="1"/>
  <c r="G315" i="6"/>
  <c r="G314" i="6" s="1"/>
  <c r="H257" i="6"/>
  <c r="I257" i="6"/>
  <c r="O250" i="6"/>
  <c r="O231" i="6"/>
  <c r="H230" i="6"/>
  <c r="N199" i="6"/>
  <c r="O201" i="6"/>
  <c r="O200" i="6" s="1"/>
  <c r="H190" i="6"/>
  <c r="H189" i="6" s="1"/>
  <c r="H162" i="6"/>
  <c r="N117" i="6"/>
  <c r="I112" i="6"/>
  <c r="I111" i="6" s="1"/>
  <c r="I110" i="6" s="1"/>
  <c r="I109" i="6" s="1"/>
  <c r="G112" i="6"/>
  <c r="G111" i="6" s="1"/>
  <c r="I97" i="6"/>
  <c r="I93" i="6" s="1"/>
  <c r="H86" i="6"/>
  <c r="N97" i="6"/>
  <c r="I89" i="6"/>
  <c r="I88" i="6" s="1"/>
  <c r="N89" i="6"/>
  <c r="N88" i="6" s="1"/>
  <c r="O89" i="6"/>
  <c r="O88" i="6" s="1"/>
  <c r="O87" i="6" s="1"/>
  <c r="O86" i="6" s="1"/>
  <c r="H59" i="6"/>
  <c r="N140" i="6"/>
  <c r="N139" i="6" s="1"/>
  <c r="L59" i="6"/>
  <c r="L34" i="6" s="1"/>
  <c r="O107" i="6"/>
  <c r="O106" i="6" s="1"/>
  <c r="O105" i="6" s="1"/>
  <c r="O104" i="6" s="1"/>
  <c r="I106" i="6"/>
  <c r="I105" i="6" s="1"/>
  <c r="I104" i="6" s="1"/>
  <c r="G87" i="6"/>
  <c r="G86" i="6" s="1"/>
  <c r="G59" i="6" s="1"/>
  <c r="G34" i="6" s="1"/>
  <c r="J86" i="6"/>
  <c r="M87" i="6"/>
  <c r="M86" i="6" s="1"/>
  <c r="H113" i="6"/>
  <c r="H112" i="6" s="1"/>
  <c r="H111" i="6" s="1"/>
  <c r="H110" i="6" s="1"/>
  <c r="N115" i="6"/>
  <c r="O133" i="6"/>
  <c r="O132" i="6" s="1"/>
  <c r="O131" i="6" s="1"/>
  <c r="O140" i="6"/>
  <c r="O139" i="6" s="1"/>
  <c r="I142" i="6"/>
  <c r="I141" i="6" s="1"/>
  <c r="I140" i="6" s="1"/>
  <c r="I139" i="6" s="1"/>
  <c r="O178" i="6"/>
  <c r="O177" i="6" s="1"/>
  <c r="O176" i="6" s="1"/>
  <c r="N213" i="6"/>
  <c r="N93" i="6"/>
  <c r="J112" i="6"/>
  <c r="J111" i="6" s="1"/>
  <c r="J110" i="6" s="1"/>
  <c r="J109" i="6" s="1"/>
  <c r="J108" i="6" s="1"/>
  <c r="N193" i="6"/>
  <c r="O191" i="6" s="1"/>
  <c r="G213" i="6"/>
  <c r="M213" i="6"/>
  <c r="N236" i="6"/>
  <c r="N235" i="6" s="1"/>
  <c r="N234" i="6" s="1"/>
  <c r="N179" i="6"/>
  <c r="N178" i="6" s="1"/>
  <c r="N177" i="6" s="1"/>
  <c r="N176" i="6" s="1"/>
  <c r="O239" i="6"/>
  <c r="O236" i="6" s="1"/>
  <c r="O235" i="6" s="1"/>
  <c r="O234" i="6" s="1"/>
  <c r="O260" i="6"/>
  <c r="O259" i="6" s="1"/>
  <c r="O258" i="6" s="1"/>
  <c r="O257" i="6" s="1"/>
  <c r="I303" i="6"/>
  <c r="H303" i="6"/>
  <c r="O170" i="6"/>
  <c r="O169" i="6" s="1"/>
  <c r="I169" i="6"/>
  <c r="O211" i="6"/>
  <c r="J228" i="6"/>
  <c r="N282" i="6"/>
  <c r="O282" i="6"/>
  <c r="O304" i="6"/>
  <c r="O303" i="6" s="1"/>
  <c r="O245" i="6"/>
  <c r="N245" i="6"/>
  <c r="N244" i="6" s="1"/>
  <c r="N243" i="6" s="1"/>
  <c r="I245" i="6"/>
  <c r="I244" i="6" s="1"/>
  <c r="I243" i="6" s="1"/>
  <c r="L263" i="6"/>
  <c r="L259" i="6" s="1"/>
  <c r="L258" i="6" s="1"/>
  <c r="L257" i="6" s="1"/>
  <c r="L241" i="6" s="1"/>
  <c r="N279" i="6"/>
  <c r="N288" i="6"/>
  <c r="O288" i="6" s="1"/>
  <c r="N305" i="6"/>
  <c r="N304" i="6" s="1"/>
  <c r="N303" i="6" s="1"/>
  <c r="O309" i="6"/>
  <c r="O310" i="6"/>
  <c r="O311" i="6"/>
  <c r="N321" i="6"/>
  <c r="N320" i="6" s="1"/>
  <c r="N316" i="6" s="1"/>
  <c r="N315" i="6" s="1"/>
  <c r="N314" i="6" s="1"/>
  <c r="O326" i="6"/>
  <c r="L375" i="6"/>
  <c r="L374" i="6" s="1"/>
  <c r="I255" i="6"/>
  <c r="H282" i="6"/>
  <c r="H274" i="6" s="1"/>
  <c r="H273" i="6" s="1"/>
  <c r="H272" i="6" s="1"/>
  <c r="I282" i="6"/>
  <c r="N349" i="6"/>
  <c r="N340" i="6"/>
  <c r="N428" i="6"/>
  <c r="N427" i="6" s="1"/>
  <c r="N426" i="6" s="1"/>
  <c r="N338" i="6"/>
  <c r="O399" i="6"/>
  <c r="O398" i="6" s="1"/>
  <c r="O397" i="6" s="1"/>
  <c r="O396" i="6" s="1"/>
  <c r="N408" i="6"/>
  <c r="H428" i="6"/>
  <c r="H427" i="6" s="1"/>
  <c r="H426" i="6" s="1"/>
  <c r="N413" i="6"/>
  <c r="O413" i="6"/>
  <c r="H336" i="6"/>
  <c r="H335" i="6" s="1"/>
  <c r="H329" i="6" s="1"/>
  <c r="H328" i="6" s="1"/>
  <c r="H327" i="6" s="1"/>
  <c r="H406" i="6"/>
  <c r="H405" i="6" s="1"/>
  <c r="H404" i="6" s="1"/>
  <c r="J428" i="6"/>
  <c r="J427" i="6" s="1"/>
  <c r="J426" i="6" s="1"/>
  <c r="J393" i="6" s="1"/>
  <c r="J392" i="6" s="1"/>
  <c r="I430" i="6"/>
  <c r="I429" i="6" s="1"/>
  <c r="I428" i="6" s="1"/>
  <c r="I427" i="6" s="1"/>
  <c r="I426" i="6" s="1"/>
  <c r="G434" i="6"/>
  <c r="G433" i="6" s="1"/>
  <c r="G428" i="6" s="1"/>
  <c r="G427" i="6" s="1"/>
  <c r="G426" i="6" s="1"/>
  <c r="G447" i="6"/>
  <c r="G446" i="6" s="1"/>
  <c r="G445" i="6" s="1"/>
  <c r="G444" i="6" s="1"/>
  <c r="G443" i="6" s="1"/>
  <c r="M447" i="6"/>
  <c r="M446" i="6" s="1"/>
  <c r="M445" i="6" s="1"/>
  <c r="M444" i="6" s="1"/>
  <c r="M443" i="6" s="1"/>
  <c r="N298" i="5"/>
  <c r="N299" i="5"/>
  <c r="I298" i="5"/>
  <c r="O298" i="5" s="1"/>
  <c r="I299" i="5"/>
  <c r="O299" i="5" s="1"/>
  <c r="N162" i="6" l="1"/>
  <c r="L189" i="6"/>
  <c r="M59" i="6"/>
  <c r="M34" i="6" s="1"/>
  <c r="M190" i="6"/>
  <c r="L108" i="6"/>
  <c r="H242" i="6"/>
  <c r="H241" i="6" s="1"/>
  <c r="J189" i="6"/>
  <c r="J155" i="6" s="1"/>
  <c r="N242" i="6"/>
  <c r="N241" i="6" s="1"/>
  <c r="N257" i="6"/>
  <c r="H109" i="6"/>
  <c r="N109" i="6" s="1"/>
  <c r="M108" i="6"/>
  <c r="I108" i="6"/>
  <c r="J59" i="6"/>
  <c r="J34" i="6" s="1"/>
  <c r="H34" i="6"/>
  <c r="N87" i="6"/>
  <c r="N86" i="6" s="1"/>
  <c r="N59" i="6" s="1"/>
  <c r="N34" i="6" s="1"/>
  <c r="I274" i="6"/>
  <c r="I273" i="6" s="1"/>
  <c r="I272" i="6" s="1"/>
  <c r="O275" i="6"/>
  <c r="O59" i="6"/>
  <c r="O34" i="6" s="1"/>
  <c r="M316" i="6"/>
  <c r="M315" i="6" s="1"/>
  <c r="M314" i="6" s="1"/>
  <c r="G242" i="6"/>
  <c r="G241" i="6" s="1"/>
  <c r="G228" i="6" s="1"/>
  <c r="M210" i="6"/>
  <c r="I210" i="6"/>
  <c r="O210" i="6" s="1"/>
  <c r="O204" i="6"/>
  <c r="O199" i="6" s="1"/>
  <c r="I199" i="6"/>
  <c r="I190" i="6" s="1"/>
  <c r="I189" i="6" s="1"/>
  <c r="M275" i="6"/>
  <c r="M274" i="6" s="1"/>
  <c r="M273" i="6" s="1"/>
  <c r="M272" i="6" s="1"/>
  <c r="G274" i="6"/>
  <c r="G273" i="6" s="1"/>
  <c r="G272" i="6" s="1"/>
  <c r="M244" i="6"/>
  <c r="M243" i="6" s="1"/>
  <c r="M242" i="6" s="1"/>
  <c r="G189" i="6"/>
  <c r="L166" i="6"/>
  <c r="L165" i="6" s="1"/>
  <c r="L164" i="6" s="1"/>
  <c r="L163" i="6" s="1"/>
  <c r="L162" i="6" s="1"/>
  <c r="L155" i="6" s="1"/>
  <c r="O167" i="6"/>
  <c r="O166" i="6" s="1"/>
  <c r="O165" i="6" s="1"/>
  <c r="O164" i="6" s="1"/>
  <c r="O163" i="6" s="1"/>
  <c r="O162" i="6" s="1"/>
  <c r="M393" i="6"/>
  <c r="M392" i="6" s="1"/>
  <c r="M328" i="6"/>
  <c r="M327" i="6" s="1"/>
  <c r="M257" i="6"/>
  <c r="M241" i="6" s="1"/>
  <c r="M228" i="6" s="1"/>
  <c r="I329" i="6"/>
  <c r="I328" i="6" s="1"/>
  <c r="I327" i="6" s="1"/>
  <c r="G393" i="6"/>
  <c r="G392" i="6" s="1"/>
  <c r="G110" i="6"/>
  <c r="G109" i="6" s="1"/>
  <c r="G108" i="6" s="1"/>
  <c r="I393" i="6"/>
  <c r="I392" i="6" s="1"/>
  <c r="L329" i="6"/>
  <c r="L328" i="6" s="1"/>
  <c r="L327" i="6" s="1"/>
  <c r="O244" i="6"/>
  <c r="O243" i="6" s="1"/>
  <c r="N230" i="6"/>
  <c r="N229" i="6" s="1"/>
  <c r="H229" i="6"/>
  <c r="H155" i="6"/>
  <c r="O190" i="6"/>
  <c r="G155" i="6"/>
  <c r="I87" i="6"/>
  <c r="I86" i="6" s="1"/>
  <c r="I59" i="6" s="1"/>
  <c r="I34" i="6" s="1"/>
  <c r="I254" i="6"/>
  <c r="O254" i="6" s="1"/>
  <c r="O255" i="6"/>
  <c r="I320" i="6"/>
  <c r="I316" i="6" s="1"/>
  <c r="I315" i="6" s="1"/>
  <c r="I314" i="6" s="1"/>
  <c r="O325" i="6"/>
  <c r="O320" i="6" s="1"/>
  <c r="O316" i="6" s="1"/>
  <c r="O315" i="6" s="1"/>
  <c r="O314" i="6" s="1"/>
  <c r="N191" i="6"/>
  <c r="N190" i="6" s="1"/>
  <c r="N113" i="6"/>
  <c r="N112" i="6" s="1"/>
  <c r="N111" i="6" s="1"/>
  <c r="N110" i="6" s="1"/>
  <c r="O336" i="6"/>
  <c r="O335" i="6" s="1"/>
  <c r="O329" i="6" s="1"/>
  <c r="O328" i="6" s="1"/>
  <c r="O327" i="6" s="1"/>
  <c r="N336" i="6"/>
  <c r="N335" i="6" s="1"/>
  <c r="N329" i="6" s="1"/>
  <c r="N328" i="6" s="1"/>
  <c r="N327" i="6" s="1"/>
  <c r="H395" i="6"/>
  <c r="H394" i="6" s="1"/>
  <c r="H393" i="6" s="1"/>
  <c r="H392" i="6" s="1"/>
  <c r="O112" i="6"/>
  <c r="O111" i="6" s="1"/>
  <c r="O110" i="6" s="1"/>
  <c r="O109" i="6" s="1"/>
  <c r="O406" i="6"/>
  <c r="O405" i="6" s="1"/>
  <c r="O404" i="6" s="1"/>
  <c r="O395" i="6" s="1"/>
  <c r="O394" i="6" s="1"/>
  <c r="O393" i="6" s="1"/>
  <c r="O392" i="6" s="1"/>
  <c r="N406" i="6"/>
  <c r="N278" i="6"/>
  <c r="N274" i="6" s="1"/>
  <c r="O278" i="6"/>
  <c r="I166" i="6"/>
  <c r="I165" i="6" s="1"/>
  <c r="I164" i="6" s="1"/>
  <c r="I163" i="6" s="1"/>
  <c r="I162" i="6" s="1"/>
  <c r="N314" i="5"/>
  <c r="N315" i="5"/>
  <c r="I314" i="5"/>
  <c r="O314" i="5" s="1"/>
  <c r="I315" i="5"/>
  <c r="O315" i="5" s="1"/>
  <c r="H317" i="5"/>
  <c r="N273" i="6" l="1"/>
  <c r="N272" i="6" s="1"/>
  <c r="O274" i="6"/>
  <c r="O273" i="6" s="1"/>
  <c r="O272" i="6" s="1"/>
  <c r="O189" i="6"/>
  <c r="M189" i="6"/>
  <c r="M155" i="6" s="1"/>
  <c r="J33" i="6"/>
  <c r="J20" i="6" s="1"/>
  <c r="H228" i="6"/>
  <c r="H33" i="6" s="1"/>
  <c r="N108" i="6"/>
  <c r="H108" i="6"/>
  <c r="O108" i="6"/>
  <c r="O155" i="6"/>
  <c r="N189" i="6"/>
  <c r="N155" i="6" s="1"/>
  <c r="I155" i="6"/>
  <c r="O242" i="6"/>
  <c r="O241" i="6" s="1"/>
  <c r="M33" i="6"/>
  <c r="M20" i="6" s="1"/>
  <c r="G33" i="6"/>
  <c r="G20" i="6" s="1"/>
  <c r="I242" i="6"/>
  <c r="I241" i="6" s="1"/>
  <c r="N228" i="6"/>
  <c r="O230" i="6"/>
  <c r="O229" i="6" s="1"/>
  <c r="I229" i="6"/>
  <c r="N405" i="6"/>
  <c r="N404" i="6" s="1"/>
  <c r="N395" i="6"/>
  <c r="N394" i="6" s="1"/>
  <c r="N393" i="6" s="1"/>
  <c r="N392" i="6" s="1"/>
  <c r="I242" i="5"/>
  <c r="N242" i="5"/>
  <c r="O242" i="5" s="1"/>
  <c r="H241" i="5"/>
  <c r="H240" i="5" s="1"/>
  <c r="I228" i="6" l="1"/>
  <c r="I33" i="6" s="1"/>
  <c r="I20" i="6" s="1"/>
  <c r="O228" i="6"/>
  <c r="O33" i="6" s="1"/>
  <c r="O20" i="6" s="1"/>
  <c r="N166" i="5"/>
  <c r="N165" i="5" s="1"/>
  <c r="L166" i="5"/>
  <c r="L165" i="5"/>
  <c r="K163" i="5"/>
  <c r="K165" i="5"/>
  <c r="J165" i="5"/>
  <c r="I166" i="5"/>
  <c r="I165" i="5"/>
  <c r="H165" i="5"/>
  <c r="G165" i="5"/>
  <c r="O166" i="5" l="1"/>
  <c r="O165" i="5" s="1"/>
  <c r="M166" i="5"/>
  <c r="M165" i="5" s="1"/>
  <c r="N423" i="5"/>
  <c r="H421" i="5"/>
  <c r="H399" i="5"/>
  <c r="N334" i="5"/>
  <c r="K333" i="5"/>
  <c r="N333" i="5" s="1"/>
  <c r="L334" i="5"/>
  <c r="O334" i="5" l="1"/>
  <c r="L333" i="5"/>
  <c r="O333" i="5" s="1"/>
  <c r="H405" i="5"/>
  <c r="H403" i="5" l="1"/>
  <c r="N332" i="5"/>
  <c r="O332" i="5" s="1"/>
  <c r="I332" i="5"/>
  <c r="H329" i="5"/>
  <c r="N405" i="5" l="1"/>
  <c r="O405" i="5" s="1"/>
  <c r="I405" i="5"/>
  <c r="H404" i="5"/>
  <c r="H425" i="5" l="1"/>
  <c r="H424" i="5" s="1"/>
  <c r="N427" i="5"/>
  <c r="O427" i="5" s="1"/>
  <c r="I427" i="5"/>
  <c r="H397" i="5"/>
  <c r="N399" i="5"/>
  <c r="O399" i="5" s="1"/>
  <c r="I399" i="5"/>
  <c r="H115" i="5"/>
  <c r="N284" i="5" l="1"/>
  <c r="O284" i="5" s="1"/>
  <c r="I284" i="5"/>
  <c r="H283" i="5"/>
  <c r="H278" i="5"/>
  <c r="H163" i="5"/>
  <c r="H164" i="5"/>
  <c r="N246" i="5"/>
  <c r="H113" i="5" l="1"/>
  <c r="I246" i="5" l="1"/>
  <c r="H245" i="5"/>
  <c r="H118" i="5"/>
  <c r="H117" i="5" s="1"/>
  <c r="H112" i="5" s="1"/>
  <c r="H239" i="5" l="1"/>
  <c r="I118" i="5"/>
  <c r="H111" i="5"/>
  <c r="N118" i="5"/>
  <c r="O118" i="5" s="1"/>
  <c r="I403" i="5"/>
  <c r="N403" i="5"/>
  <c r="H257" i="5"/>
  <c r="N227" i="5"/>
  <c r="I227" i="5"/>
  <c r="O227" i="5" s="1"/>
  <c r="H226" i="5"/>
  <c r="N226" i="5" s="1"/>
  <c r="H402" i="5"/>
  <c r="H235" i="5"/>
  <c r="N140" i="5"/>
  <c r="O140" i="5" s="1"/>
  <c r="I140" i="5"/>
  <c r="H139" i="5"/>
  <c r="I426" i="5"/>
  <c r="N426" i="5"/>
  <c r="O426" i="5" s="1"/>
  <c r="I328" i="5"/>
  <c r="N328" i="5"/>
  <c r="O328" i="5" s="1"/>
  <c r="I114" i="5"/>
  <c r="I115" i="5"/>
  <c r="N115" i="5"/>
  <c r="O115" i="5" s="1"/>
  <c r="N114" i="5"/>
  <c r="O114" i="5" s="1"/>
  <c r="I107" i="5"/>
  <c r="N90" i="5"/>
  <c r="O90" i="5" s="1"/>
  <c r="I90" i="5"/>
  <c r="N98" i="5"/>
  <c r="O98" i="5" s="1"/>
  <c r="I98" i="5"/>
  <c r="H97" i="5"/>
  <c r="H93" i="5" s="1"/>
  <c r="N279" i="5"/>
  <c r="N280" i="5"/>
  <c r="I279" i="5"/>
  <c r="O279" i="5" s="1"/>
  <c r="I280" i="5"/>
  <c r="O280" i="5" s="1"/>
  <c r="H272" i="5"/>
  <c r="I226" i="5" l="1"/>
  <c r="O226" i="5" s="1"/>
  <c r="I402" i="5"/>
  <c r="H396" i="5"/>
  <c r="H225" i="5"/>
  <c r="N225" i="5" s="1"/>
  <c r="H107" i="5"/>
  <c r="N198" i="5"/>
  <c r="O198" i="5" s="1"/>
  <c r="H196" i="5"/>
  <c r="I198" i="5"/>
  <c r="N199" i="5"/>
  <c r="N200" i="5"/>
  <c r="I199" i="5"/>
  <c r="O199" i="5" s="1"/>
  <c r="I200" i="5"/>
  <c r="O200" i="5" s="1"/>
  <c r="I201" i="5"/>
  <c r="O201" i="5" s="1"/>
  <c r="N201" i="5"/>
  <c r="I225" i="5" l="1"/>
  <c r="O225" i="5" s="1"/>
  <c r="N272" i="5"/>
  <c r="I297" i="5"/>
  <c r="N262" i="5"/>
  <c r="I262" i="5"/>
  <c r="O262" i="5" s="1"/>
  <c r="H260" i="5"/>
  <c r="N260" i="5" s="1"/>
  <c r="H261" i="5"/>
  <c r="I261" i="5" s="1"/>
  <c r="O261" i="5" s="1"/>
  <c r="H130" i="5"/>
  <c r="I91" i="5"/>
  <c r="N91" i="5"/>
  <c r="O91" i="5" s="1"/>
  <c r="I260" i="5" l="1"/>
  <c r="O260" i="5" s="1"/>
  <c r="N261" i="5"/>
  <c r="L274" i="5"/>
  <c r="K273" i="5"/>
  <c r="H274" i="5"/>
  <c r="N274" i="5" s="1"/>
  <c r="N241" i="5"/>
  <c r="L241" i="5"/>
  <c r="O241" i="5" l="1"/>
  <c r="O240" i="5" s="1"/>
  <c r="N240" i="5"/>
  <c r="N288" i="5"/>
  <c r="N297" i="5"/>
  <c r="O297" i="5" s="1"/>
  <c r="H296" i="5"/>
  <c r="H295" i="5" s="1"/>
  <c r="O274" i="5"/>
  <c r="I274" i="5"/>
  <c r="H273" i="5"/>
  <c r="N130" i="5"/>
  <c r="O130" i="5" s="1"/>
  <c r="I130" i="5"/>
  <c r="H129" i="5"/>
  <c r="N176" i="5"/>
  <c r="O176" i="5" s="1"/>
  <c r="H190" i="5"/>
  <c r="O272" i="5" l="1"/>
  <c r="H271" i="5"/>
  <c r="O107" i="5"/>
  <c r="N107" i="5"/>
  <c r="H106" i="5"/>
  <c r="N256" i="5"/>
  <c r="O256" i="5" s="1"/>
  <c r="N257" i="5"/>
  <c r="O257" i="5" s="1"/>
  <c r="I256" i="5"/>
  <c r="I257" i="5"/>
  <c r="H255" i="5"/>
  <c r="H254" i="5" s="1"/>
  <c r="H253" i="5" s="1"/>
  <c r="H252" i="5" s="1"/>
  <c r="N235" i="5"/>
  <c r="O235" i="5" s="1"/>
  <c r="I235" i="5"/>
  <c r="H234" i="5"/>
  <c r="H231" i="5" s="1"/>
  <c r="I272" i="5"/>
  <c r="N390" i="5"/>
  <c r="H389" i="5"/>
  <c r="N190" i="5"/>
  <c r="O190" i="5" s="1"/>
  <c r="I190" i="5"/>
  <c r="H189" i="5"/>
  <c r="I189" i="5" s="1"/>
  <c r="L403" i="5"/>
  <c r="O403" i="5" s="1"/>
  <c r="K402" i="5"/>
  <c r="L163" i="5"/>
  <c r="N303" i="5"/>
  <c r="I303" i="5"/>
  <c r="O303" i="5" s="1"/>
  <c r="H301" i="5"/>
  <c r="N301" i="5" s="1"/>
  <c r="H302" i="5"/>
  <c r="N302" i="5" s="1"/>
  <c r="I313" i="5"/>
  <c r="N313" i="5"/>
  <c r="O313" i="5" s="1"/>
  <c r="H312" i="5"/>
  <c r="N278" i="5"/>
  <c r="O278" i="5" s="1"/>
  <c r="I278" i="5"/>
  <c r="H277" i="5"/>
  <c r="I176" i="5"/>
  <c r="H175" i="5"/>
  <c r="H162" i="5"/>
  <c r="H161" i="5" s="1"/>
  <c r="N164" i="5"/>
  <c r="I329" i="5"/>
  <c r="H327" i="5"/>
  <c r="H326" i="5" s="1"/>
  <c r="N329" i="5"/>
  <c r="O329" i="5" s="1"/>
  <c r="L329" i="5"/>
  <c r="K327" i="5"/>
  <c r="K326" i="5" s="1"/>
  <c r="I288" i="5"/>
  <c r="H287" i="5"/>
  <c r="H270" i="5" l="1"/>
  <c r="H269" i="5" s="1"/>
  <c r="H300" i="5"/>
  <c r="N300" i="5" s="1"/>
  <c r="K396" i="5"/>
  <c r="N402" i="5"/>
  <c r="I301" i="5"/>
  <c r="O301" i="5" s="1"/>
  <c r="L164" i="5"/>
  <c r="L402" i="5"/>
  <c r="O402" i="5" s="1"/>
  <c r="I302" i="5"/>
  <c r="O302" i="5" s="1"/>
  <c r="H188" i="5"/>
  <c r="N189" i="5"/>
  <c r="H156" i="5"/>
  <c r="I300" i="5" l="1"/>
  <c r="O300" i="5" s="1"/>
  <c r="O189" i="5"/>
  <c r="N207" i="5"/>
  <c r="I207" i="5"/>
  <c r="O207" i="5" s="1"/>
  <c r="H206" i="5"/>
  <c r="I206" i="5" s="1"/>
  <c r="O206" i="5" s="1"/>
  <c r="N317" i="5"/>
  <c r="I317" i="5"/>
  <c r="O317" i="5" s="1"/>
  <c r="H316" i="5"/>
  <c r="O178" i="5"/>
  <c r="N178" i="5"/>
  <c r="I177" i="5"/>
  <c r="H177" i="5"/>
  <c r="H174" i="5" s="1"/>
  <c r="H311" i="5" l="1"/>
  <c r="H307" i="5" s="1"/>
  <c r="H205" i="5"/>
  <c r="I205" i="5" s="1"/>
  <c r="O205" i="5" s="1"/>
  <c r="N206" i="5"/>
  <c r="N205" i="5"/>
  <c r="N316" i="5"/>
  <c r="I316" i="5"/>
  <c r="O316" i="5" s="1"/>
  <c r="N177" i="5"/>
  <c r="O177" i="5"/>
  <c r="N163" i="5"/>
  <c r="I241" i="5" l="1"/>
  <c r="I240" i="5" s="1"/>
  <c r="N251" i="5"/>
  <c r="H250" i="5"/>
  <c r="H249" i="5" s="1"/>
  <c r="N249" i="5" s="1"/>
  <c r="I251" i="5"/>
  <c r="O251" i="5" l="1"/>
  <c r="I250" i="5"/>
  <c r="I249" i="5" s="1"/>
  <c r="O249" i="5" s="1"/>
  <c r="O250" i="5"/>
  <c r="N250" i="5"/>
  <c r="K240" i="5"/>
  <c r="K239" i="5" s="1"/>
  <c r="K238" i="5" s="1"/>
  <c r="K237" i="5" s="1"/>
  <c r="K236" i="5" s="1"/>
  <c r="K162" i="5"/>
  <c r="I163" i="5"/>
  <c r="O163" i="5" s="1"/>
  <c r="I164" i="5"/>
  <c r="O164" i="5" s="1"/>
  <c r="O162" i="5" s="1"/>
  <c r="O452" i="5"/>
  <c r="O451" i="5" s="1"/>
  <c r="O450" i="5" s="1"/>
  <c r="O449" i="5" s="1"/>
  <c r="O448" i="5" s="1"/>
  <c r="O447" i="5" s="1"/>
  <c r="N452" i="5"/>
  <c r="N451" i="5" s="1"/>
  <c r="N450" i="5" s="1"/>
  <c r="N449" i="5" s="1"/>
  <c r="N448" i="5" s="1"/>
  <c r="N447" i="5" s="1"/>
  <c r="M452" i="5"/>
  <c r="L452" i="5"/>
  <c r="L451" i="5" s="1"/>
  <c r="L450" i="5" s="1"/>
  <c r="L449" i="5" s="1"/>
  <c r="L448" i="5" s="1"/>
  <c r="L447" i="5" s="1"/>
  <c r="J452" i="5"/>
  <c r="J451" i="5" s="1"/>
  <c r="J450" i="5" s="1"/>
  <c r="J449" i="5" s="1"/>
  <c r="J448" i="5" s="1"/>
  <c r="J447" i="5" s="1"/>
  <c r="I452" i="5"/>
  <c r="I451" i="5" s="1"/>
  <c r="I450" i="5" s="1"/>
  <c r="I449" i="5" s="1"/>
  <c r="I448" i="5" s="1"/>
  <c r="I447" i="5" s="1"/>
  <c r="G452" i="5"/>
  <c r="M451" i="5"/>
  <c r="M450" i="5" s="1"/>
  <c r="M449" i="5" s="1"/>
  <c r="M448" i="5" s="1"/>
  <c r="M447" i="5" s="1"/>
  <c r="K451" i="5"/>
  <c r="K450" i="5" s="1"/>
  <c r="K449" i="5" s="1"/>
  <c r="K448" i="5" s="1"/>
  <c r="K447" i="5" s="1"/>
  <c r="K446" i="5" s="1"/>
  <c r="H451" i="5"/>
  <c r="G451" i="5"/>
  <c r="G450" i="5" s="1"/>
  <c r="G449" i="5" s="1"/>
  <c r="G448" i="5" s="1"/>
  <c r="G447" i="5" s="1"/>
  <c r="H450" i="5"/>
  <c r="H449" i="5" s="1"/>
  <c r="H448" i="5" s="1"/>
  <c r="H447" i="5" s="1"/>
  <c r="H446" i="5" s="1"/>
  <c r="O446" i="5"/>
  <c r="M446" i="5"/>
  <c r="I446" i="5"/>
  <c r="G446" i="5"/>
  <c r="O445" i="5"/>
  <c r="M445" i="5"/>
  <c r="I445" i="5"/>
  <c r="I444" i="5" s="1"/>
  <c r="I443" i="5" s="1"/>
  <c r="G445" i="5"/>
  <c r="G444" i="5" s="1"/>
  <c r="G443" i="5" s="1"/>
  <c r="N444" i="5"/>
  <c r="N443" i="5" s="1"/>
  <c r="M444" i="5"/>
  <c r="M443" i="5" s="1"/>
  <c r="L444" i="5"/>
  <c r="L443" i="5" s="1"/>
  <c r="J444" i="5"/>
  <c r="J443" i="5" s="1"/>
  <c r="K443" i="5"/>
  <c r="K442" i="5" s="1"/>
  <c r="H443" i="5"/>
  <c r="H442" i="5" s="1"/>
  <c r="O440" i="5"/>
  <c r="O439" i="5" s="1"/>
  <c r="N440" i="5"/>
  <c r="N439" i="5" s="1"/>
  <c r="N438" i="5" s="1"/>
  <c r="N437" i="5" s="1"/>
  <c r="N436" i="5" s="1"/>
  <c r="N435" i="5" s="1"/>
  <c r="M440" i="5"/>
  <c r="M439" i="5" s="1"/>
  <c r="L440" i="5"/>
  <c r="L439" i="5" s="1"/>
  <c r="J440" i="5"/>
  <c r="J439" i="5" s="1"/>
  <c r="I440" i="5"/>
  <c r="I439" i="5" s="1"/>
  <c r="G440" i="5"/>
  <c r="G439" i="5" s="1"/>
  <c r="K438" i="5"/>
  <c r="H438" i="5"/>
  <c r="O433" i="5"/>
  <c r="M433" i="5"/>
  <c r="I433" i="5"/>
  <c r="G433" i="5"/>
  <c r="O432" i="5"/>
  <c r="M432" i="5"/>
  <c r="M431" i="5" s="1"/>
  <c r="M430" i="5" s="1"/>
  <c r="M429" i="5" s="1"/>
  <c r="I432" i="5"/>
  <c r="I431" i="5" s="1"/>
  <c r="I430" i="5" s="1"/>
  <c r="I429" i="5" s="1"/>
  <c r="G432" i="5"/>
  <c r="O431" i="5"/>
  <c r="O430" i="5" s="1"/>
  <c r="O429" i="5" s="1"/>
  <c r="N431" i="5"/>
  <c r="N430" i="5" s="1"/>
  <c r="N429" i="5" s="1"/>
  <c r="L431" i="5"/>
  <c r="L430" i="5" s="1"/>
  <c r="L429" i="5" s="1"/>
  <c r="J431" i="5"/>
  <c r="J430" i="5" s="1"/>
  <c r="J429" i="5" s="1"/>
  <c r="G431" i="5"/>
  <c r="G430" i="5" s="1"/>
  <c r="G429" i="5" s="1"/>
  <c r="K430" i="5"/>
  <c r="K429" i="5" s="1"/>
  <c r="H430" i="5"/>
  <c r="H429" i="5" s="1"/>
  <c r="O428" i="5"/>
  <c r="O425" i="5" s="1"/>
  <c r="O424" i="5" s="1"/>
  <c r="M428" i="5"/>
  <c r="I428" i="5"/>
  <c r="G428" i="5"/>
  <c r="M427" i="5"/>
  <c r="I425" i="5"/>
  <c r="I424" i="5" s="1"/>
  <c r="G427" i="5"/>
  <c r="M426" i="5"/>
  <c r="G426" i="5"/>
  <c r="N425" i="5"/>
  <c r="N424" i="5" s="1"/>
  <c r="L425" i="5"/>
  <c r="L424" i="5" s="1"/>
  <c r="J425" i="5"/>
  <c r="J424" i="5" s="1"/>
  <c r="K424" i="5"/>
  <c r="M423" i="5"/>
  <c r="O423" i="5" s="1"/>
  <c r="G423" i="5"/>
  <c r="I423" i="5" s="1"/>
  <c r="O422" i="5"/>
  <c r="M422" i="5"/>
  <c r="M421" i="5" s="1"/>
  <c r="M420" i="5" s="1"/>
  <c r="I422" i="5"/>
  <c r="I421" i="5" s="1"/>
  <c r="I420" i="5" s="1"/>
  <c r="G422" i="5"/>
  <c r="G421" i="5" s="1"/>
  <c r="G420" i="5" s="1"/>
  <c r="O421" i="5"/>
  <c r="O420" i="5" s="1"/>
  <c r="N421" i="5"/>
  <c r="N420" i="5" s="1"/>
  <c r="L421" i="5"/>
  <c r="L420" i="5" s="1"/>
  <c r="J421" i="5"/>
  <c r="J420" i="5" s="1"/>
  <c r="K420" i="5"/>
  <c r="K419" i="5" s="1"/>
  <c r="K418" i="5" s="1"/>
  <c r="K417" i="5" s="1"/>
  <c r="H420" i="5"/>
  <c r="O416" i="5"/>
  <c r="M416" i="5"/>
  <c r="M415" i="5" s="1"/>
  <c r="M414" i="5" s="1"/>
  <c r="M413" i="5" s="1"/>
  <c r="M412" i="5" s="1"/>
  <c r="M411" i="5" s="1"/>
  <c r="I416" i="5"/>
  <c r="I415" i="5" s="1"/>
  <c r="I414" i="5" s="1"/>
  <c r="I413" i="5" s="1"/>
  <c r="I412" i="5" s="1"/>
  <c r="I411" i="5" s="1"/>
  <c r="G416" i="5"/>
  <c r="G415" i="5" s="1"/>
  <c r="G414" i="5" s="1"/>
  <c r="G413" i="5" s="1"/>
  <c r="G412" i="5" s="1"/>
  <c r="G411" i="5" s="1"/>
  <c r="O415" i="5"/>
  <c r="O414" i="5" s="1"/>
  <c r="O413" i="5" s="1"/>
  <c r="O412" i="5" s="1"/>
  <c r="O411" i="5" s="1"/>
  <c r="N415" i="5"/>
  <c r="N414" i="5" s="1"/>
  <c r="N413" i="5" s="1"/>
  <c r="N412" i="5" s="1"/>
  <c r="N411" i="5" s="1"/>
  <c r="L415" i="5"/>
  <c r="L414" i="5" s="1"/>
  <c r="L413" i="5" s="1"/>
  <c r="L412" i="5" s="1"/>
  <c r="L411" i="5" s="1"/>
  <c r="J415" i="5"/>
  <c r="J414" i="5" s="1"/>
  <c r="J413" i="5" s="1"/>
  <c r="J412" i="5" s="1"/>
  <c r="J411" i="5" s="1"/>
  <c r="K414" i="5"/>
  <c r="K413" i="5" s="1"/>
  <c r="K412" i="5" s="1"/>
  <c r="K411" i="5" s="1"/>
  <c r="H414" i="5"/>
  <c r="H413" i="5" s="1"/>
  <c r="H412" i="5" s="1"/>
  <c r="H411" i="5" s="1"/>
  <c r="O410" i="5"/>
  <c r="M410" i="5"/>
  <c r="O409" i="5"/>
  <c r="M409" i="5"/>
  <c r="O408" i="5"/>
  <c r="M408" i="5"/>
  <c r="O407" i="5"/>
  <c r="O406" i="5" s="1"/>
  <c r="M407" i="5"/>
  <c r="M406" i="5" s="1"/>
  <c r="N406" i="5"/>
  <c r="L406" i="5"/>
  <c r="J406" i="5"/>
  <c r="I406" i="5"/>
  <c r="G406" i="5"/>
  <c r="M405" i="5"/>
  <c r="M404" i="5" s="1"/>
  <c r="I404" i="5"/>
  <c r="G405" i="5"/>
  <c r="G404" i="5" s="1"/>
  <c r="O404" i="5"/>
  <c r="N404" i="5"/>
  <c r="L404" i="5"/>
  <c r="J404" i="5"/>
  <c r="O401" i="5"/>
  <c r="M401" i="5"/>
  <c r="I401" i="5"/>
  <c r="G401" i="5"/>
  <c r="O400" i="5"/>
  <c r="M400" i="5"/>
  <c r="I400" i="5"/>
  <c r="G400" i="5"/>
  <c r="M399" i="5"/>
  <c r="G399" i="5"/>
  <c r="O398" i="5"/>
  <c r="M398" i="5"/>
  <c r="I398" i="5"/>
  <c r="G398" i="5"/>
  <c r="N397" i="5"/>
  <c r="L397" i="5"/>
  <c r="J397" i="5"/>
  <c r="G397" i="5"/>
  <c r="H395" i="5"/>
  <c r="K395" i="5"/>
  <c r="O393" i="5"/>
  <c r="N393" i="5"/>
  <c r="M393" i="5"/>
  <c r="L393" i="5"/>
  <c r="J393" i="5"/>
  <c r="I393" i="5"/>
  <c r="G393" i="5"/>
  <c r="O392" i="5"/>
  <c r="M392" i="5"/>
  <c r="M391" i="5" s="1"/>
  <c r="I392" i="5"/>
  <c r="I391" i="5" s="1"/>
  <c r="G392" i="5"/>
  <c r="G391" i="5" s="1"/>
  <c r="O391" i="5"/>
  <c r="N391" i="5"/>
  <c r="L391" i="5"/>
  <c r="J391" i="5"/>
  <c r="M390" i="5"/>
  <c r="G390" i="5"/>
  <c r="I390" i="5" s="1"/>
  <c r="I389" i="5" s="1"/>
  <c r="N389" i="5"/>
  <c r="L389" i="5"/>
  <c r="L388" i="5" s="1"/>
  <c r="L387" i="5" s="1"/>
  <c r="J389" i="5"/>
  <c r="K388" i="5"/>
  <c r="K387" i="5" s="1"/>
  <c r="O382" i="5"/>
  <c r="M382" i="5"/>
  <c r="M381" i="5" s="1"/>
  <c r="M380" i="5" s="1"/>
  <c r="M379" i="5" s="1"/>
  <c r="M378" i="5" s="1"/>
  <c r="M377" i="5" s="1"/>
  <c r="M376" i="5" s="1"/>
  <c r="I382" i="5"/>
  <c r="I381" i="5" s="1"/>
  <c r="I380" i="5" s="1"/>
  <c r="I379" i="5" s="1"/>
  <c r="I378" i="5" s="1"/>
  <c r="I377" i="5" s="1"/>
  <c r="I376" i="5" s="1"/>
  <c r="G382" i="5"/>
  <c r="G381" i="5" s="1"/>
  <c r="G380" i="5" s="1"/>
  <c r="G379" i="5" s="1"/>
  <c r="G378" i="5" s="1"/>
  <c r="G377" i="5" s="1"/>
  <c r="G376" i="5" s="1"/>
  <c r="O381" i="5"/>
  <c r="O380" i="5" s="1"/>
  <c r="N381" i="5"/>
  <c r="N380" i="5" s="1"/>
  <c r="N379" i="5" s="1"/>
  <c r="N378" i="5" s="1"/>
  <c r="N377" i="5" s="1"/>
  <c r="N376" i="5" s="1"/>
  <c r="L381" i="5"/>
  <c r="L380" i="5" s="1"/>
  <c r="L379" i="5" s="1"/>
  <c r="L378" i="5" s="1"/>
  <c r="L377" i="5" s="1"/>
  <c r="L376" i="5" s="1"/>
  <c r="J381" i="5"/>
  <c r="J380" i="5" s="1"/>
  <c r="J379" i="5" s="1"/>
  <c r="J378" i="5" s="1"/>
  <c r="J377" i="5" s="1"/>
  <c r="J376" i="5" s="1"/>
  <c r="K380" i="5"/>
  <c r="K379" i="5" s="1"/>
  <c r="K378" i="5" s="1"/>
  <c r="K377" i="5" s="1"/>
  <c r="K376" i="5" s="1"/>
  <c r="K375" i="5" s="1"/>
  <c r="H380" i="5"/>
  <c r="H379" i="5" s="1"/>
  <c r="H378" i="5" s="1"/>
  <c r="H377" i="5" s="1"/>
  <c r="H376" i="5" s="1"/>
  <c r="H375" i="5" s="1"/>
  <c r="O379" i="5"/>
  <c r="O378" i="5" s="1"/>
  <c r="O377" i="5" s="1"/>
  <c r="O376" i="5" s="1"/>
  <c r="O374" i="5"/>
  <c r="O373" i="5" s="1"/>
  <c r="O372" i="5" s="1"/>
  <c r="N374" i="5"/>
  <c r="N373" i="5" s="1"/>
  <c r="N372" i="5" s="1"/>
  <c r="M374" i="5"/>
  <c r="M373" i="5" s="1"/>
  <c r="M372" i="5" s="1"/>
  <c r="L374" i="5"/>
  <c r="L373" i="5" s="1"/>
  <c r="L372" i="5" s="1"/>
  <c r="J374" i="5"/>
  <c r="J373" i="5" s="1"/>
  <c r="J372" i="5" s="1"/>
  <c r="I374" i="5"/>
  <c r="I373" i="5" s="1"/>
  <c r="I372" i="5" s="1"/>
  <c r="G374" i="5"/>
  <c r="G373" i="5" s="1"/>
  <c r="G372" i="5" s="1"/>
  <c r="K373" i="5"/>
  <c r="K372" i="5" s="1"/>
  <c r="H373" i="5"/>
  <c r="H372" i="5" s="1"/>
  <c r="O369" i="5"/>
  <c r="O368" i="5" s="1"/>
  <c r="O367" i="5" s="1"/>
  <c r="O366" i="5" s="1"/>
  <c r="O365" i="5" s="1"/>
  <c r="N369" i="5"/>
  <c r="N368" i="5" s="1"/>
  <c r="N367" i="5" s="1"/>
  <c r="M369" i="5"/>
  <c r="M368" i="5" s="1"/>
  <c r="M367" i="5" s="1"/>
  <c r="L369" i="5"/>
  <c r="L368" i="5" s="1"/>
  <c r="L367" i="5" s="1"/>
  <c r="J369" i="5"/>
  <c r="J368" i="5" s="1"/>
  <c r="J367" i="5" s="1"/>
  <c r="I369" i="5"/>
  <c r="I368" i="5" s="1"/>
  <c r="I367" i="5" s="1"/>
  <c r="G369" i="5"/>
  <c r="G368" i="5" s="1"/>
  <c r="G367" i="5" s="1"/>
  <c r="K368" i="5"/>
  <c r="K367" i="5" s="1"/>
  <c r="K366" i="5" s="1"/>
  <c r="K365" i="5" s="1"/>
  <c r="H368" i="5"/>
  <c r="H367" i="5" s="1"/>
  <c r="H366" i="5" s="1"/>
  <c r="H365" i="5" s="1"/>
  <c r="O363" i="5"/>
  <c r="O362" i="5" s="1"/>
  <c r="O361" i="5" s="1"/>
  <c r="O360" i="5" s="1"/>
  <c r="O359" i="5" s="1"/>
  <c r="N363" i="5"/>
  <c r="N362" i="5" s="1"/>
  <c r="N361" i="5" s="1"/>
  <c r="N360" i="5" s="1"/>
  <c r="N359" i="5" s="1"/>
  <c r="M363" i="5"/>
  <c r="M362" i="5" s="1"/>
  <c r="M361" i="5" s="1"/>
  <c r="M360" i="5" s="1"/>
  <c r="M359" i="5" s="1"/>
  <c r="L363" i="5"/>
  <c r="L362" i="5" s="1"/>
  <c r="L361" i="5" s="1"/>
  <c r="L360" i="5" s="1"/>
  <c r="L359" i="5" s="1"/>
  <c r="J363" i="5"/>
  <c r="J362" i="5" s="1"/>
  <c r="J361" i="5" s="1"/>
  <c r="J360" i="5" s="1"/>
  <c r="J359" i="5" s="1"/>
  <c r="I363" i="5"/>
  <c r="I362" i="5" s="1"/>
  <c r="I361" i="5" s="1"/>
  <c r="I360" i="5" s="1"/>
  <c r="I359" i="5" s="1"/>
  <c r="G363" i="5"/>
  <c r="G362" i="5" s="1"/>
  <c r="G361" i="5" s="1"/>
  <c r="G360" i="5" s="1"/>
  <c r="G359" i="5" s="1"/>
  <c r="K362" i="5"/>
  <c r="K361" i="5" s="1"/>
  <c r="K360" i="5" s="1"/>
  <c r="K359" i="5" s="1"/>
  <c r="H362" i="5"/>
  <c r="H361" i="5" s="1"/>
  <c r="H360" i="5" s="1"/>
  <c r="H359" i="5" s="1"/>
  <c r="O358" i="5"/>
  <c r="O357" i="5" s="1"/>
  <c r="O356" i="5" s="1"/>
  <c r="O355" i="5" s="1"/>
  <c r="O354" i="5" s="1"/>
  <c r="O353" i="5" s="1"/>
  <c r="M358" i="5"/>
  <c r="M357" i="5" s="1"/>
  <c r="M356" i="5" s="1"/>
  <c r="M355" i="5" s="1"/>
  <c r="M354" i="5" s="1"/>
  <c r="M353" i="5" s="1"/>
  <c r="N357" i="5"/>
  <c r="N356" i="5" s="1"/>
  <c r="N355" i="5" s="1"/>
  <c r="N354" i="5" s="1"/>
  <c r="N353" i="5" s="1"/>
  <c r="L357" i="5"/>
  <c r="L356" i="5" s="1"/>
  <c r="L355" i="5" s="1"/>
  <c r="L354" i="5" s="1"/>
  <c r="L353" i="5" s="1"/>
  <c r="J357" i="5"/>
  <c r="J356" i="5" s="1"/>
  <c r="J355" i="5" s="1"/>
  <c r="J354" i="5" s="1"/>
  <c r="J353" i="5" s="1"/>
  <c r="I357" i="5"/>
  <c r="I356" i="5" s="1"/>
  <c r="I355" i="5" s="1"/>
  <c r="I354" i="5" s="1"/>
  <c r="I353" i="5" s="1"/>
  <c r="G357" i="5"/>
  <c r="G356" i="5" s="1"/>
  <c r="G355" i="5" s="1"/>
  <c r="G354" i="5" s="1"/>
  <c r="G353" i="5" s="1"/>
  <c r="K356" i="5"/>
  <c r="K355" i="5" s="1"/>
  <c r="K354" i="5" s="1"/>
  <c r="K353" i="5" s="1"/>
  <c r="H356" i="5"/>
  <c r="H355" i="5" s="1"/>
  <c r="H354" i="5" s="1"/>
  <c r="H353" i="5" s="1"/>
  <c r="O351" i="5"/>
  <c r="O350" i="5" s="1"/>
  <c r="O349" i="5" s="1"/>
  <c r="O348" i="5" s="1"/>
  <c r="O347" i="5" s="1"/>
  <c r="N351" i="5"/>
  <c r="N350" i="5" s="1"/>
  <c r="N349" i="5" s="1"/>
  <c r="N348" i="5" s="1"/>
  <c r="N347" i="5" s="1"/>
  <c r="M351" i="5"/>
  <c r="M350" i="5" s="1"/>
  <c r="M349" i="5" s="1"/>
  <c r="M348" i="5" s="1"/>
  <c r="M347" i="5" s="1"/>
  <c r="L351" i="5"/>
  <c r="L350" i="5" s="1"/>
  <c r="L349" i="5" s="1"/>
  <c r="L348" i="5" s="1"/>
  <c r="L347" i="5" s="1"/>
  <c r="J351" i="5"/>
  <c r="I351" i="5"/>
  <c r="I350" i="5" s="1"/>
  <c r="I349" i="5" s="1"/>
  <c r="I348" i="5" s="1"/>
  <c r="I347" i="5" s="1"/>
  <c r="G351" i="5"/>
  <c r="G350" i="5" s="1"/>
  <c r="G349" i="5" s="1"/>
  <c r="G348" i="5" s="1"/>
  <c r="G347" i="5" s="1"/>
  <c r="K350" i="5"/>
  <c r="K349" i="5" s="1"/>
  <c r="K348" i="5" s="1"/>
  <c r="K347" i="5" s="1"/>
  <c r="J350" i="5"/>
  <c r="J349" i="5" s="1"/>
  <c r="J348" i="5" s="1"/>
  <c r="J347" i="5" s="1"/>
  <c r="H350" i="5"/>
  <c r="H349" i="5" s="1"/>
  <c r="H348" i="5" s="1"/>
  <c r="H347" i="5" s="1"/>
  <c r="O345" i="5"/>
  <c r="O344" i="5" s="1"/>
  <c r="O343" i="5" s="1"/>
  <c r="O342" i="5" s="1"/>
  <c r="O341" i="5" s="1"/>
  <c r="N345" i="5"/>
  <c r="N344" i="5" s="1"/>
  <c r="N343" i="5" s="1"/>
  <c r="N342" i="5" s="1"/>
  <c r="N341" i="5" s="1"/>
  <c r="M345" i="5"/>
  <c r="M344" i="5" s="1"/>
  <c r="M343" i="5" s="1"/>
  <c r="M342" i="5" s="1"/>
  <c r="M341" i="5" s="1"/>
  <c r="L345" i="5"/>
  <c r="L344" i="5" s="1"/>
  <c r="L343" i="5" s="1"/>
  <c r="L342" i="5" s="1"/>
  <c r="L341" i="5" s="1"/>
  <c r="J345" i="5"/>
  <c r="J344" i="5" s="1"/>
  <c r="J343" i="5" s="1"/>
  <c r="J342" i="5" s="1"/>
  <c r="J341" i="5" s="1"/>
  <c r="I345" i="5"/>
  <c r="I344" i="5" s="1"/>
  <c r="G345" i="5"/>
  <c r="G344" i="5" s="1"/>
  <c r="G343" i="5" s="1"/>
  <c r="G342" i="5" s="1"/>
  <c r="G341" i="5" s="1"/>
  <c r="K344" i="5"/>
  <c r="K343" i="5" s="1"/>
  <c r="H344" i="5"/>
  <c r="H343" i="5" s="1"/>
  <c r="H342" i="5" s="1"/>
  <c r="H341" i="5" s="1"/>
  <c r="H340" i="5" s="1"/>
  <c r="I343" i="5"/>
  <c r="I342" i="5" s="1"/>
  <c r="I341" i="5" s="1"/>
  <c r="K342" i="5"/>
  <c r="K341" i="5" s="1"/>
  <c r="K340" i="5" s="1"/>
  <c r="O338" i="5"/>
  <c r="O337" i="5" s="1"/>
  <c r="O336" i="5" s="1"/>
  <c r="O335" i="5" s="1"/>
  <c r="N338" i="5"/>
  <c r="N337" i="5" s="1"/>
  <c r="N336" i="5" s="1"/>
  <c r="N335" i="5" s="1"/>
  <c r="M338" i="5"/>
  <c r="M337" i="5" s="1"/>
  <c r="M336" i="5" s="1"/>
  <c r="M335" i="5" s="1"/>
  <c r="L338" i="5"/>
  <c r="L337" i="5" s="1"/>
  <c r="L336" i="5" s="1"/>
  <c r="L335" i="5" s="1"/>
  <c r="J338" i="5"/>
  <c r="J337" i="5" s="1"/>
  <c r="J336" i="5" s="1"/>
  <c r="J335" i="5" s="1"/>
  <c r="I338" i="5"/>
  <c r="I337" i="5" s="1"/>
  <c r="G338" i="5"/>
  <c r="G337" i="5" s="1"/>
  <c r="G336" i="5" s="1"/>
  <c r="G335" i="5" s="1"/>
  <c r="K337" i="5"/>
  <c r="K336" i="5" s="1"/>
  <c r="K335" i="5" s="1"/>
  <c r="H337" i="5"/>
  <c r="H336" i="5" s="1"/>
  <c r="H335" i="5" s="1"/>
  <c r="I336" i="5"/>
  <c r="I335" i="5" s="1"/>
  <c r="O331" i="5"/>
  <c r="N331" i="5"/>
  <c r="M331" i="5"/>
  <c r="L331" i="5"/>
  <c r="J331" i="5"/>
  <c r="I331" i="5"/>
  <c r="G331" i="5"/>
  <c r="O327" i="5"/>
  <c r="N327" i="5"/>
  <c r="M327" i="5"/>
  <c r="M326" i="5" s="1"/>
  <c r="L327" i="5"/>
  <c r="J327" i="5"/>
  <c r="I327" i="5"/>
  <c r="G327" i="5"/>
  <c r="O324" i="5"/>
  <c r="N324" i="5"/>
  <c r="M324" i="5"/>
  <c r="L324" i="5"/>
  <c r="J324" i="5"/>
  <c r="I324" i="5"/>
  <c r="G324" i="5"/>
  <c r="O322" i="5"/>
  <c r="N322" i="5"/>
  <c r="M322" i="5"/>
  <c r="L322" i="5"/>
  <c r="J322" i="5"/>
  <c r="I322" i="5"/>
  <c r="G322" i="5"/>
  <c r="K321" i="5"/>
  <c r="H321" i="5"/>
  <c r="H320" i="5" s="1"/>
  <c r="O312" i="5"/>
  <c r="O311" i="5" s="1"/>
  <c r="N312" i="5"/>
  <c r="N311" i="5" s="1"/>
  <c r="M312" i="5"/>
  <c r="M311" i="5" s="1"/>
  <c r="L312" i="5"/>
  <c r="L311" i="5" s="1"/>
  <c r="J312" i="5"/>
  <c r="J311" i="5" s="1"/>
  <c r="I312" i="5"/>
  <c r="I311" i="5" s="1"/>
  <c r="G312" i="5"/>
  <c r="G311" i="5" s="1"/>
  <c r="K311" i="5"/>
  <c r="O309" i="5"/>
  <c r="O308" i="5" s="1"/>
  <c r="N309" i="5"/>
  <c r="N308" i="5" s="1"/>
  <c r="M309" i="5"/>
  <c r="M308" i="5" s="1"/>
  <c r="L309" i="5"/>
  <c r="L308" i="5" s="1"/>
  <c r="J309" i="5"/>
  <c r="J308" i="5" s="1"/>
  <c r="I309" i="5"/>
  <c r="I308" i="5" s="1"/>
  <c r="G309" i="5"/>
  <c r="G308" i="5" s="1"/>
  <c r="K308" i="5"/>
  <c r="K307" i="5" s="1"/>
  <c r="K306" i="5" s="1"/>
  <c r="K305" i="5" s="1"/>
  <c r="H308" i="5"/>
  <c r="H306" i="5"/>
  <c r="H305" i="5" s="1"/>
  <c r="O296" i="5"/>
  <c r="N296" i="5"/>
  <c r="M296" i="5"/>
  <c r="M295" i="5" s="1"/>
  <c r="M294" i="5" s="1"/>
  <c r="L296" i="5"/>
  <c r="L295" i="5" s="1"/>
  <c r="L294" i="5" s="1"/>
  <c r="J296" i="5"/>
  <c r="J295" i="5" s="1"/>
  <c r="J294" i="5" s="1"/>
  <c r="I296" i="5"/>
  <c r="G296" i="5"/>
  <c r="K295" i="5"/>
  <c r="K294" i="5" s="1"/>
  <c r="H294" i="5"/>
  <c r="G295" i="5"/>
  <c r="G294" i="5" s="1"/>
  <c r="O292" i="5"/>
  <c r="O291" i="5" s="1"/>
  <c r="O290" i="5" s="1"/>
  <c r="O289" i="5" s="1"/>
  <c r="N292" i="5"/>
  <c r="N291" i="5" s="1"/>
  <c r="N290" i="5" s="1"/>
  <c r="O288" i="5" s="1"/>
  <c r="O287" i="5" s="1"/>
  <c r="O286" i="5" s="1"/>
  <c r="O285" i="5" s="1"/>
  <c r="M292" i="5"/>
  <c r="M291" i="5" s="1"/>
  <c r="M290" i="5" s="1"/>
  <c r="M289" i="5" s="1"/>
  <c r="L292" i="5"/>
  <c r="L291" i="5" s="1"/>
  <c r="L290" i="5" s="1"/>
  <c r="L289" i="5" s="1"/>
  <c r="J292" i="5"/>
  <c r="J291" i="5" s="1"/>
  <c r="J290" i="5" s="1"/>
  <c r="J289" i="5" s="1"/>
  <c r="I292" i="5"/>
  <c r="G292" i="5"/>
  <c r="K291" i="5"/>
  <c r="K290" i="5" s="1"/>
  <c r="K289" i="5" s="1"/>
  <c r="I291" i="5"/>
  <c r="I290" i="5" s="1"/>
  <c r="I289" i="5" s="1"/>
  <c r="H291" i="5"/>
  <c r="H290" i="5" s="1"/>
  <c r="G291" i="5"/>
  <c r="G290" i="5" s="1"/>
  <c r="G289" i="5" s="1"/>
  <c r="M287" i="5"/>
  <c r="M286" i="5" s="1"/>
  <c r="M285" i="5" s="1"/>
  <c r="L287" i="5"/>
  <c r="J287" i="5"/>
  <c r="J286" i="5" s="1"/>
  <c r="J285" i="5" s="1"/>
  <c r="I287" i="5"/>
  <c r="I286" i="5" s="1"/>
  <c r="I285" i="5" s="1"/>
  <c r="G287" i="5"/>
  <c r="G286" i="5" s="1"/>
  <c r="G285" i="5" s="1"/>
  <c r="L286" i="5"/>
  <c r="L285" i="5" s="1"/>
  <c r="K286" i="5"/>
  <c r="K285" i="5" s="1"/>
  <c r="H286" i="5"/>
  <c r="H285" i="5" s="1"/>
  <c r="M284" i="5"/>
  <c r="I283" i="5"/>
  <c r="G284" i="5"/>
  <c r="N283" i="5"/>
  <c r="M283" i="5"/>
  <c r="L283" i="5"/>
  <c r="J283" i="5"/>
  <c r="G283" i="5"/>
  <c r="O281" i="5"/>
  <c r="N281" i="5"/>
  <c r="M281" i="5"/>
  <c r="L281" i="5"/>
  <c r="J281" i="5"/>
  <c r="I281" i="5"/>
  <c r="G281" i="5"/>
  <c r="O277" i="5"/>
  <c r="N277" i="5"/>
  <c r="M277" i="5"/>
  <c r="L277" i="5"/>
  <c r="J277" i="5"/>
  <c r="I277" i="5"/>
  <c r="G277" i="5"/>
  <c r="O275" i="5"/>
  <c r="N275" i="5"/>
  <c r="M275" i="5"/>
  <c r="L275" i="5"/>
  <c r="J275" i="5"/>
  <c r="I275" i="5"/>
  <c r="G275" i="5"/>
  <c r="O273" i="5"/>
  <c r="N273" i="5"/>
  <c r="M273" i="5"/>
  <c r="L273" i="5"/>
  <c r="J273" i="5"/>
  <c r="I273" i="5"/>
  <c r="G273" i="5"/>
  <c r="O271" i="5"/>
  <c r="N271" i="5"/>
  <c r="M271" i="5"/>
  <c r="L271" i="5"/>
  <c r="J271" i="5"/>
  <c r="I271" i="5"/>
  <c r="G271" i="5"/>
  <c r="K270" i="5"/>
  <c r="K269" i="5" s="1"/>
  <c r="K268" i="5" s="1"/>
  <c r="K267" i="5" s="1"/>
  <c r="L258" i="5"/>
  <c r="J259" i="5"/>
  <c r="M259" i="5" s="1"/>
  <c r="I259" i="5"/>
  <c r="I258" i="5" s="1"/>
  <c r="G259" i="5"/>
  <c r="G258" i="5" s="1"/>
  <c r="N258" i="5"/>
  <c r="M258" i="5"/>
  <c r="N255" i="5"/>
  <c r="N254" i="5" s="1"/>
  <c r="N253" i="5" s="1"/>
  <c r="M257" i="5"/>
  <c r="M255" i="5" s="1"/>
  <c r="I255" i="5"/>
  <c r="I254" i="5" s="1"/>
  <c r="I253" i="5" s="1"/>
  <c r="I252" i="5" s="1"/>
  <c r="G257" i="5"/>
  <c r="G255" i="5" s="1"/>
  <c r="K256" i="5"/>
  <c r="K254" i="5" s="1"/>
  <c r="K253" i="5" s="1"/>
  <c r="K252" i="5" s="1"/>
  <c r="O255" i="5"/>
  <c r="L255" i="5"/>
  <c r="L254" i="5" s="1"/>
  <c r="L253" i="5" s="1"/>
  <c r="L252" i="5" s="1"/>
  <c r="J255" i="5"/>
  <c r="L248" i="5"/>
  <c r="L247" i="5" s="1"/>
  <c r="J248" i="5"/>
  <c r="M248" i="5" s="1"/>
  <c r="M247" i="5" s="1"/>
  <c r="N247" i="5"/>
  <c r="I247" i="5"/>
  <c r="G247" i="5"/>
  <c r="L246" i="5"/>
  <c r="J246" i="5"/>
  <c r="N245" i="5"/>
  <c r="I245" i="5"/>
  <c r="G245" i="5"/>
  <c r="O244" i="5"/>
  <c r="O243" i="5" s="1"/>
  <c r="M244" i="5"/>
  <c r="M243" i="5" s="1"/>
  <c r="N243" i="5"/>
  <c r="L243" i="5"/>
  <c r="J243" i="5"/>
  <c r="I243" i="5"/>
  <c r="G243" i="5"/>
  <c r="M240" i="5"/>
  <c r="L240" i="5"/>
  <c r="J240" i="5"/>
  <c r="G240" i="5"/>
  <c r="H238" i="5"/>
  <c r="H237" i="5" s="1"/>
  <c r="H236" i="5" s="1"/>
  <c r="M235" i="5"/>
  <c r="M234" i="5" s="1"/>
  <c r="I234" i="5"/>
  <c r="G235" i="5"/>
  <c r="G234" i="5" s="1"/>
  <c r="O234" i="5"/>
  <c r="N234" i="5"/>
  <c r="L234" i="5"/>
  <c r="J234" i="5"/>
  <c r="O232" i="5"/>
  <c r="N232" i="5"/>
  <c r="M232" i="5"/>
  <c r="L232" i="5"/>
  <c r="J232" i="5"/>
  <c r="I232" i="5"/>
  <c r="G232" i="5"/>
  <c r="K231" i="5"/>
  <c r="K230" i="5" s="1"/>
  <c r="K229" i="5" s="1"/>
  <c r="K224" i="5" s="1"/>
  <c r="H230" i="5"/>
  <c r="H229" i="5" s="1"/>
  <c r="H224" i="5" s="1"/>
  <c r="O221" i="5"/>
  <c r="O220" i="5" s="1"/>
  <c r="O219" i="5" s="1"/>
  <c r="N221" i="5"/>
  <c r="N220" i="5" s="1"/>
  <c r="N219" i="5" s="1"/>
  <c r="M221" i="5"/>
  <c r="M220" i="5" s="1"/>
  <c r="M219" i="5" s="1"/>
  <c r="L221" i="5"/>
  <c r="L220" i="5" s="1"/>
  <c r="L219" i="5" s="1"/>
  <c r="J221" i="5"/>
  <c r="I221" i="5"/>
  <c r="I220" i="5" s="1"/>
  <c r="I219" i="5" s="1"/>
  <c r="G221" i="5"/>
  <c r="K220" i="5"/>
  <c r="K219" i="5" s="1"/>
  <c r="J220" i="5"/>
  <c r="J219" i="5" s="1"/>
  <c r="H220" i="5"/>
  <c r="H219" i="5" s="1"/>
  <c r="G220" i="5"/>
  <c r="G219" i="5" s="1"/>
  <c r="O216" i="5"/>
  <c r="O215" i="5" s="1"/>
  <c r="O214" i="5" s="1"/>
  <c r="N216" i="5"/>
  <c r="N215" i="5" s="1"/>
  <c r="N214" i="5" s="1"/>
  <c r="M216" i="5"/>
  <c r="M215" i="5" s="1"/>
  <c r="M214" i="5" s="1"/>
  <c r="L216" i="5"/>
  <c r="L215" i="5" s="1"/>
  <c r="L214" i="5" s="1"/>
  <c r="J216" i="5"/>
  <c r="J215" i="5" s="1"/>
  <c r="J214" i="5" s="1"/>
  <c r="I216" i="5"/>
  <c r="I215" i="5" s="1"/>
  <c r="I214" i="5" s="1"/>
  <c r="G216" i="5"/>
  <c r="G215" i="5" s="1"/>
  <c r="G214" i="5" s="1"/>
  <c r="K215" i="5"/>
  <c r="H215" i="5"/>
  <c r="H214" i="5" s="1"/>
  <c r="K214" i="5"/>
  <c r="O211" i="5"/>
  <c r="N211" i="5"/>
  <c r="N210" i="5" s="1"/>
  <c r="N209" i="5" s="1"/>
  <c r="M211" i="5"/>
  <c r="M210" i="5" s="1"/>
  <c r="M209" i="5" s="1"/>
  <c r="L211" i="5"/>
  <c r="L210" i="5" s="1"/>
  <c r="L209" i="5" s="1"/>
  <c r="J211" i="5"/>
  <c r="J210" i="5" s="1"/>
  <c r="J209" i="5" s="1"/>
  <c r="I211" i="5"/>
  <c r="I210" i="5" s="1"/>
  <c r="I209" i="5" s="1"/>
  <c r="G211" i="5"/>
  <c r="G210" i="5" s="1"/>
  <c r="G209" i="5" s="1"/>
  <c r="O210" i="5"/>
  <c r="O209" i="5" s="1"/>
  <c r="K210" i="5"/>
  <c r="K209" i="5" s="1"/>
  <c r="K208" i="5" s="1"/>
  <c r="H210" i="5"/>
  <c r="H209" i="5" s="1"/>
  <c r="H208" i="5" s="1"/>
  <c r="O203" i="5"/>
  <c r="O202" i="5" s="1"/>
  <c r="N203" i="5"/>
  <c r="N202" i="5" s="1"/>
  <c r="M203" i="5"/>
  <c r="M202" i="5" s="1"/>
  <c r="L203" i="5"/>
  <c r="L202" i="5" s="1"/>
  <c r="J203" i="5"/>
  <c r="J202" i="5" s="1"/>
  <c r="I203" i="5"/>
  <c r="I202" i="5" s="1"/>
  <c r="G203" i="5"/>
  <c r="G202" i="5" s="1"/>
  <c r="K202" i="5"/>
  <c r="H202" i="5"/>
  <c r="O196" i="5"/>
  <c r="O195" i="5" s="1"/>
  <c r="N196" i="5"/>
  <c r="N195" i="5" s="1"/>
  <c r="N194" i="5" s="1"/>
  <c r="M196" i="5"/>
  <c r="M195" i="5" s="1"/>
  <c r="L196" i="5"/>
  <c r="L195" i="5" s="1"/>
  <c r="J196" i="5"/>
  <c r="J195" i="5" s="1"/>
  <c r="I196" i="5"/>
  <c r="G196" i="5"/>
  <c r="G195" i="5" s="1"/>
  <c r="K195" i="5"/>
  <c r="K194" i="5" s="1"/>
  <c r="I195" i="5"/>
  <c r="H195" i="5"/>
  <c r="H194" i="5" s="1"/>
  <c r="O193" i="5"/>
  <c r="O192" i="5" s="1"/>
  <c r="M193" i="5"/>
  <c r="M192" i="5" s="1"/>
  <c r="M188" i="5" s="1"/>
  <c r="M187" i="5" s="1"/>
  <c r="N192" i="5"/>
  <c r="L192" i="5"/>
  <c r="L188" i="5" s="1"/>
  <c r="L187" i="5" s="1"/>
  <c r="J192" i="5"/>
  <c r="J188" i="5" s="1"/>
  <c r="J187" i="5" s="1"/>
  <c r="I192" i="5"/>
  <c r="I188" i="5" s="1"/>
  <c r="I187" i="5" s="1"/>
  <c r="G192" i="5"/>
  <c r="G188" i="5" s="1"/>
  <c r="G187" i="5" s="1"/>
  <c r="K188" i="5"/>
  <c r="K187" i="5" s="1"/>
  <c r="K186" i="5" s="1"/>
  <c r="K185" i="5" s="1"/>
  <c r="H187" i="5"/>
  <c r="O183" i="5"/>
  <c r="O182" i="5" s="1"/>
  <c r="O181" i="5" s="1"/>
  <c r="O180" i="5" s="1"/>
  <c r="O179" i="5" s="1"/>
  <c r="N183" i="5"/>
  <c r="N182" i="5" s="1"/>
  <c r="N181" i="5" s="1"/>
  <c r="N180" i="5" s="1"/>
  <c r="N179" i="5" s="1"/>
  <c r="M183" i="5"/>
  <c r="M182" i="5" s="1"/>
  <c r="M181" i="5" s="1"/>
  <c r="M180" i="5" s="1"/>
  <c r="M179" i="5" s="1"/>
  <c r="L183" i="5"/>
  <c r="L182" i="5" s="1"/>
  <c r="L181" i="5" s="1"/>
  <c r="L180" i="5" s="1"/>
  <c r="L179" i="5" s="1"/>
  <c r="J183" i="5"/>
  <c r="J182" i="5" s="1"/>
  <c r="J181" i="5" s="1"/>
  <c r="J180" i="5" s="1"/>
  <c r="J179" i="5" s="1"/>
  <c r="I183" i="5"/>
  <c r="I182" i="5" s="1"/>
  <c r="I181" i="5" s="1"/>
  <c r="I180" i="5" s="1"/>
  <c r="I179" i="5" s="1"/>
  <c r="G183" i="5"/>
  <c r="G182" i="5" s="1"/>
  <c r="G181" i="5" s="1"/>
  <c r="G180" i="5" s="1"/>
  <c r="G179" i="5" s="1"/>
  <c r="K182" i="5"/>
  <c r="K181" i="5" s="1"/>
  <c r="K180" i="5" s="1"/>
  <c r="K179" i="5" s="1"/>
  <c r="H182" i="5"/>
  <c r="H181" i="5" s="1"/>
  <c r="H180" i="5" s="1"/>
  <c r="H179" i="5" s="1"/>
  <c r="O175" i="5"/>
  <c r="N175" i="5"/>
  <c r="M175" i="5"/>
  <c r="M174" i="5" s="1"/>
  <c r="M173" i="5" s="1"/>
  <c r="M172" i="5" s="1"/>
  <c r="L175" i="5"/>
  <c r="L174" i="5" s="1"/>
  <c r="L173" i="5" s="1"/>
  <c r="L172" i="5" s="1"/>
  <c r="J175" i="5"/>
  <c r="J174" i="5" s="1"/>
  <c r="J173" i="5" s="1"/>
  <c r="J172" i="5" s="1"/>
  <c r="I175" i="5"/>
  <c r="G175" i="5"/>
  <c r="G174" i="5" s="1"/>
  <c r="G173" i="5" s="1"/>
  <c r="G172" i="5" s="1"/>
  <c r="K174" i="5"/>
  <c r="K173" i="5" s="1"/>
  <c r="K172" i="5" s="1"/>
  <c r="H173" i="5"/>
  <c r="H172" i="5" s="1"/>
  <c r="O171" i="5"/>
  <c r="M171" i="5"/>
  <c r="M170" i="5" s="1"/>
  <c r="M169" i="5" s="1"/>
  <c r="I171" i="5"/>
  <c r="I170" i="5" s="1"/>
  <c r="I169" i="5" s="1"/>
  <c r="G171" i="5"/>
  <c r="G170" i="5" s="1"/>
  <c r="G169" i="5" s="1"/>
  <c r="O170" i="5"/>
  <c r="O169" i="5" s="1"/>
  <c r="N170" i="5"/>
  <c r="N169" i="5" s="1"/>
  <c r="L170" i="5"/>
  <c r="L169" i="5" s="1"/>
  <c r="J170" i="5"/>
  <c r="J169" i="5" s="1"/>
  <c r="K169" i="5"/>
  <c r="K168" i="5" s="1"/>
  <c r="H169" i="5"/>
  <c r="O167" i="5"/>
  <c r="N167" i="5"/>
  <c r="M167" i="5"/>
  <c r="L167" i="5"/>
  <c r="J167" i="5"/>
  <c r="I167" i="5"/>
  <c r="G167" i="5"/>
  <c r="M163" i="5"/>
  <c r="M162" i="5" s="1"/>
  <c r="M161" i="5" s="1"/>
  <c r="I162" i="5"/>
  <c r="I161" i="5" s="1"/>
  <c r="G163" i="5"/>
  <c r="G162" i="5" s="1"/>
  <c r="G161" i="5" s="1"/>
  <c r="N162" i="5"/>
  <c r="N161" i="5" s="1"/>
  <c r="L162" i="5"/>
  <c r="L161" i="5" s="1"/>
  <c r="J162" i="5"/>
  <c r="J161" i="5" s="1"/>
  <c r="O157" i="5"/>
  <c r="O156" i="5" s="1"/>
  <c r="O155" i="5" s="1"/>
  <c r="O154" i="5" s="1"/>
  <c r="O153" i="5" s="1"/>
  <c r="O152" i="5" s="1"/>
  <c r="M157" i="5"/>
  <c r="M156" i="5" s="1"/>
  <c r="M155" i="5" s="1"/>
  <c r="M154" i="5" s="1"/>
  <c r="M153" i="5" s="1"/>
  <c r="M152" i="5" s="1"/>
  <c r="N156" i="5"/>
  <c r="N155" i="5" s="1"/>
  <c r="N154" i="5" s="1"/>
  <c r="N153" i="5" s="1"/>
  <c r="N152" i="5" s="1"/>
  <c r="L156" i="5"/>
  <c r="L155" i="5" s="1"/>
  <c r="L154" i="5" s="1"/>
  <c r="L153" i="5" s="1"/>
  <c r="L152" i="5" s="1"/>
  <c r="J156" i="5"/>
  <c r="J155" i="5" s="1"/>
  <c r="J154" i="5" s="1"/>
  <c r="J153" i="5" s="1"/>
  <c r="J152" i="5" s="1"/>
  <c r="I156" i="5"/>
  <c r="I155" i="5" s="1"/>
  <c r="I154" i="5" s="1"/>
  <c r="I153" i="5" s="1"/>
  <c r="I152" i="5" s="1"/>
  <c r="G156" i="5"/>
  <c r="G155" i="5" s="1"/>
  <c r="G154" i="5" s="1"/>
  <c r="G153" i="5" s="1"/>
  <c r="G152" i="5" s="1"/>
  <c r="K155" i="5"/>
  <c r="K154" i="5" s="1"/>
  <c r="K153" i="5" s="1"/>
  <c r="K152" i="5" s="1"/>
  <c r="H155" i="5"/>
  <c r="H154" i="5" s="1"/>
  <c r="H153" i="5" s="1"/>
  <c r="H152" i="5" s="1"/>
  <c r="O149" i="5"/>
  <c r="O148" i="5" s="1"/>
  <c r="O147" i="5" s="1"/>
  <c r="N149" i="5"/>
  <c r="N148" i="5" s="1"/>
  <c r="N147" i="5" s="1"/>
  <c r="M149" i="5"/>
  <c r="M148" i="5" s="1"/>
  <c r="M147" i="5" s="1"/>
  <c r="L149" i="5"/>
  <c r="L148" i="5" s="1"/>
  <c r="L147" i="5" s="1"/>
  <c r="J149" i="5"/>
  <c r="J148" i="5" s="1"/>
  <c r="J147" i="5" s="1"/>
  <c r="I149" i="5"/>
  <c r="I148" i="5" s="1"/>
  <c r="I147" i="5" s="1"/>
  <c r="G149" i="5"/>
  <c r="G148" i="5" s="1"/>
  <c r="G147" i="5" s="1"/>
  <c r="K148" i="5"/>
  <c r="K147" i="5" s="1"/>
  <c r="H148" i="5"/>
  <c r="H147" i="5" s="1"/>
  <c r="O145" i="5"/>
  <c r="O144" i="5" s="1"/>
  <c r="O143" i="5" s="1"/>
  <c r="N145" i="5"/>
  <c r="N144" i="5" s="1"/>
  <c r="N143" i="5" s="1"/>
  <c r="M145" i="5"/>
  <c r="M144" i="5" s="1"/>
  <c r="M143" i="5" s="1"/>
  <c r="L145" i="5"/>
  <c r="L144" i="5" s="1"/>
  <c r="L143" i="5" s="1"/>
  <c r="J145" i="5"/>
  <c r="J144" i="5" s="1"/>
  <c r="J143" i="5" s="1"/>
  <c r="I145" i="5"/>
  <c r="I144" i="5" s="1"/>
  <c r="I143" i="5" s="1"/>
  <c r="G145" i="5"/>
  <c r="G144" i="5" s="1"/>
  <c r="G143" i="5" s="1"/>
  <c r="K144" i="5"/>
  <c r="K143" i="5" s="1"/>
  <c r="H144" i="5"/>
  <c r="H143" i="5" s="1"/>
  <c r="O141" i="5"/>
  <c r="N141" i="5"/>
  <c r="M141" i="5"/>
  <c r="L141" i="5"/>
  <c r="J141" i="5"/>
  <c r="I141" i="5"/>
  <c r="G141" i="5"/>
  <c r="O139" i="5"/>
  <c r="M140" i="5"/>
  <c r="M139" i="5" s="1"/>
  <c r="M138" i="5" s="1"/>
  <c r="M137" i="5" s="1"/>
  <c r="I139" i="5"/>
  <c r="I138" i="5" s="1"/>
  <c r="I137" i="5" s="1"/>
  <c r="G140" i="5"/>
  <c r="N139" i="5"/>
  <c r="L139" i="5"/>
  <c r="J139" i="5"/>
  <c r="G139" i="5"/>
  <c r="G138" i="5" s="1"/>
  <c r="G137" i="5" s="1"/>
  <c r="K138" i="5"/>
  <c r="K137" i="5" s="1"/>
  <c r="K136" i="5" s="1"/>
  <c r="K135" i="5" s="1"/>
  <c r="H138" i="5"/>
  <c r="O133" i="5"/>
  <c r="O132" i="5" s="1"/>
  <c r="O131" i="5" s="1"/>
  <c r="N133" i="5"/>
  <c r="N132" i="5" s="1"/>
  <c r="N131" i="5" s="1"/>
  <c r="M133" i="5"/>
  <c r="M132" i="5" s="1"/>
  <c r="M131" i="5" s="1"/>
  <c r="L133" i="5"/>
  <c r="L132" i="5" s="1"/>
  <c r="L131" i="5" s="1"/>
  <c r="J133" i="5"/>
  <c r="J132" i="5" s="1"/>
  <c r="J131" i="5" s="1"/>
  <c r="I133" i="5"/>
  <c r="I132" i="5" s="1"/>
  <c r="I131" i="5" s="1"/>
  <c r="G133" i="5"/>
  <c r="G132" i="5" s="1"/>
  <c r="G131" i="5" s="1"/>
  <c r="K132" i="5"/>
  <c r="K131" i="5" s="1"/>
  <c r="H132" i="5"/>
  <c r="H131" i="5" s="1"/>
  <c r="O129" i="5"/>
  <c r="O128" i="5" s="1"/>
  <c r="O127" i="5" s="1"/>
  <c r="N129" i="5"/>
  <c r="N128" i="5" s="1"/>
  <c r="N127" i="5" s="1"/>
  <c r="M129" i="5"/>
  <c r="M128" i="5" s="1"/>
  <c r="M127" i="5" s="1"/>
  <c r="L129" i="5"/>
  <c r="L128" i="5" s="1"/>
  <c r="L127" i="5" s="1"/>
  <c r="J129" i="5"/>
  <c r="J128" i="5" s="1"/>
  <c r="J127" i="5" s="1"/>
  <c r="I129" i="5"/>
  <c r="I128" i="5" s="1"/>
  <c r="I127" i="5" s="1"/>
  <c r="G129" i="5"/>
  <c r="G128" i="5" s="1"/>
  <c r="G127" i="5" s="1"/>
  <c r="K128" i="5"/>
  <c r="K127" i="5" s="1"/>
  <c r="H128" i="5"/>
  <c r="H127" i="5" s="1"/>
  <c r="O126" i="5"/>
  <c r="M126" i="5"/>
  <c r="M125" i="5" s="1"/>
  <c r="M124" i="5" s="1"/>
  <c r="I126" i="5"/>
  <c r="I125" i="5" s="1"/>
  <c r="I124" i="5" s="1"/>
  <c r="G126" i="5"/>
  <c r="G125" i="5" s="1"/>
  <c r="G124" i="5" s="1"/>
  <c r="O125" i="5"/>
  <c r="O124" i="5" s="1"/>
  <c r="N125" i="5"/>
  <c r="N124" i="5" s="1"/>
  <c r="L125" i="5"/>
  <c r="L124" i="5" s="1"/>
  <c r="J125" i="5"/>
  <c r="J124" i="5" s="1"/>
  <c r="K124" i="5"/>
  <c r="K123" i="5" s="1"/>
  <c r="H124" i="5"/>
  <c r="H123" i="5" s="1"/>
  <c r="O123" i="5"/>
  <c r="M123" i="5"/>
  <c r="M122" i="5" s="1"/>
  <c r="M121" i="5" s="1"/>
  <c r="I123" i="5"/>
  <c r="I122" i="5" s="1"/>
  <c r="I121" i="5" s="1"/>
  <c r="G123" i="5"/>
  <c r="G122" i="5" s="1"/>
  <c r="G121" i="5" s="1"/>
  <c r="O122" i="5"/>
  <c r="O121" i="5" s="1"/>
  <c r="N122" i="5"/>
  <c r="N121" i="5" s="1"/>
  <c r="L122" i="5"/>
  <c r="L121" i="5" s="1"/>
  <c r="J122" i="5"/>
  <c r="J121" i="5" s="1"/>
  <c r="K121" i="5"/>
  <c r="H121" i="5"/>
  <c r="O119" i="5"/>
  <c r="N119" i="5"/>
  <c r="M119" i="5"/>
  <c r="L119" i="5"/>
  <c r="J119" i="5"/>
  <c r="I119" i="5"/>
  <c r="G119" i="5"/>
  <c r="M118" i="5"/>
  <c r="M117" i="5" s="1"/>
  <c r="I117" i="5"/>
  <c r="G118" i="5"/>
  <c r="G117" i="5" s="1"/>
  <c r="O117" i="5"/>
  <c r="N117" i="5"/>
  <c r="L117" i="5"/>
  <c r="J117" i="5"/>
  <c r="O113" i="5"/>
  <c r="N113" i="5"/>
  <c r="N112" i="5" s="1"/>
  <c r="M113" i="5"/>
  <c r="L113" i="5"/>
  <c r="J113" i="5"/>
  <c r="I113" i="5"/>
  <c r="G113" i="5"/>
  <c r="K112" i="5"/>
  <c r="K111" i="5" s="1"/>
  <c r="O106" i="5"/>
  <c r="O105" i="5" s="1"/>
  <c r="O104" i="5" s="1"/>
  <c r="N106" i="5"/>
  <c r="N105" i="5" s="1"/>
  <c r="N104" i="5" s="1"/>
  <c r="M106" i="5"/>
  <c r="M105" i="5" s="1"/>
  <c r="M104" i="5" s="1"/>
  <c r="L106" i="5"/>
  <c r="L105" i="5" s="1"/>
  <c r="L104" i="5" s="1"/>
  <c r="J106" i="5"/>
  <c r="J105" i="5" s="1"/>
  <c r="J104" i="5" s="1"/>
  <c r="I106" i="5"/>
  <c r="I105" i="5" s="1"/>
  <c r="I104" i="5" s="1"/>
  <c r="G106" i="5"/>
  <c r="G105" i="5" s="1"/>
  <c r="G104" i="5" s="1"/>
  <c r="K105" i="5"/>
  <c r="K104" i="5" s="1"/>
  <c r="K103" i="5" s="1"/>
  <c r="H105" i="5"/>
  <c r="H104" i="5" s="1"/>
  <c r="O102" i="5"/>
  <c r="O101" i="5" s="1"/>
  <c r="O100" i="5" s="1"/>
  <c r="N102" i="5"/>
  <c r="N101" i="5" s="1"/>
  <c r="N100" i="5" s="1"/>
  <c r="M102" i="5"/>
  <c r="M101" i="5" s="1"/>
  <c r="M100" i="5" s="1"/>
  <c r="L102" i="5"/>
  <c r="L101" i="5" s="1"/>
  <c r="L100" i="5" s="1"/>
  <c r="J102" i="5"/>
  <c r="J101" i="5" s="1"/>
  <c r="J100" i="5" s="1"/>
  <c r="I102" i="5"/>
  <c r="I101" i="5" s="1"/>
  <c r="I100" i="5" s="1"/>
  <c r="G102" i="5"/>
  <c r="G101" i="5" s="1"/>
  <c r="G100" i="5" s="1"/>
  <c r="K101" i="5"/>
  <c r="K100" i="5" s="1"/>
  <c r="H101" i="5"/>
  <c r="H100" i="5" s="1"/>
  <c r="O99" i="5"/>
  <c r="O97" i="5" s="1"/>
  <c r="M99" i="5"/>
  <c r="I99" i="5"/>
  <c r="I97" i="5" s="1"/>
  <c r="G99" i="5"/>
  <c r="M98" i="5"/>
  <c r="G98" i="5"/>
  <c r="G97" i="5" s="1"/>
  <c r="N97" i="5"/>
  <c r="L97" i="5"/>
  <c r="J97" i="5"/>
  <c r="O94" i="5"/>
  <c r="N94" i="5"/>
  <c r="M94" i="5"/>
  <c r="L94" i="5"/>
  <c r="J94" i="5"/>
  <c r="I94" i="5"/>
  <c r="G94" i="5"/>
  <c r="K93" i="5"/>
  <c r="O89" i="5"/>
  <c r="O88" i="5" s="1"/>
  <c r="N89" i="5"/>
  <c r="N88" i="5" s="1"/>
  <c r="M89" i="5"/>
  <c r="M88" i="5" s="1"/>
  <c r="L89" i="5"/>
  <c r="L88" i="5" s="1"/>
  <c r="J89" i="5"/>
  <c r="I89" i="5"/>
  <c r="I88" i="5" s="1"/>
  <c r="G89" i="5"/>
  <c r="G88" i="5" s="1"/>
  <c r="K88" i="5"/>
  <c r="K87" i="5" s="1"/>
  <c r="K86" i="5" s="1"/>
  <c r="J88" i="5"/>
  <c r="H88" i="5"/>
  <c r="H87" i="5" s="1"/>
  <c r="H86" i="5" s="1"/>
  <c r="O83" i="5"/>
  <c r="O82" i="5" s="1"/>
  <c r="O81" i="5" s="1"/>
  <c r="N83" i="5"/>
  <c r="N82" i="5" s="1"/>
  <c r="N81" i="5" s="1"/>
  <c r="M83" i="5"/>
  <c r="M82" i="5" s="1"/>
  <c r="M81" i="5" s="1"/>
  <c r="L83" i="5"/>
  <c r="L82" i="5" s="1"/>
  <c r="L81" i="5" s="1"/>
  <c r="J83" i="5"/>
  <c r="J82" i="5" s="1"/>
  <c r="J81" i="5" s="1"/>
  <c r="I83" i="5"/>
  <c r="I82" i="5" s="1"/>
  <c r="I81" i="5" s="1"/>
  <c r="G83" i="5"/>
  <c r="G82" i="5" s="1"/>
  <c r="G81" i="5" s="1"/>
  <c r="K82" i="5"/>
  <c r="H82" i="5"/>
  <c r="H81" i="5" s="1"/>
  <c r="K81" i="5"/>
  <c r="O79" i="5"/>
  <c r="O78" i="5" s="1"/>
  <c r="O77" i="5" s="1"/>
  <c r="N79" i="5"/>
  <c r="N78" i="5" s="1"/>
  <c r="N77" i="5" s="1"/>
  <c r="M79" i="5"/>
  <c r="M78" i="5" s="1"/>
  <c r="M77" i="5" s="1"/>
  <c r="L79" i="5"/>
  <c r="L78" i="5" s="1"/>
  <c r="L77" i="5" s="1"/>
  <c r="J79" i="5"/>
  <c r="J78" i="5" s="1"/>
  <c r="J77" i="5" s="1"/>
  <c r="I79" i="5"/>
  <c r="I78" i="5" s="1"/>
  <c r="I77" i="5" s="1"/>
  <c r="G79" i="5"/>
  <c r="G78" i="5" s="1"/>
  <c r="G77" i="5" s="1"/>
  <c r="K78" i="5"/>
  <c r="K77" i="5" s="1"/>
  <c r="H78" i="5"/>
  <c r="H77" i="5" s="1"/>
  <c r="O75" i="5"/>
  <c r="N75" i="5"/>
  <c r="M75" i="5"/>
  <c r="L75" i="5"/>
  <c r="J75" i="5"/>
  <c r="I75" i="5"/>
  <c r="G75" i="5"/>
  <c r="O73" i="5"/>
  <c r="N73" i="5"/>
  <c r="M73" i="5"/>
  <c r="L73" i="5"/>
  <c r="J73" i="5"/>
  <c r="I73" i="5"/>
  <c r="G73" i="5"/>
  <c r="K72" i="5"/>
  <c r="K71" i="5" s="1"/>
  <c r="K70" i="5" s="1"/>
  <c r="H72" i="5"/>
  <c r="H71" i="5" s="1"/>
  <c r="H70" i="5" s="1"/>
  <c r="O68" i="5"/>
  <c r="O67" i="5" s="1"/>
  <c r="O66" i="5" s="1"/>
  <c r="O65" i="5" s="1"/>
  <c r="N68" i="5"/>
  <c r="N67" i="5" s="1"/>
  <c r="N66" i="5" s="1"/>
  <c r="N65" i="5" s="1"/>
  <c r="M68" i="5"/>
  <c r="M67" i="5" s="1"/>
  <c r="M66" i="5" s="1"/>
  <c r="M65" i="5" s="1"/>
  <c r="L68" i="5"/>
  <c r="L67" i="5" s="1"/>
  <c r="L66" i="5" s="1"/>
  <c r="L65" i="5" s="1"/>
  <c r="J68" i="5"/>
  <c r="J67" i="5" s="1"/>
  <c r="J66" i="5" s="1"/>
  <c r="J65" i="5" s="1"/>
  <c r="I68" i="5"/>
  <c r="I67" i="5" s="1"/>
  <c r="I66" i="5" s="1"/>
  <c r="I65" i="5" s="1"/>
  <c r="G68" i="5"/>
  <c r="G67" i="5" s="1"/>
  <c r="G66" i="5" s="1"/>
  <c r="G65" i="5" s="1"/>
  <c r="K67" i="5"/>
  <c r="K66" i="5" s="1"/>
  <c r="H67" i="5"/>
  <c r="H66" i="5" s="1"/>
  <c r="H65" i="5" s="1"/>
  <c r="K65" i="5"/>
  <c r="O63" i="5"/>
  <c r="O62" i="5" s="1"/>
  <c r="O61" i="5" s="1"/>
  <c r="O60" i="5" s="1"/>
  <c r="N63" i="5"/>
  <c r="N62" i="5" s="1"/>
  <c r="N61" i="5" s="1"/>
  <c r="N60" i="5" s="1"/>
  <c r="M63" i="5"/>
  <c r="M62" i="5" s="1"/>
  <c r="M61" i="5" s="1"/>
  <c r="M60" i="5" s="1"/>
  <c r="L63" i="5"/>
  <c r="L62" i="5" s="1"/>
  <c r="L61" i="5" s="1"/>
  <c r="L60" i="5" s="1"/>
  <c r="J63" i="5"/>
  <c r="J62" i="5" s="1"/>
  <c r="J61" i="5" s="1"/>
  <c r="J60" i="5" s="1"/>
  <c r="I63" i="5"/>
  <c r="I62" i="5" s="1"/>
  <c r="I61" i="5" s="1"/>
  <c r="I60" i="5" s="1"/>
  <c r="G63" i="5"/>
  <c r="K62" i="5"/>
  <c r="K61" i="5" s="1"/>
  <c r="K60" i="5" s="1"/>
  <c r="K59" i="5" s="1"/>
  <c r="H62" i="5"/>
  <c r="H61" i="5" s="1"/>
  <c r="H60" i="5" s="1"/>
  <c r="G62" i="5"/>
  <c r="G61" i="5" s="1"/>
  <c r="G60" i="5" s="1"/>
  <c r="O57" i="5"/>
  <c r="O56" i="5" s="1"/>
  <c r="O55" i="5" s="1"/>
  <c r="O54" i="5" s="1"/>
  <c r="N57" i="5"/>
  <c r="N56" i="5" s="1"/>
  <c r="N55" i="5" s="1"/>
  <c r="N54" i="5" s="1"/>
  <c r="M57" i="5"/>
  <c r="M56" i="5" s="1"/>
  <c r="M55" i="5" s="1"/>
  <c r="M54" i="5" s="1"/>
  <c r="L57" i="5"/>
  <c r="L56" i="5" s="1"/>
  <c r="L55" i="5" s="1"/>
  <c r="L54" i="5" s="1"/>
  <c r="J57" i="5"/>
  <c r="J56" i="5" s="1"/>
  <c r="J55" i="5" s="1"/>
  <c r="J54" i="5" s="1"/>
  <c r="I57" i="5"/>
  <c r="I56" i="5" s="1"/>
  <c r="I55" i="5" s="1"/>
  <c r="I54" i="5" s="1"/>
  <c r="G57" i="5"/>
  <c r="G56" i="5" s="1"/>
  <c r="G55" i="5" s="1"/>
  <c r="G54" i="5" s="1"/>
  <c r="K56" i="5"/>
  <c r="K55" i="5" s="1"/>
  <c r="K54" i="5" s="1"/>
  <c r="H56" i="5"/>
  <c r="H55" i="5" s="1"/>
  <c r="H54" i="5" s="1"/>
  <c r="O52" i="5"/>
  <c r="N52" i="5"/>
  <c r="N47" i="5" s="1"/>
  <c r="M52" i="5"/>
  <c r="L52" i="5"/>
  <c r="J52" i="5"/>
  <c r="I52" i="5"/>
  <c r="I47" i="5" s="1"/>
  <c r="G52" i="5"/>
  <c r="G47" i="5" s="1"/>
  <c r="K51" i="5"/>
  <c r="K46" i="5" s="1"/>
  <c r="H51" i="5"/>
  <c r="H46" i="5" s="1"/>
  <c r="O48" i="5"/>
  <c r="N48" i="5"/>
  <c r="M48" i="5"/>
  <c r="L48" i="5"/>
  <c r="J48" i="5"/>
  <c r="I48" i="5"/>
  <c r="G48" i="5"/>
  <c r="K47" i="5"/>
  <c r="H47" i="5"/>
  <c r="O43" i="5"/>
  <c r="O42" i="5" s="1"/>
  <c r="N43" i="5"/>
  <c r="N42" i="5" s="1"/>
  <c r="M43" i="5"/>
  <c r="M42" i="5" s="1"/>
  <c r="L43" i="5"/>
  <c r="L42" i="5" s="1"/>
  <c r="J43" i="5"/>
  <c r="J42" i="5" s="1"/>
  <c r="I43" i="5"/>
  <c r="I42" i="5" s="1"/>
  <c r="G43" i="5"/>
  <c r="G42" i="5" s="1"/>
  <c r="K42" i="5"/>
  <c r="K41" i="5" s="1"/>
  <c r="H42" i="5"/>
  <c r="H41" i="5" s="1"/>
  <c r="O38" i="5"/>
  <c r="O37" i="5" s="1"/>
  <c r="O36" i="5" s="1"/>
  <c r="O35" i="5" s="1"/>
  <c r="N38" i="5"/>
  <c r="N37" i="5" s="1"/>
  <c r="N36" i="5" s="1"/>
  <c r="N35" i="5" s="1"/>
  <c r="M38" i="5"/>
  <c r="M37" i="5" s="1"/>
  <c r="M36" i="5" s="1"/>
  <c r="M35" i="5" s="1"/>
  <c r="L38" i="5"/>
  <c r="L37" i="5" s="1"/>
  <c r="L36" i="5" s="1"/>
  <c r="L35" i="5" s="1"/>
  <c r="J38" i="5"/>
  <c r="J37" i="5" s="1"/>
  <c r="J36" i="5" s="1"/>
  <c r="J35" i="5" s="1"/>
  <c r="I38" i="5"/>
  <c r="I37" i="5" s="1"/>
  <c r="I36" i="5" s="1"/>
  <c r="I35" i="5" s="1"/>
  <c r="G38" i="5"/>
  <c r="G37" i="5" s="1"/>
  <c r="G36" i="5" s="1"/>
  <c r="G35" i="5" s="1"/>
  <c r="K37" i="5"/>
  <c r="K36" i="5" s="1"/>
  <c r="H37" i="5"/>
  <c r="H36" i="5" s="1"/>
  <c r="H35" i="5" s="1"/>
  <c r="K35" i="5"/>
  <c r="K34" i="5" s="1"/>
  <c r="O32" i="5"/>
  <c r="M32" i="5"/>
  <c r="M31" i="5" s="1"/>
  <c r="M30" i="5" s="1"/>
  <c r="M29" i="5" s="1"/>
  <c r="M28" i="5" s="1"/>
  <c r="I32" i="5"/>
  <c r="G32" i="5"/>
  <c r="G31" i="5" s="1"/>
  <c r="G30" i="5" s="1"/>
  <c r="G29" i="5" s="1"/>
  <c r="G28" i="5" s="1"/>
  <c r="O31" i="5"/>
  <c r="O30" i="5" s="1"/>
  <c r="O29" i="5" s="1"/>
  <c r="O28" i="5" s="1"/>
  <c r="N31" i="5"/>
  <c r="N30" i="5" s="1"/>
  <c r="N29" i="5" s="1"/>
  <c r="N28" i="5" s="1"/>
  <c r="L31" i="5"/>
  <c r="L30" i="5" s="1"/>
  <c r="L29" i="5" s="1"/>
  <c r="L28" i="5" s="1"/>
  <c r="J31" i="5"/>
  <c r="J30" i="5" s="1"/>
  <c r="J29" i="5" s="1"/>
  <c r="J28" i="5" s="1"/>
  <c r="I31" i="5"/>
  <c r="I30" i="5" s="1"/>
  <c r="I29" i="5" s="1"/>
  <c r="I28" i="5" s="1"/>
  <c r="K30" i="5"/>
  <c r="K29" i="5" s="1"/>
  <c r="K28" i="5" s="1"/>
  <c r="H30" i="5"/>
  <c r="H29" i="5" s="1"/>
  <c r="H28" i="5" s="1"/>
  <c r="O27" i="5"/>
  <c r="M27" i="5"/>
  <c r="M26" i="5" s="1"/>
  <c r="M25" i="5" s="1"/>
  <c r="M24" i="5" s="1"/>
  <c r="M23" i="5" s="1"/>
  <c r="I27" i="5"/>
  <c r="I26" i="5" s="1"/>
  <c r="I25" i="5" s="1"/>
  <c r="I24" i="5" s="1"/>
  <c r="I23" i="5" s="1"/>
  <c r="G27" i="5"/>
  <c r="G26" i="5" s="1"/>
  <c r="G25" i="5" s="1"/>
  <c r="G24" i="5" s="1"/>
  <c r="G23" i="5" s="1"/>
  <c r="O26" i="5"/>
  <c r="O25" i="5" s="1"/>
  <c r="O24" i="5" s="1"/>
  <c r="O23" i="5" s="1"/>
  <c r="N26" i="5"/>
  <c r="N25" i="5" s="1"/>
  <c r="N24" i="5" s="1"/>
  <c r="N23" i="5" s="1"/>
  <c r="L26" i="5"/>
  <c r="L25" i="5" s="1"/>
  <c r="L24" i="5" s="1"/>
  <c r="L23" i="5" s="1"/>
  <c r="J26" i="5"/>
  <c r="J25" i="5" s="1"/>
  <c r="J24" i="5" s="1"/>
  <c r="J23" i="5" s="1"/>
  <c r="K25" i="5"/>
  <c r="K24" i="5" s="1"/>
  <c r="K23" i="5" s="1"/>
  <c r="K22" i="5" s="1"/>
  <c r="K21" i="5" s="1"/>
  <c r="H25" i="5"/>
  <c r="H24" i="5" s="1"/>
  <c r="H23" i="5" s="1"/>
  <c r="H22" i="5" s="1"/>
  <c r="H21" i="5" s="1"/>
  <c r="O366" i="3"/>
  <c r="M366" i="3"/>
  <c r="O367" i="3"/>
  <c r="M367" i="3"/>
  <c r="O368" i="3"/>
  <c r="M368" i="3"/>
  <c r="O369" i="3"/>
  <c r="M369" i="3"/>
  <c r="O319" i="3"/>
  <c r="M319" i="3"/>
  <c r="O157" i="3"/>
  <c r="M157" i="3"/>
  <c r="O186" i="3"/>
  <c r="M186" i="3"/>
  <c r="O48" i="3"/>
  <c r="M48" i="3"/>
  <c r="O226" i="3"/>
  <c r="M226" i="3"/>
  <c r="I93" i="5" l="1"/>
  <c r="J245" i="5"/>
  <c r="M246" i="5"/>
  <c r="M245" i="5" s="1"/>
  <c r="I295" i="5"/>
  <c r="I294" i="5" s="1"/>
  <c r="N295" i="5"/>
  <c r="N294" i="5" s="1"/>
  <c r="O295" i="5"/>
  <c r="O294" i="5" s="1"/>
  <c r="K320" i="5"/>
  <c r="K319" i="5" s="1"/>
  <c r="K318" i="5" s="1"/>
  <c r="O161" i="5"/>
  <c r="K161" i="5"/>
  <c r="K160" i="5" s="1"/>
  <c r="O231" i="5"/>
  <c r="O230" i="5" s="1"/>
  <c r="O229" i="5" s="1"/>
  <c r="O224" i="5" s="1"/>
  <c r="K223" i="5"/>
  <c r="G425" i="5"/>
  <c r="G424" i="5" s="1"/>
  <c r="G419" i="5" s="1"/>
  <c r="G418" i="5" s="1"/>
  <c r="G417" i="5" s="1"/>
  <c r="G438" i="5"/>
  <c r="G437" i="5" s="1"/>
  <c r="G436" i="5" s="1"/>
  <c r="G435" i="5" s="1"/>
  <c r="G434" i="5" s="1"/>
  <c r="L138" i="5"/>
  <c r="L137" i="5" s="1"/>
  <c r="I194" i="5"/>
  <c r="I397" i="5"/>
  <c r="I396" i="5" s="1"/>
  <c r="I395" i="5" s="1"/>
  <c r="O397" i="5"/>
  <c r="O396" i="5" s="1"/>
  <c r="O395" i="5" s="1"/>
  <c r="O47" i="5"/>
  <c r="O41" i="5" s="1"/>
  <c r="O40" i="5" s="1"/>
  <c r="J321" i="5"/>
  <c r="O321" i="5"/>
  <c r="L396" i="5"/>
  <c r="L395" i="5" s="1"/>
  <c r="L386" i="5" s="1"/>
  <c r="L385" i="5" s="1"/>
  <c r="N396" i="5"/>
  <c r="N395" i="5" s="1"/>
  <c r="G254" i="5"/>
  <c r="G253" i="5" s="1"/>
  <c r="G252" i="5" s="1"/>
  <c r="J419" i="5"/>
  <c r="J418" i="5" s="1"/>
  <c r="J417" i="5" s="1"/>
  <c r="M47" i="5"/>
  <c r="M41" i="5" s="1"/>
  <c r="M40" i="5" s="1"/>
  <c r="J258" i="5"/>
  <c r="J254" i="5" s="1"/>
  <c r="J253" i="5" s="1"/>
  <c r="J252" i="5" s="1"/>
  <c r="G270" i="5"/>
  <c r="G269" i="5" s="1"/>
  <c r="G268" i="5" s="1"/>
  <c r="L321" i="5"/>
  <c r="G326" i="5"/>
  <c r="M397" i="5"/>
  <c r="M425" i="5"/>
  <c r="M424" i="5" s="1"/>
  <c r="N138" i="5"/>
  <c r="N137" i="5" s="1"/>
  <c r="N136" i="5" s="1"/>
  <c r="N135" i="5" s="1"/>
  <c r="O246" i="5"/>
  <c r="O245" i="5" s="1"/>
  <c r="I270" i="5"/>
  <c r="I269" i="5" s="1"/>
  <c r="N270" i="5"/>
  <c r="K386" i="5"/>
  <c r="K385" i="5" s="1"/>
  <c r="K384" i="5" s="1"/>
  <c r="K383" i="5" s="1"/>
  <c r="G72" i="5"/>
  <c r="G71" i="5" s="1"/>
  <c r="M72" i="5"/>
  <c r="M71" i="5" s="1"/>
  <c r="M70" i="5" s="1"/>
  <c r="I72" i="5"/>
  <c r="I71" i="5" s="1"/>
  <c r="I112" i="5"/>
  <c r="G231" i="5"/>
  <c r="G230" i="5" s="1"/>
  <c r="G229" i="5" s="1"/>
  <c r="G224" i="5" s="1"/>
  <c r="M239" i="5"/>
  <c r="M238" i="5" s="1"/>
  <c r="M237" i="5" s="1"/>
  <c r="L245" i="5"/>
  <c r="M270" i="5"/>
  <c r="M269" i="5" s="1"/>
  <c r="M268" i="5" s="1"/>
  <c r="M267" i="5" s="1"/>
  <c r="O283" i="5"/>
  <c r="O270" i="5" s="1"/>
  <c r="J307" i="5"/>
  <c r="J306" i="5" s="1"/>
  <c r="J305" i="5" s="1"/>
  <c r="I321" i="5"/>
  <c r="I326" i="5"/>
  <c r="N326" i="5"/>
  <c r="G93" i="5"/>
  <c r="G87" i="5" s="1"/>
  <c r="M97" i="5"/>
  <c r="M93" i="5" s="1"/>
  <c r="M87" i="5" s="1"/>
  <c r="M86" i="5" s="1"/>
  <c r="M112" i="5"/>
  <c r="O138" i="5"/>
  <c r="O137" i="5" s="1"/>
  <c r="O136" i="5" s="1"/>
  <c r="O135" i="5" s="1"/>
  <c r="O194" i="5"/>
  <c r="I239" i="5"/>
  <c r="I238" i="5" s="1"/>
  <c r="I237" i="5" s="1"/>
  <c r="I236" i="5" s="1"/>
  <c r="O72" i="5"/>
  <c r="O71" i="5" s="1"/>
  <c r="O70" i="5" s="1"/>
  <c r="J138" i="5"/>
  <c r="J137" i="5" s="1"/>
  <c r="H186" i="5"/>
  <c r="H185" i="5" s="1"/>
  <c r="M231" i="5"/>
  <c r="M230" i="5" s="1"/>
  <c r="M229" i="5" s="1"/>
  <c r="M224" i="5" s="1"/>
  <c r="M307" i="5"/>
  <c r="M306" i="5" s="1"/>
  <c r="M305" i="5" s="1"/>
  <c r="M340" i="5"/>
  <c r="L419" i="5"/>
  <c r="J438" i="5"/>
  <c r="J437" i="5" s="1"/>
  <c r="J436" i="5" s="1"/>
  <c r="J435" i="5" s="1"/>
  <c r="O160" i="5"/>
  <c r="O159" i="5" s="1"/>
  <c r="J93" i="5"/>
  <c r="J87" i="5" s="1"/>
  <c r="J86" i="5" s="1"/>
  <c r="G112" i="5"/>
  <c r="H137" i="5"/>
  <c r="H136" i="5" s="1"/>
  <c r="H135" i="5" s="1"/>
  <c r="J160" i="5"/>
  <c r="J159" i="5" s="1"/>
  <c r="J158" i="5" s="1"/>
  <c r="L231" i="5"/>
  <c r="L230" i="5" s="1"/>
  <c r="L229" i="5" s="1"/>
  <c r="L224" i="5" s="1"/>
  <c r="J247" i="5"/>
  <c r="J239" i="5" s="1"/>
  <c r="J238" i="5" s="1"/>
  <c r="J237" i="5" s="1"/>
  <c r="O248" i="5"/>
  <c r="O247" i="5" s="1"/>
  <c r="N388" i="5"/>
  <c r="N387" i="5" s="1"/>
  <c r="N386" i="5" s="1"/>
  <c r="J396" i="5"/>
  <c r="J395" i="5" s="1"/>
  <c r="H419" i="5"/>
  <c r="H418" i="5" s="1"/>
  <c r="H417" i="5" s="1"/>
  <c r="H437" i="5"/>
  <c r="H436" i="5" s="1"/>
  <c r="H435" i="5" s="1"/>
  <c r="H434" i="5" s="1"/>
  <c r="L438" i="5"/>
  <c r="L437" i="5" s="1"/>
  <c r="L436" i="5" s="1"/>
  <c r="L435" i="5" s="1"/>
  <c r="L434" i="5" s="1"/>
  <c r="O112" i="5"/>
  <c r="O111" i="5" s="1"/>
  <c r="O110" i="5" s="1"/>
  <c r="O109" i="5" s="1"/>
  <c r="I87" i="5"/>
  <c r="I86" i="5" s="1"/>
  <c r="O419" i="5"/>
  <c r="O418" i="5" s="1"/>
  <c r="O417" i="5" s="1"/>
  <c r="N419" i="5"/>
  <c r="N418" i="5" s="1"/>
  <c r="N417" i="5" s="1"/>
  <c r="O93" i="5"/>
  <c r="O87" i="5" s="1"/>
  <c r="O86" i="5" s="1"/>
  <c r="N93" i="5"/>
  <c r="N87" i="5" s="1"/>
  <c r="N86" i="5" s="1"/>
  <c r="I186" i="5"/>
  <c r="L22" i="5"/>
  <c r="L21" i="5" s="1"/>
  <c r="N22" i="5"/>
  <c r="N21" i="5" s="1"/>
  <c r="M22" i="5"/>
  <c r="M21" i="5" s="1"/>
  <c r="H59" i="5"/>
  <c r="H34" i="5" s="1"/>
  <c r="I388" i="5"/>
  <c r="I387" i="5" s="1"/>
  <c r="L72" i="5"/>
  <c r="L71" i="5" s="1"/>
  <c r="L70" i="5" s="1"/>
  <c r="L93" i="5"/>
  <c r="J194" i="5"/>
  <c r="J186" i="5" s="1"/>
  <c r="J231" i="5"/>
  <c r="J230" i="5" s="1"/>
  <c r="J229" i="5" s="1"/>
  <c r="J224" i="5" s="1"/>
  <c r="L239" i="5"/>
  <c r="L238" i="5" s="1"/>
  <c r="L237" i="5" s="1"/>
  <c r="L236" i="5" s="1"/>
  <c r="G239" i="5"/>
  <c r="G238" i="5" s="1"/>
  <c r="G237" i="5" s="1"/>
  <c r="N252" i="5"/>
  <c r="L418" i="5"/>
  <c r="L417" i="5" s="1"/>
  <c r="J434" i="5"/>
  <c r="K437" i="5"/>
  <c r="K436" i="5" s="1"/>
  <c r="K435" i="5" s="1"/>
  <c r="K434" i="5" s="1"/>
  <c r="I438" i="5"/>
  <c r="I437" i="5" s="1"/>
  <c r="I436" i="5" s="1"/>
  <c r="I435" i="5" s="1"/>
  <c r="J47" i="5"/>
  <c r="J41" i="5" s="1"/>
  <c r="J40" i="5" s="1"/>
  <c r="L112" i="5"/>
  <c r="L111" i="5" s="1"/>
  <c r="L110" i="5" s="1"/>
  <c r="L109" i="5" s="1"/>
  <c r="H110" i="5"/>
  <c r="H109" i="5" s="1"/>
  <c r="N174" i="5"/>
  <c r="N173" i="5" s="1"/>
  <c r="N172" i="5" s="1"/>
  <c r="N188" i="5"/>
  <c r="N187" i="5" s="1"/>
  <c r="L194" i="5"/>
  <c r="L186" i="5" s="1"/>
  <c r="G366" i="5"/>
  <c r="G365" i="5" s="1"/>
  <c r="J388" i="5"/>
  <c r="J387" i="5" s="1"/>
  <c r="J386" i="5" s="1"/>
  <c r="J385" i="5" s="1"/>
  <c r="J384" i="5" s="1"/>
  <c r="J383" i="5" s="1"/>
  <c r="G396" i="5"/>
  <c r="G395" i="5" s="1"/>
  <c r="I419" i="5"/>
  <c r="I418" i="5" s="1"/>
  <c r="I417" i="5" s="1"/>
  <c r="N434" i="5"/>
  <c r="M438" i="5"/>
  <c r="M437" i="5" s="1"/>
  <c r="M436" i="5" s="1"/>
  <c r="M435" i="5" s="1"/>
  <c r="M434" i="5" s="1"/>
  <c r="N72" i="5"/>
  <c r="N71" i="5" s="1"/>
  <c r="J72" i="5"/>
  <c r="J71" i="5" s="1"/>
  <c r="J70" i="5" s="1"/>
  <c r="J112" i="5"/>
  <c r="J111" i="5" s="1"/>
  <c r="J110" i="5" s="1"/>
  <c r="J109" i="5" s="1"/>
  <c r="K110" i="5"/>
  <c r="K109" i="5" s="1"/>
  <c r="K108" i="5" s="1"/>
  <c r="K107" i="5" s="1"/>
  <c r="G160" i="5"/>
  <c r="G159" i="5" s="1"/>
  <c r="G158" i="5" s="1"/>
  <c r="O188" i="5"/>
  <c r="O187" i="5" s="1"/>
  <c r="N239" i="5"/>
  <c r="N238" i="5" s="1"/>
  <c r="N237" i="5" s="1"/>
  <c r="H319" i="5"/>
  <c r="H318" i="5" s="1"/>
  <c r="G321" i="5"/>
  <c r="G320" i="5" s="1"/>
  <c r="G319" i="5" s="1"/>
  <c r="G318" i="5" s="1"/>
  <c r="M321" i="5"/>
  <c r="M320" i="5" s="1"/>
  <c r="M389" i="5"/>
  <c r="M388" i="5" s="1"/>
  <c r="M387" i="5" s="1"/>
  <c r="O390" i="5"/>
  <c r="O389" i="5" s="1"/>
  <c r="M396" i="5"/>
  <c r="M395" i="5" s="1"/>
  <c r="O444" i="5"/>
  <c r="O443" i="5" s="1"/>
  <c r="O438" i="5" s="1"/>
  <c r="O437" i="5" s="1"/>
  <c r="O436" i="5" s="1"/>
  <c r="O435" i="5" s="1"/>
  <c r="O434" i="5" s="1"/>
  <c r="I320" i="5"/>
  <c r="I319" i="5" s="1"/>
  <c r="I318" i="5" s="1"/>
  <c r="G389" i="5"/>
  <c r="G388" i="5" s="1"/>
  <c r="G387" i="5" s="1"/>
  <c r="G386" i="5" s="1"/>
  <c r="G385" i="5" s="1"/>
  <c r="L270" i="5"/>
  <c r="L269" i="5" s="1"/>
  <c r="L268" i="5" s="1"/>
  <c r="L267" i="5" s="1"/>
  <c r="N231" i="5"/>
  <c r="N230" i="5" s="1"/>
  <c r="N229" i="5" s="1"/>
  <c r="N224" i="5" s="1"/>
  <c r="I231" i="5"/>
  <c r="I230" i="5" s="1"/>
  <c r="I229" i="5" s="1"/>
  <c r="I224" i="5" s="1"/>
  <c r="O388" i="5"/>
  <c r="O387" i="5" s="1"/>
  <c r="J340" i="5"/>
  <c r="O340" i="5"/>
  <c r="I340" i="5"/>
  <c r="N340" i="5"/>
  <c r="L366" i="5"/>
  <c r="L365" i="5" s="1"/>
  <c r="I366" i="5"/>
  <c r="I365" i="5" s="1"/>
  <c r="N366" i="5"/>
  <c r="N365" i="5" s="1"/>
  <c r="G340" i="5"/>
  <c r="L340" i="5"/>
  <c r="J366" i="5"/>
  <c r="J365" i="5" s="1"/>
  <c r="N307" i="5"/>
  <c r="N306" i="5" s="1"/>
  <c r="N305" i="5" s="1"/>
  <c r="H168" i="5"/>
  <c r="H160" i="5"/>
  <c r="G208" i="5"/>
  <c r="N287" i="5"/>
  <c r="N286" i="5" s="1"/>
  <c r="N285" i="5" s="1"/>
  <c r="G267" i="5"/>
  <c r="I174" i="5"/>
  <c r="I173" i="5" s="1"/>
  <c r="I172" i="5" s="1"/>
  <c r="L326" i="5"/>
  <c r="I307" i="5"/>
  <c r="I306" i="5" s="1"/>
  <c r="I305" i="5" s="1"/>
  <c r="K159" i="5"/>
  <c r="K158" i="5" s="1"/>
  <c r="K151" i="5" s="1"/>
  <c r="G307" i="5"/>
  <c r="G306" i="5" s="1"/>
  <c r="G305" i="5" s="1"/>
  <c r="O174" i="5"/>
  <c r="O173" i="5" s="1"/>
  <c r="O172" i="5" s="1"/>
  <c r="N41" i="5"/>
  <c r="N40" i="5" s="1"/>
  <c r="N160" i="5"/>
  <c r="N159" i="5" s="1"/>
  <c r="L47" i="5"/>
  <c r="L41" i="5" s="1"/>
  <c r="L40" i="5" s="1"/>
  <c r="I111" i="5"/>
  <c r="I110" i="5" s="1"/>
  <c r="I109" i="5" s="1"/>
  <c r="I22" i="5"/>
  <c r="I21" i="5" s="1"/>
  <c r="O22" i="5"/>
  <c r="O21" i="5" s="1"/>
  <c r="G41" i="5"/>
  <c r="G40" i="5" s="1"/>
  <c r="G22" i="5"/>
  <c r="G21" i="5" s="1"/>
  <c r="G70" i="5"/>
  <c r="J208" i="5"/>
  <c r="N208" i="5"/>
  <c r="N111" i="5"/>
  <c r="N110" i="5" s="1"/>
  <c r="N109" i="5" s="1"/>
  <c r="J136" i="5"/>
  <c r="J135" i="5" s="1"/>
  <c r="H40" i="5"/>
  <c r="G194" i="5"/>
  <c r="G186" i="5" s="1"/>
  <c r="M160" i="5"/>
  <c r="M159" i="5" s="1"/>
  <c r="M158" i="5" s="1"/>
  <c r="K40" i="5"/>
  <c r="I41" i="5"/>
  <c r="I40" i="5" s="1"/>
  <c r="I70" i="5"/>
  <c r="M136" i="5"/>
  <c r="M135" i="5" s="1"/>
  <c r="M194" i="5"/>
  <c r="M186" i="5" s="1"/>
  <c r="M208" i="5"/>
  <c r="O208" i="5"/>
  <c r="J22" i="5"/>
  <c r="J21" i="5" s="1"/>
  <c r="G111" i="5"/>
  <c r="G110" i="5" s="1"/>
  <c r="G109" i="5" s="1"/>
  <c r="L136" i="5"/>
  <c r="L135" i="5" s="1"/>
  <c r="L160" i="5"/>
  <c r="L159" i="5" s="1"/>
  <c r="L158" i="5" s="1"/>
  <c r="I160" i="5"/>
  <c r="I159" i="5" s="1"/>
  <c r="N70" i="5"/>
  <c r="M111" i="5"/>
  <c r="M110" i="5" s="1"/>
  <c r="M109" i="5" s="1"/>
  <c r="G136" i="5"/>
  <c r="G135" i="5" s="1"/>
  <c r="G86" i="5"/>
  <c r="I136" i="5"/>
  <c r="I135" i="5" s="1"/>
  <c r="L87" i="5"/>
  <c r="L86" i="5" s="1"/>
  <c r="I208" i="5"/>
  <c r="M254" i="5"/>
  <c r="M253" i="5" s="1"/>
  <c r="M252" i="5" s="1"/>
  <c r="J270" i="5"/>
  <c r="J269" i="5" s="1"/>
  <c r="J268" i="5" s="1"/>
  <c r="J267" i="5" s="1"/>
  <c r="J326" i="5"/>
  <c r="J320" i="5" s="1"/>
  <c r="J319" i="5" s="1"/>
  <c r="J318" i="5" s="1"/>
  <c r="L208" i="5"/>
  <c r="O259" i="5"/>
  <c r="O258" i="5" s="1"/>
  <c r="O254" i="5" s="1"/>
  <c r="O253" i="5" s="1"/>
  <c r="O252" i="5" s="1"/>
  <c r="L307" i="5"/>
  <c r="L306" i="5" s="1"/>
  <c r="L305" i="5" s="1"/>
  <c r="M319" i="5"/>
  <c r="M318" i="5" s="1"/>
  <c r="O307" i="5"/>
  <c r="O306" i="5" s="1"/>
  <c r="O305" i="5" s="1"/>
  <c r="N321" i="5"/>
  <c r="N320" i="5" s="1"/>
  <c r="O326" i="5"/>
  <c r="I434" i="5"/>
  <c r="M366" i="5"/>
  <c r="M365" i="5" s="1"/>
  <c r="M419" i="5"/>
  <c r="M418" i="5" s="1"/>
  <c r="M417" i="5" s="1"/>
  <c r="O239" i="5" l="1"/>
  <c r="O238" i="5" s="1"/>
  <c r="O237" i="5" s="1"/>
  <c r="L320" i="5"/>
  <c r="L319" i="5" s="1"/>
  <c r="L318" i="5" s="1"/>
  <c r="L384" i="5"/>
  <c r="L383" i="5" s="1"/>
  <c r="O320" i="5"/>
  <c r="G236" i="5"/>
  <c r="G223" i="5" s="1"/>
  <c r="J236" i="5"/>
  <c r="G384" i="5"/>
  <c r="G383" i="5" s="1"/>
  <c r="O319" i="5"/>
  <c r="O318" i="5" s="1"/>
  <c r="N319" i="5"/>
  <c r="N318" i="5" s="1"/>
  <c r="O386" i="5"/>
  <c r="O385" i="5" s="1"/>
  <c r="O384" i="5" s="1"/>
  <c r="O383" i="5" s="1"/>
  <c r="M236" i="5"/>
  <c r="M223" i="5" s="1"/>
  <c r="I386" i="5"/>
  <c r="I385" i="5" s="1"/>
  <c r="I384" i="5" s="1"/>
  <c r="I383" i="5" s="1"/>
  <c r="N385" i="5"/>
  <c r="N384" i="5" s="1"/>
  <c r="N383" i="5" s="1"/>
  <c r="O269" i="5"/>
  <c r="O268" i="5" s="1"/>
  <c r="I268" i="5"/>
  <c r="I267" i="5" s="1"/>
  <c r="I223" i="5" s="1"/>
  <c r="H108" i="5"/>
  <c r="N269" i="5"/>
  <c r="N268" i="5" s="1"/>
  <c r="N267" i="5" s="1"/>
  <c r="J108" i="5"/>
  <c r="G108" i="5"/>
  <c r="N236" i="5"/>
  <c r="N186" i="5"/>
  <c r="N185" i="5" s="1"/>
  <c r="O186" i="5"/>
  <c r="O185" i="5" s="1"/>
  <c r="J59" i="5"/>
  <c r="J34" i="5" s="1"/>
  <c r="M386" i="5"/>
  <c r="M385" i="5" s="1"/>
  <c r="M384" i="5"/>
  <c r="M383" i="5" s="1"/>
  <c r="N158" i="5"/>
  <c r="O236" i="5"/>
  <c r="H159" i="5"/>
  <c r="H158" i="5" s="1"/>
  <c r="H151" i="5" s="1"/>
  <c r="G185" i="5"/>
  <c r="G151" i="5" s="1"/>
  <c r="I185" i="5"/>
  <c r="J223" i="5"/>
  <c r="I158" i="5"/>
  <c r="K33" i="5"/>
  <c r="K20" i="5" s="1"/>
  <c r="L223" i="5"/>
  <c r="O59" i="5"/>
  <c r="O34" i="5" s="1"/>
  <c r="O158" i="5"/>
  <c r="M59" i="5"/>
  <c r="M34" i="5" s="1"/>
  <c r="N59" i="5"/>
  <c r="N34" i="5" s="1"/>
  <c r="J185" i="5"/>
  <c r="J151" i="5" s="1"/>
  <c r="L185" i="5"/>
  <c r="L151" i="5" s="1"/>
  <c r="L59" i="5"/>
  <c r="L34" i="5" s="1"/>
  <c r="G59" i="5"/>
  <c r="G34" i="5" s="1"/>
  <c r="M108" i="5"/>
  <c r="I59" i="5"/>
  <c r="I34" i="5" s="1"/>
  <c r="L108" i="5"/>
  <c r="I108" i="5"/>
  <c r="O108" i="5"/>
  <c r="N108" i="5"/>
  <c r="M185" i="5"/>
  <c r="M151" i="5" s="1"/>
  <c r="N411" i="3"/>
  <c r="N410" i="3" s="1"/>
  <c r="N409" i="3" s="1"/>
  <c r="N408" i="3" s="1"/>
  <c r="N407" i="3" s="1"/>
  <c r="N406" i="3" s="1"/>
  <c r="N403" i="3"/>
  <c r="N402" i="3" s="1"/>
  <c r="N399" i="3"/>
  <c r="N398" i="3" s="1"/>
  <c r="N390" i="3"/>
  <c r="N389" i="3" s="1"/>
  <c r="N388" i="3" s="1"/>
  <c r="N384" i="3"/>
  <c r="N383" i="3" s="1"/>
  <c r="N380" i="3"/>
  <c r="N379" i="3" s="1"/>
  <c r="N374" i="3"/>
  <c r="N373" i="3" s="1"/>
  <c r="N372" i="3" s="1"/>
  <c r="N371" i="3" s="1"/>
  <c r="N370" i="3" s="1"/>
  <c r="N365" i="3"/>
  <c r="N363" i="3"/>
  <c r="N358" i="3"/>
  <c r="N354" i="3"/>
  <c r="N352" i="3"/>
  <c r="N350" i="3"/>
  <c r="N342" i="3"/>
  <c r="N341" i="3" s="1"/>
  <c r="N340" i="3" s="1"/>
  <c r="N339" i="3" s="1"/>
  <c r="N338" i="3" s="1"/>
  <c r="N337" i="3" s="1"/>
  <c r="N335" i="3"/>
  <c r="N334" i="3" s="1"/>
  <c r="N333" i="3" s="1"/>
  <c r="N330" i="3"/>
  <c r="N329" i="3" s="1"/>
  <c r="N328" i="3" s="1"/>
  <c r="N324" i="3"/>
  <c r="N323" i="3" s="1"/>
  <c r="N322" i="3" s="1"/>
  <c r="N321" i="3" s="1"/>
  <c r="N320" i="3" s="1"/>
  <c r="N318" i="3"/>
  <c r="N317" i="3" s="1"/>
  <c r="N316" i="3" s="1"/>
  <c r="N315" i="3" s="1"/>
  <c r="N314" i="3" s="1"/>
  <c r="N312" i="3"/>
  <c r="N311" i="3" s="1"/>
  <c r="N310" i="3" s="1"/>
  <c r="N309" i="3" s="1"/>
  <c r="N308" i="3" s="1"/>
  <c r="N306" i="3"/>
  <c r="N305" i="3" s="1"/>
  <c r="N304" i="3" s="1"/>
  <c r="N303" i="3" s="1"/>
  <c r="N302" i="3" s="1"/>
  <c r="N299" i="3"/>
  <c r="N298" i="3" s="1"/>
  <c r="N297" i="3" s="1"/>
  <c r="N296" i="3" s="1"/>
  <c r="N294" i="3"/>
  <c r="N290" i="3"/>
  <c r="N287" i="3"/>
  <c r="N285" i="3"/>
  <c r="N279" i="3"/>
  <c r="N278" i="3" s="1"/>
  <c r="N276" i="3"/>
  <c r="N275" i="3" s="1"/>
  <c r="N270" i="3"/>
  <c r="N269" i="3" s="1"/>
  <c r="N268" i="3" s="1"/>
  <c r="N266" i="3"/>
  <c r="N265" i="3" s="1"/>
  <c r="N264" i="3" s="1"/>
  <c r="N263" i="3" s="1"/>
  <c r="N261" i="3"/>
  <c r="N260" i="3" s="1"/>
  <c r="N259" i="3" s="1"/>
  <c r="N257" i="3"/>
  <c r="N255" i="3"/>
  <c r="N253" i="3"/>
  <c r="N251" i="3"/>
  <c r="N249" i="3"/>
  <c r="N247" i="3"/>
  <c r="N237" i="3"/>
  <c r="N236" i="3"/>
  <c r="N234" i="3" s="1"/>
  <c r="N229" i="3"/>
  <c r="N227" i="3"/>
  <c r="N225" i="3"/>
  <c r="N223" i="3"/>
  <c r="N217" i="3"/>
  <c r="N215" i="3"/>
  <c r="N214" i="3"/>
  <c r="N213" i="3" s="1"/>
  <c r="N212" i="3" s="1"/>
  <c r="N211" i="3" s="1"/>
  <c r="N208" i="3"/>
  <c r="N207" i="3" s="1"/>
  <c r="N206" i="3" s="1"/>
  <c r="N203" i="3"/>
  <c r="N202" i="3" s="1"/>
  <c r="N201" i="3" s="1"/>
  <c r="N198" i="3"/>
  <c r="N197" i="3" s="1"/>
  <c r="N196" i="3" s="1"/>
  <c r="N193" i="3"/>
  <c r="N192" i="3" s="1"/>
  <c r="N189" i="3"/>
  <c r="N188" i="3" s="1"/>
  <c r="N185" i="3"/>
  <c r="N184" i="3" s="1"/>
  <c r="N183" i="3" s="1"/>
  <c r="N179" i="3"/>
  <c r="N178" i="3"/>
  <c r="N177" i="3" s="1"/>
  <c r="N176" i="3" s="1"/>
  <c r="N175" i="3" s="1"/>
  <c r="N173" i="3"/>
  <c r="N172" i="3" s="1"/>
  <c r="N171" i="3" s="1"/>
  <c r="N170" i="3" s="1"/>
  <c r="N168" i="3"/>
  <c r="N167" i="3" s="1"/>
  <c r="N165" i="3"/>
  <c r="N162" i="3"/>
  <c r="N161" i="3" s="1"/>
  <c r="N156" i="3"/>
  <c r="N155" i="3" s="1"/>
  <c r="N154" i="3" s="1"/>
  <c r="N153" i="3" s="1"/>
  <c r="N152" i="3" s="1"/>
  <c r="N149" i="3"/>
  <c r="N148" i="3" s="1"/>
  <c r="N147" i="3" s="1"/>
  <c r="N145" i="3"/>
  <c r="N144" i="3" s="1"/>
  <c r="N143" i="3" s="1"/>
  <c r="N141" i="3"/>
  <c r="N139" i="3"/>
  <c r="N133" i="3"/>
  <c r="N132" i="3" s="1"/>
  <c r="N131" i="3" s="1"/>
  <c r="N129" i="3"/>
  <c r="N128" i="3" s="1"/>
  <c r="N127" i="3" s="1"/>
  <c r="N125" i="3"/>
  <c r="N124" i="3" s="1"/>
  <c r="N122" i="3"/>
  <c r="N121" i="3" s="1"/>
  <c r="N119" i="3"/>
  <c r="N117" i="3"/>
  <c r="N113" i="3"/>
  <c r="N106" i="3"/>
  <c r="N105" i="3" s="1"/>
  <c r="N104" i="3" s="1"/>
  <c r="N102" i="3"/>
  <c r="N101" i="3" s="1"/>
  <c r="N100" i="3" s="1"/>
  <c r="N97" i="3"/>
  <c r="N94" i="3"/>
  <c r="N89" i="3"/>
  <c r="N88" i="3" s="1"/>
  <c r="N83" i="3"/>
  <c r="N82" i="3" s="1"/>
  <c r="N81" i="3" s="1"/>
  <c r="N79" i="3"/>
  <c r="N78" i="3" s="1"/>
  <c r="N77" i="3" s="1"/>
  <c r="N75" i="3"/>
  <c r="N73" i="3"/>
  <c r="N68" i="3"/>
  <c r="N67" i="3" s="1"/>
  <c r="N66" i="3" s="1"/>
  <c r="N65" i="3" s="1"/>
  <c r="N63" i="3"/>
  <c r="N62" i="3" s="1"/>
  <c r="N61" i="3" s="1"/>
  <c r="N60" i="3" s="1"/>
  <c r="N57" i="3"/>
  <c r="N56" i="3" s="1"/>
  <c r="N55" i="3" s="1"/>
  <c r="N54" i="3" s="1"/>
  <c r="N52" i="3"/>
  <c r="N47" i="3" s="1"/>
  <c r="N48" i="3"/>
  <c r="N43" i="3"/>
  <c r="N42" i="3" s="1"/>
  <c r="N38" i="3"/>
  <c r="N37" i="3" s="1"/>
  <c r="N36" i="3" s="1"/>
  <c r="N35" i="3" s="1"/>
  <c r="N31" i="3"/>
  <c r="N30" i="3" s="1"/>
  <c r="N29" i="3" s="1"/>
  <c r="N28" i="3" s="1"/>
  <c r="N26" i="3"/>
  <c r="N25" i="3" s="1"/>
  <c r="N24" i="3" s="1"/>
  <c r="N23" i="3" s="1"/>
  <c r="O411" i="3"/>
  <c r="O410" i="3" s="1"/>
  <c r="O409" i="3" s="1"/>
  <c r="O408" i="3" s="1"/>
  <c r="O407" i="3" s="1"/>
  <c r="O406" i="3" s="1"/>
  <c r="O405" i="3"/>
  <c r="O404" i="3"/>
  <c r="O399" i="3"/>
  <c r="O398" i="3" s="1"/>
  <c r="O392" i="3"/>
  <c r="O391" i="3"/>
  <c r="O387" i="3"/>
  <c r="O386" i="3"/>
  <c r="O385" i="3"/>
  <c r="O382" i="3"/>
  <c r="O381" i="3"/>
  <c r="O375" i="3"/>
  <c r="O374" i="3" s="1"/>
  <c r="O373" i="3" s="1"/>
  <c r="O372" i="3" s="1"/>
  <c r="O371" i="3" s="1"/>
  <c r="O370" i="3" s="1"/>
  <c r="O365" i="3"/>
  <c r="O364" i="3"/>
  <c r="O363" i="3" s="1"/>
  <c r="O362" i="3"/>
  <c r="O361" i="3"/>
  <c r="O360" i="3"/>
  <c r="O359" i="3"/>
  <c r="O354" i="3"/>
  <c r="O353" i="3"/>
  <c r="O352" i="3" s="1"/>
  <c r="O351" i="3"/>
  <c r="O350" i="3" s="1"/>
  <c r="O343" i="3"/>
  <c r="O342" i="3" s="1"/>
  <c r="O341" i="3" s="1"/>
  <c r="O340" i="3" s="1"/>
  <c r="O339" i="3" s="1"/>
  <c r="O338" i="3" s="1"/>
  <c r="O337" i="3" s="1"/>
  <c r="O335" i="3"/>
  <c r="O334" i="3" s="1"/>
  <c r="O333" i="3" s="1"/>
  <c r="O330" i="3"/>
  <c r="O329" i="3" s="1"/>
  <c r="O328" i="3" s="1"/>
  <c r="O324" i="3"/>
  <c r="O323" i="3" s="1"/>
  <c r="O322" i="3" s="1"/>
  <c r="O321" i="3" s="1"/>
  <c r="O320" i="3" s="1"/>
  <c r="O318" i="3"/>
  <c r="O317" i="3" s="1"/>
  <c r="O316" i="3" s="1"/>
  <c r="O315" i="3" s="1"/>
  <c r="O314" i="3" s="1"/>
  <c r="O312" i="3"/>
  <c r="O311" i="3" s="1"/>
  <c r="O310" i="3" s="1"/>
  <c r="O309" i="3" s="1"/>
  <c r="O308" i="3" s="1"/>
  <c r="O306" i="3"/>
  <c r="O305" i="3" s="1"/>
  <c r="O304" i="3" s="1"/>
  <c r="O303" i="3" s="1"/>
  <c r="O302" i="3" s="1"/>
  <c r="O299" i="3"/>
  <c r="O298" i="3" s="1"/>
  <c r="O297" i="3" s="1"/>
  <c r="O296" i="3" s="1"/>
  <c r="O294" i="3"/>
  <c r="O290" i="3"/>
  <c r="O287" i="3"/>
  <c r="O285" i="3"/>
  <c r="O279" i="3"/>
  <c r="O278" i="3" s="1"/>
  <c r="O276" i="3"/>
  <c r="O275" i="3" s="1"/>
  <c r="O270" i="3"/>
  <c r="O269" i="3" s="1"/>
  <c r="O268" i="3" s="1"/>
  <c r="O266" i="3"/>
  <c r="O265" i="3" s="1"/>
  <c r="O264" i="3" s="1"/>
  <c r="O263" i="3" s="1"/>
  <c r="O261" i="3"/>
  <c r="O260" i="3" s="1"/>
  <c r="O259" i="3" s="1"/>
  <c r="O258" i="3"/>
  <c r="O257" i="3" s="1"/>
  <c r="O255" i="3"/>
  <c r="O253" i="3"/>
  <c r="O251" i="3"/>
  <c r="O249" i="3"/>
  <c r="O247" i="3"/>
  <c r="O236" i="3"/>
  <c r="O234" i="3" s="1"/>
  <c r="O225" i="3"/>
  <c r="O223" i="3"/>
  <c r="O218" i="3"/>
  <c r="O217" i="3" s="1"/>
  <c r="O215" i="3"/>
  <c r="O208" i="3"/>
  <c r="O207" i="3" s="1"/>
  <c r="O206" i="3" s="1"/>
  <c r="O203" i="3"/>
  <c r="O202" i="3" s="1"/>
  <c r="O201" i="3" s="1"/>
  <c r="O198" i="3"/>
  <c r="O197" i="3" s="1"/>
  <c r="O196" i="3" s="1"/>
  <c r="O193" i="3"/>
  <c r="O192" i="3" s="1"/>
  <c r="O189" i="3"/>
  <c r="O188" i="3" s="1"/>
  <c r="O185" i="3"/>
  <c r="O184" i="3" s="1"/>
  <c r="O183" i="3" s="1"/>
  <c r="O179" i="3"/>
  <c r="O178" i="3" s="1"/>
  <c r="O177" i="3" s="1"/>
  <c r="O176" i="3" s="1"/>
  <c r="O175" i="3" s="1"/>
  <c r="O173" i="3"/>
  <c r="O172" i="3" s="1"/>
  <c r="O171" i="3" s="1"/>
  <c r="O170" i="3" s="1"/>
  <c r="O169" i="3"/>
  <c r="O168" i="3" s="1"/>
  <c r="O167" i="3" s="1"/>
  <c r="O165" i="3"/>
  <c r="O163" i="3"/>
  <c r="O162" i="3" s="1"/>
  <c r="O156" i="3"/>
  <c r="O155" i="3" s="1"/>
  <c r="O154" i="3" s="1"/>
  <c r="O153" i="3" s="1"/>
  <c r="O152" i="3" s="1"/>
  <c r="O149" i="3"/>
  <c r="O148" i="3" s="1"/>
  <c r="O147" i="3" s="1"/>
  <c r="O145" i="3"/>
  <c r="O144" i="3" s="1"/>
  <c r="O143" i="3" s="1"/>
  <c r="O141" i="3"/>
  <c r="O140" i="3"/>
  <c r="O139" i="3" s="1"/>
  <c r="O133" i="3"/>
  <c r="O132" i="3" s="1"/>
  <c r="O131" i="3" s="1"/>
  <c r="O129" i="3"/>
  <c r="O128" i="3" s="1"/>
  <c r="O127" i="3" s="1"/>
  <c r="O126" i="3"/>
  <c r="O125" i="3" s="1"/>
  <c r="O124" i="3" s="1"/>
  <c r="O123" i="3"/>
  <c r="O122" i="3" s="1"/>
  <c r="O121" i="3" s="1"/>
  <c r="O119" i="3"/>
  <c r="O118" i="3"/>
  <c r="O117" i="3" s="1"/>
  <c r="O113" i="3"/>
  <c r="O106" i="3"/>
  <c r="O105" i="3" s="1"/>
  <c r="O104" i="3" s="1"/>
  <c r="O102" i="3"/>
  <c r="O101" i="3" s="1"/>
  <c r="O100" i="3" s="1"/>
  <c r="O99" i="3"/>
  <c r="O98" i="3"/>
  <c r="O94" i="3"/>
  <c r="O89" i="3"/>
  <c r="O88" i="3" s="1"/>
  <c r="O83" i="3"/>
  <c r="O82" i="3" s="1"/>
  <c r="O81" i="3" s="1"/>
  <c r="O79" i="3"/>
  <c r="O78" i="3" s="1"/>
  <c r="O77" i="3" s="1"/>
  <c r="O75" i="3"/>
  <c r="O73" i="3"/>
  <c r="O68" i="3"/>
  <c r="O67" i="3" s="1"/>
  <c r="O66" i="3" s="1"/>
  <c r="O65" i="3" s="1"/>
  <c r="O63" i="3"/>
  <c r="O62" i="3" s="1"/>
  <c r="O61" i="3" s="1"/>
  <c r="O60" i="3" s="1"/>
  <c r="O57" i="3"/>
  <c r="O56" i="3" s="1"/>
  <c r="O55" i="3" s="1"/>
  <c r="O54" i="3" s="1"/>
  <c r="O52" i="3"/>
  <c r="O47" i="3" s="1"/>
  <c r="O43" i="3"/>
  <c r="O42" i="3" s="1"/>
  <c r="O38" i="3"/>
  <c r="O37" i="3" s="1"/>
  <c r="O36" i="3" s="1"/>
  <c r="O35" i="3" s="1"/>
  <c r="O32" i="3"/>
  <c r="O31" i="3" s="1"/>
  <c r="O30" i="3" s="1"/>
  <c r="O29" i="3" s="1"/>
  <c r="O28" i="3" s="1"/>
  <c r="O27" i="3"/>
  <c r="O26" i="3" s="1"/>
  <c r="O25" i="3" s="1"/>
  <c r="O24" i="3" s="1"/>
  <c r="O23" i="3" s="1"/>
  <c r="M411" i="3"/>
  <c r="M410" i="3" s="1"/>
  <c r="M409" i="3" s="1"/>
  <c r="M408" i="3" s="1"/>
  <c r="M407" i="3" s="1"/>
  <c r="M406" i="3" s="1"/>
  <c r="M405" i="3"/>
  <c r="M404" i="3"/>
  <c r="M399" i="3"/>
  <c r="M398" i="3" s="1"/>
  <c r="M392" i="3"/>
  <c r="M391" i="3"/>
  <c r="M387" i="3"/>
  <c r="M386" i="3"/>
  <c r="M385" i="3"/>
  <c r="M382" i="3"/>
  <c r="M381" i="3"/>
  <c r="M375" i="3"/>
  <c r="M374" i="3" s="1"/>
  <c r="M373" i="3" s="1"/>
  <c r="M372" i="3" s="1"/>
  <c r="M371" i="3" s="1"/>
  <c r="M370" i="3" s="1"/>
  <c r="M365" i="3"/>
  <c r="M364" i="3"/>
  <c r="M363" i="3" s="1"/>
  <c r="M362" i="3"/>
  <c r="M361" i="3"/>
  <c r="M360" i="3"/>
  <c r="M359" i="3"/>
  <c r="M354" i="3"/>
  <c r="M353" i="3"/>
  <c r="M352" i="3" s="1"/>
  <c r="M351" i="3"/>
  <c r="M350" i="3" s="1"/>
  <c r="M343" i="3"/>
  <c r="M342" i="3" s="1"/>
  <c r="M341" i="3" s="1"/>
  <c r="M340" i="3" s="1"/>
  <c r="M339" i="3" s="1"/>
  <c r="M338" i="3" s="1"/>
  <c r="M337" i="3" s="1"/>
  <c r="M335" i="3"/>
  <c r="M334" i="3" s="1"/>
  <c r="M333" i="3" s="1"/>
  <c r="M330" i="3"/>
  <c r="M329" i="3" s="1"/>
  <c r="M328" i="3" s="1"/>
  <c r="M324" i="3"/>
  <c r="M323" i="3" s="1"/>
  <c r="M322" i="3" s="1"/>
  <c r="M321" i="3" s="1"/>
  <c r="M320" i="3" s="1"/>
  <c r="M318" i="3"/>
  <c r="M317" i="3" s="1"/>
  <c r="M316" i="3" s="1"/>
  <c r="M315" i="3" s="1"/>
  <c r="M314" i="3" s="1"/>
  <c r="M312" i="3"/>
  <c r="M311" i="3" s="1"/>
  <c r="M310" i="3" s="1"/>
  <c r="M309" i="3" s="1"/>
  <c r="M308" i="3" s="1"/>
  <c r="M306" i="3"/>
  <c r="M305" i="3" s="1"/>
  <c r="M304" i="3" s="1"/>
  <c r="M303" i="3" s="1"/>
  <c r="M302" i="3" s="1"/>
  <c r="M299" i="3"/>
  <c r="M298" i="3" s="1"/>
  <c r="M297" i="3" s="1"/>
  <c r="M296" i="3" s="1"/>
  <c r="M294" i="3"/>
  <c r="M290" i="3"/>
  <c r="M287" i="3"/>
  <c r="M285" i="3"/>
  <c r="M279" i="3"/>
  <c r="M278" i="3" s="1"/>
  <c r="M276" i="3"/>
  <c r="M275" i="3" s="1"/>
  <c r="M270" i="3"/>
  <c r="M269" i="3" s="1"/>
  <c r="M268" i="3" s="1"/>
  <c r="M266" i="3"/>
  <c r="M265" i="3" s="1"/>
  <c r="M264" i="3" s="1"/>
  <c r="M263" i="3" s="1"/>
  <c r="M261" i="3"/>
  <c r="M260" i="3" s="1"/>
  <c r="M259" i="3" s="1"/>
  <c r="M258" i="3"/>
  <c r="M257" i="3" s="1"/>
  <c r="M255" i="3"/>
  <c r="M253" i="3"/>
  <c r="M251" i="3"/>
  <c r="M249" i="3"/>
  <c r="M247" i="3"/>
  <c r="M236" i="3"/>
  <c r="M234" i="3" s="1"/>
  <c r="M225" i="3"/>
  <c r="M223" i="3"/>
  <c r="M218" i="3"/>
  <c r="M217" i="3" s="1"/>
  <c r="M215" i="3"/>
  <c r="M208" i="3"/>
  <c r="M207" i="3" s="1"/>
  <c r="M206" i="3" s="1"/>
  <c r="M203" i="3"/>
  <c r="M202" i="3" s="1"/>
  <c r="M201" i="3" s="1"/>
  <c r="M198" i="3"/>
  <c r="M197" i="3" s="1"/>
  <c r="M196" i="3" s="1"/>
  <c r="M193" i="3"/>
  <c r="M192" i="3" s="1"/>
  <c r="M189" i="3"/>
  <c r="M188" i="3" s="1"/>
  <c r="M185" i="3"/>
  <c r="M184" i="3" s="1"/>
  <c r="M183" i="3" s="1"/>
  <c r="M179" i="3"/>
  <c r="M178" i="3" s="1"/>
  <c r="M177" i="3" s="1"/>
  <c r="M176" i="3" s="1"/>
  <c r="M175" i="3" s="1"/>
  <c r="M173" i="3"/>
  <c r="M172" i="3" s="1"/>
  <c r="M171" i="3" s="1"/>
  <c r="M170" i="3" s="1"/>
  <c r="M169" i="3"/>
  <c r="M168" i="3" s="1"/>
  <c r="M167" i="3" s="1"/>
  <c r="M165" i="3"/>
  <c r="M163" i="3"/>
  <c r="M162" i="3" s="1"/>
  <c r="M156" i="3"/>
  <c r="M155" i="3" s="1"/>
  <c r="M154" i="3" s="1"/>
  <c r="M153" i="3" s="1"/>
  <c r="M152" i="3" s="1"/>
  <c r="M149" i="3"/>
  <c r="M148" i="3" s="1"/>
  <c r="M147" i="3" s="1"/>
  <c r="M145" i="3"/>
  <c r="M144" i="3" s="1"/>
  <c r="M143" i="3" s="1"/>
  <c r="M141" i="3"/>
  <c r="M140" i="3"/>
  <c r="M139" i="3" s="1"/>
  <c r="M138" i="3" s="1"/>
  <c r="M137" i="3" s="1"/>
  <c r="M133" i="3"/>
  <c r="M132" i="3"/>
  <c r="M131" i="3" s="1"/>
  <c r="M129" i="3"/>
  <c r="M128" i="3" s="1"/>
  <c r="M127" i="3" s="1"/>
  <c r="M126" i="3"/>
  <c r="M125" i="3" s="1"/>
  <c r="M124" i="3" s="1"/>
  <c r="M123" i="3"/>
  <c r="M122" i="3" s="1"/>
  <c r="M121" i="3" s="1"/>
  <c r="M119" i="3"/>
  <c r="M118" i="3"/>
  <c r="M117" i="3" s="1"/>
  <c r="M113" i="3"/>
  <c r="M106" i="3"/>
  <c r="M105" i="3" s="1"/>
  <c r="M104" i="3" s="1"/>
  <c r="M102" i="3"/>
  <c r="M101" i="3" s="1"/>
  <c r="M100" i="3" s="1"/>
  <c r="M99" i="3"/>
  <c r="M98" i="3"/>
  <c r="M94" i="3"/>
  <c r="M89" i="3"/>
  <c r="M88" i="3" s="1"/>
  <c r="M83" i="3"/>
  <c r="M82" i="3" s="1"/>
  <c r="M81" i="3" s="1"/>
  <c r="M79" i="3"/>
  <c r="M78" i="3" s="1"/>
  <c r="M77" i="3" s="1"/>
  <c r="M75" i="3"/>
  <c r="M73" i="3"/>
  <c r="M72" i="3" s="1"/>
  <c r="M71" i="3" s="1"/>
  <c r="M68" i="3"/>
  <c r="M67" i="3" s="1"/>
  <c r="M66" i="3" s="1"/>
  <c r="M65" i="3" s="1"/>
  <c r="M63" i="3"/>
  <c r="M62" i="3" s="1"/>
  <c r="M61" i="3" s="1"/>
  <c r="M60" i="3" s="1"/>
  <c r="M57" i="3"/>
  <c r="M56" i="3"/>
  <c r="M55" i="3" s="1"/>
  <c r="M54" i="3" s="1"/>
  <c r="M52" i="3"/>
  <c r="M47" i="3" s="1"/>
  <c r="M43" i="3"/>
  <c r="M42" i="3" s="1"/>
  <c r="M41" i="3" s="1"/>
  <c r="M38" i="3"/>
  <c r="M37" i="3" s="1"/>
  <c r="M36" i="3" s="1"/>
  <c r="M35" i="3" s="1"/>
  <c r="M32" i="3"/>
  <c r="M31" i="3" s="1"/>
  <c r="M30" i="3" s="1"/>
  <c r="M29" i="3" s="1"/>
  <c r="M28" i="3" s="1"/>
  <c r="M27" i="3"/>
  <c r="M26" i="3" s="1"/>
  <c r="M25" i="3" s="1"/>
  <c r="M24" i="3" s="1"/>
  <c r="M23" i="3" s="1"/>
  <c r="L411" i="3"/>
  <c r="L410" i="3" s="1"/>
  <c r="L409" i="3" s="1"/>
  <c r="L408" i="3" s="1"/>
  <c r="L407" i="3" s="1"/>
  <c r="L406" i="3" s="1"/>
  <c r="L403" i="3"/>
  <c r="L402" i="3" s="1"/>
  <c r="L399" i="3"/>
  <c r="L398" i="3" s="1"/>
  <c r="L397" i="3" s="1"/>
  <c r="L396" i="3" s="1"/>
  <c r="L395" i="3" s="1"/>
  <c r="L394" i="3" s="1"/>
  <c r="L390" i="3"/>
  <c r="L389" i="3"/>
  <c r="L388" i="3" s="1"/>
  <c r="L384" i="3"/>
  <c r="L383" i="3" s="1"/>
  <c r="L380" i="3"/>
  <c r="L379" i="3" s="1"/>
  <c r="L378" i="3" s="1"/>
  <c r="L374" i="3"/>
  <c r="L373" i="3" s="1"/>
  <c r="L372" i="3" s="1"/>
  <c r="L371" i="3" s="1"/>
  <c r="L370" i="3" s="1"/>
  <c r="L365" i="3"/>
  <c r="L363" i="3"/>
  <c r="L358" i="3"/>
  <c r="L354" i="3"/>
  <c r="L352" i="3"/>
  <c r="L350" i="3"/>
  <c r="L342" i="3"/>
  <c r="L341" i="3" s="1"/>
  <c r="L340" i="3" s="1"/>
  <c r="L339" i="3" s="1"/>
  <c r="L338" i="3" s="1"/>
  <c r="L337" i="3" s="1"/>
  <c r="L335" i="3"/>
  <c r="L334" i="3" s="1"/>
  <c r="L333" i="3" s="1"/>
  <c r="L330" i="3"/>
  <c r="L329" i="3" s="1"/>
  <c r="L328" i="3" s="1"/>
  <c r="L324" i="3"/>
  <c r="L323" i="3" s="1"/>
  <c r="L322" i="3" s="1"/>
  <c r="L321" i="3" s="1"/>
  <c r="L320" i="3" s="1"/>
  <c r="L318" i="3"/>
  <c r="L317" i="3" s="1"/>
  <c r="L316" i="3" s="1"/>
  <c r="L315" i="3" s="1"/>
  <c r="L314" i="3" s="1"/>
  <c r="L312" i="3"/>
  <c r="L311" i="3" s="1"/>
  <c r="L310" i="3" s="1"/>
  <c r="L309" i="3" s="1"/>
  <c r="L308" i="3" s="1"/>
  <c r="L306" i="3"/>
  <c r="L305" i="3" s="1"/>
  <c r="L304" i="3" s="1"/>
  <c r="L303" i="3" s="1"/>
  <c r="L302" i="3" s="1"/>
  <c r="L299" i="3"/>
  <c r="L298" i="3" s="1"/>
  <c r="L297" i="3" s="1"/>
  <c r="L296" i="3" s="1"/>
  <c r="L294" i="3"/>
  <c r="L290" i="3"/>
  <c r="L287" i="3"/>
  <c r="L285" i="3"/>
  <c r="L279" i="3"/>
  <c r="L278" i="3" s="1"/>
  <c r="L276" i="3"/>
  <c r="L275" i="3" s="1"/>
  <c r="L270" i="3"/>
  <c r="L269" i="3" s="1"/>
  <c r="L268" i="3" s="1"/>
  <c r="L266" i="3"/>
  <c r="L265" i="3" s="1"/>
  <c r="L264" i="3" s="1"/>
  <c r="L263" i="3" s="1"/>
  <c r="L261" i="3"/>
  <c r="L260" i="3" s="1"/>
  <c r="L259" i="3" s="1"/>
  <c r="L257" i="3"/>
  <c r="L255" i="3"/>
  <c r="L253" i="3"/>
  <c r="L251" i="3"/>
  <c r="L249" i="3"/>
  <c r="L247" i="3"/>
  <c r="L238" i="3"/>
  <c r="O238" i="3" s="1"/>
  <c r="O237" i="3" s="1"/>
  <c r="L234" i="3"/>
  <c r="L230" i="3"/>
  <c r="L228" i="3"/>
  <c r="O228" i="3" s="1"/>
  <c r="O227" i="3" s="1"/>
  <c r="L225" i="3"/>
  <c r="L223" i="3"/>
  <c r="L217" i="3"/>
  <c r="L215" i="3"/>
  <c r="L208" i="3"/>
  <c r="L207" i="3"/>
  <c r="L206" i="3" s="1"/>
  <c r="L203" i="3"/>
  <c r="L202" i="3" s="1"/>
  <c r="L201" i="3" s="1"/>
  <c r="L198" i="3"/>
  <c r="L197" i="3" s="1"/>
  <c r="L196" i="3" s="1"/>
  <c r="L193" i="3"/>
  <c r="L192" i="3" s="1"/>
  <c r="L189" i="3"/>
  <c r="L188" i="3" s="1"/>
  <c r="L185" i="3"/>
  <c r="L184" i="3" s="1"/>
  <c r="L183" i="3" s="1"/>
  <c r="L179" i="3"/>
  <c r="L178" i="3" s="1"/>
  <c r="L177" i="3" s="1"/>
  <c r="L176" i="3" s="1"/>
  <c r="L175" i="3" s="1"/>
  <c r="L173" i="3"/>
  <c r="L172" i="3" s="1"/>
  <c r="L171" i="3" s="1"/>
  <c r="L170" i="3" s="1"/>
  <c r="L168" i="3"/>
  <c r="L167" i="3" s="1"/>
  <c r="L165" i="3"/>
  <c r="L162" i="3"/>
  <c r="L156" i="3"/>
  <c r="L155" i="3" s="1"/>
  <c r="L154" i="3" s="1"/>
  <c r="L153" i="3" s="1"/>
  <c r="L152" i="3" s="1"/>
  <c r="L149" i="3"/>
  <c r="L148" i="3" s="1"/>
  <c r="L147" i="3" s="1"/>
  <c r="L145" i="3"/>
  <c r="L144" i="3" s="1"/>
  <c r="L143" i="3" s="1"/>
  <c r="L141" i="3"/>
  <c r="L139" i="3"/>
  <c r="L133" i="3"/>
  <c r="L132" i="3" s="1"/>
  <c r="L131" i="3" s="1"/>
  <c r="L129" i="3"/>
  <c r="L128" i="3" s="1"/>
  <c r="L127" i="3" s="1"/>
  <c r="L125" i="3"/>
  <c r="L124" i="3" s="1"/>
  <c r="L122" i="3"/>
  <c r="L121" i="3" s="1"/>
  <c r="L119" i="3"/>
  <c r="L117" i="3"/>
  <c r="L113" i="3"/>
  <c r="L106" i="3"/>
  <c r="L105" i="3" s="1"/>
  <c r="L104" i="3" s="1"/>
  <c r="L102" i="3"/>
  <c r="L101" i="3" s="1"/>
  <c r="L100" i="3" s="1"/>
  <c r="L97" i="3"/>
  <c r="L94" i="3"/>
  <c r="L89" i="3"/>
  <c r="L88" i="3" s="1"/>
  <c r="L83" i="3"/>
  <c r="L82" i="3" s="1"/>
  <c r="L81" i="3" s="1"/>
  <c r="L79" i="3"/>
  <c r="L78" i="3" s="1"/>
  <c r="L77" i="3" s="1"/>
  <c r="L75" i="3"/>
  <c r="L73" i="3"/>
  <c r="L68" i="3"/>
  <c r="L67" i="3" s="1"/>
  <c r="L66" i="3" s="1"/>
  <c r="L65" i="3" s="1"/>
  <c r="L63" i="3"/>
  <c r="L62" i="3" s="1"/>
  <c r="L61" i="3" s="1"/>
  <c r="L60" i="3" s="1"/>
  <c r="L57" i="3"/>
  <c r="L56" i="3" s="1"/>
  <c r="L55" i="3" s="1"/>
  <c r="L54" i="3" s="1"/>
  <c r="L52" i="3"/>
  <c r="L48" i="3"/>
  <c r="L43" i="3"/>
  <c r="L42" i="3" s="1"/>
  <c r="L38" i="3"/>
  <c r="L37" i="3" s="1"/>
  <c r="L36" i="3" s="1"/>
  <c r="L35" i="3" s="1"/>
  <c r="L31" i="3"/>
  <c r="L30" i="3" s="1"/>
  <c r="L29" i="3" s="1"/>
  <c r="L28" i="3" s="1"/>
  <c r="L26" i="3"/>
  <c r="L25" i="3" s="1"/>
  <c r="L24" i="3" s="1"/>
  <c r="L23" i="3" s="1"/>
  <c r="K410" i="3"/>
  <c r="K409" i="3" s="1"/>
  <c r="K408" i="3" s="1"/>
  <c r="K407" i="3" s="1"/>
  <c r="K406" i="3" s="1"/>
  <c r="K405" i="3" s="1"/>
  <c r="K402" i="3"/>
  <c r="K401" i="3" s="1"/>
  <c r="K397" i="3"/>
  <c r="K389" i="3"/>
  <c r="K388" i="3" s="1"/>
  <c r="K383" i="3"/>
  <c r="K379" i="3"/>
  <c r="K378" i="3" s="1"/>
  <c r="K377" i="3" s="1"/>
  <c r="K376" i="3" s="1"/>
  <c r="K373" i="3"/>
  <c r="K372" i="3" s="1"/>
  <c r="K371" i="3" s="1"/>
  <c r="K370" i="3" s="1"/>
  <c r="K357" i="3"/>
  <c r="K356" i="3" s="1"/>
  <c r="K349" i="3"/>
  <c r="K348" i="3" s="1"/>
  <c r="K347" i="3" s="1"/>
  <c r="K346" i="3" s="1"/>
  <c r="K345" i="3" s="1"/>
  <c r="K344" i="3" s="1"/>
  <c r="K341" i="3"/>
  <c r="K340" i="3" s="1"/>
  <c r="K339" i="3" s="1"/>
  <c r="K338" i="3" s="1"/>
  <c r="K337" i="3" s="1"/>
  <c r="K336" i="3" s="1"/>
  <c r="K334" i="3"/>
  <c r="K333" i="3" s="1"/>
  <c r="K329" i="3"/>
  <c r="K328" i="3" s="1"/>
  <c r="K327" i="3" s="1"/>
  <c r="K326" i="3" s="1"/>
  <c r="K323" i="3"/>
  <c r="K322" i="3" s="1"/>
  <c r="K321" i="3" s="1"/>
  <c r="K320" i="3" s="1"/>
  <c r="K317" i="3"/>
  <c r="K316" i="3" s="1"/>
  <c r="K315" i="3" s="1"/>
  <c r="K314" i="3" s="1"/>
  <c r="K311" i="3"/>
  <c r="K310" i="3" s="1"/>
  <c r="K309" i="3" s="1"/>
  <c r="K308" i="3" s="1"/>
  <c r="K305" i="3"/>
  <c r="K304" i="3" s="1"/>
  <c r="K303" i="3" s="1"/>
  <c r="K302" i="3" s="1"/>
  <c r="K301" i="3" s="1"/>
  <c r="K298" i="3"/>
  <c r="K297" i="3" s="1"/>
  <c r="K296" i="3" s="1"/>
  <c r="K289" i="3"/>
  <c r="K284" i="3"/>
  <c r="K283" i="3" s="1"/>
  <c r="K282" i="3" s="1"/>
  <c r="K281" i="3" s="1"/>
  <c r="K278" i="3"/>
  <c r="K275" i="3"/>
  <c r="K274" i="3" s="1"/>
  <c r="K273" i="3" s="1"/>
  <c r="K272" i="3" s="1"/>
  <c r="K269" i="3"/>
  <c r="K268" i="3" s="1"/>
  <c r="K265" i="3"/>
  <c r="K264" i="3" s="1"/>
  <c r="K263" i="3" s="1"/>
  <c r="K260" i="3"/>
  <c r="K259" i="3" s="1"/>
  <c r="K246" i="3"/>
  <c r="K245" i="3" s="1"/>
  <c r="K244" i="3" s="1"/>
  <c r="K243" i="3" s="1"/>
  <c r="K242" i="3" s="1"/>
  <c r="K235" i="3"/>
  <c r="K233" i="3" s="1"/>
  <c r="K232" i="3" s="1"/>
  <c r="K231" i="3" s="1"/>
  <c r="K222" i="3"/>
  <c r="K220" i="3"/>
  <c r="K219" i="3" s="1"/>
  <c r="K214" i="3"/>
  <c r="K213" i="3" s="1"/>
  <c r="K212" i="3" s="1"/>
  <c r="K211" i="3" s="1"/>
  <c r="K210" i="3" s="1"/>
  <c r="K207" i="3"/>
  <c r="K206" i="3" s="1"/>
  <c r="K202" i="3"/>
  <c r="K201" i="3" s="1"/>
  <c r="K197" i="3"/>
  <c r="K196" i="3" s="1"/>
  <c r="K195" i="3" s="1"/>
  <c r="K192" i="3"/>
  <c r="K188" i="3"/>
  <c r="K187" i="3" s="1"/>
  <c r="K184" i="3"/>
  <c r="K183" i="3" s="1"/>
  <c r="K182" i="3" s="1"/>
  <c r="K181" i="3" s="1"/>
  <c r="K178" i="3"/>
  <c r="K177" i="3" s="1"/>
  <c r="K176" i="3" s="1"/>
  <c r="K175" i="3" s="1"/>
  <c r="K172" i="3"/>
  <c r="K171" i="3" s="1"/>
  <c r="K170" i="3" s="1"/>
  <c r="K167" i="3"/>
  <c r="K166" i="3" s="1"/>
  <c r="K161" i="3"/>
  <c r="K160" i="3" s="1"/>
  <c r="K155" i="3"/>
  <c r="K154" i="3" s="1"/>
  <c r="K153" i="3" s="1"/>
  <c r="K152" i="3" s="1"/>
  <c r="K151" i="3" s="1"/>
  <c r="K148" i="3"/>
  <c r="K147" i="3" s="1"/>
  <c r="K144" i="3"/>
  <c r="K143" i="3" s="1"/>
  <c r="K138" i="3"/>
  <c r="K137" i="3" s="1"/>
  <c r="K136" i="3" s="1"/>
  <c r="K135" i="3" s="1"/>
  <c r="K132" i="3"/>
  <c r="K131" i="3" s="1"/>
  <c r="K128" i="3"/>
  <c r="K127" i="3" s="1"/>
  <c r="K124" i="3"/>
  <c r="K123" i="3" s="1"/>
  <c r="K121" i="3"/>
  <c r="K112" i="3"/>
  <c r="K111" i="3" s="1"/>
  <c r="K105" i="3"/>
  <c r="K104" i="3" s="1"/>
  <c r="K103" i="3" s="1"/>
  <c r="K101" i="3"/>
  <c r="K100" i="3" s="1"/>
  <c r="K93" i="3"/>
  <c r="K88" i="3"/>
  <c r="K87" i="3" s="1"/>
  <c r="K86" i="3" s="1"/>
  <c r="K82" i="3"/>
  <c r="K81" i="3" s="1"/>
  <c r="K78" i="3"/>
  <c r="K77" i="3" s="1"/>
  <c r="K72" i="3"/>
  <c r="K71" i="3" s="1"/>
  <c r="K70" i="3" s="1"/>
  <c r="K67" i="3"/>
  <c r="K66" i="3" s="1"/>
  <c r="K65" i="3" s="1"/>
  <c r="K62" i="3"/>
  <c r="K61" i="3" s="1"/>
  <c r="K60" i="3" s="1"/>
  <c r="K59" i="3" s="1"/>
  <c r="K56" i="3"/>
  <c r="K55" i="3" s="1"/>
  <c r="K54" i="3" s="1"/>
  <c r="K51" i="3"/>
  <c r="K46" i="3" s="1"/>
  <c r="K47" i="3"/>
  <c r="K42" i="3"/>
  <c r="K41" i="3" s="1"/>
  <c r="K40" i="3" s="1"/>
  <c r="K37" i="3"/>
  <c r="K36" i="3" s="1"/>
  <c r="K35" i="3" s="1"/>
  <c r="K34" i="3" s="1"/>
  <c r="K33" i="3" s="1"/>
  <c r="K30" i="3"/>
  <c r="K29" i="3" s="1"/>
  <c r="K28" i="3" s="1"/>
  <c r="K25" i="3"/>
  <c r="K24" i="3" s="1"/>
  <c r="K23" i="3" s="1"/>
  <c r="K22" i="3" s="1"/>
  <c r="K21" i="3" s="1"/>
  <c r="K20" i="3" s="1"/>
  <c r="H410" i="3"/>
  <c r="H409" i="3" s="1"/>
  <c r="H408" i="3" s="1"/>
  <c r="H407" i="3" s="1"/>
  <c r="H406" i="3" s="1"/>
  <c r="H405" i="3" s="1"/>
  <c r="H402" i="3"/>
  <c r="H401" i="3" s="1"/>
  <c r="H397" i="3"/>
  <c r="H396" i="3" s="1"/>
  <c r="H395" i="3" s="1"/>
  <c r="H394" i="3" s="1"/>
  <c r="H393" i="3" s="1"/>
  <c r="H389" i="3"/>
  <c r="H388" i="3" s="1"/>
  <c r="H379" i="3"/>
  <c r="H378" i="3" s="1"/>
  <c r="H373" i="3"/>
  <c r="H372" i="3" s="1"/>
  <c r="H371" i="3" s="1"/>
  <c r="H370" i="3" s="1"/>
  <c r="H357" i="3"/>
  <c r="H356" i="3" s="1"/>
  <c r="H349" i="3"/>
  <c r="H348" i="3" s="1"/>
  <c r="H347" i="3" s="1"/>
  <c r="H346" i="3" s="1"/>
  <c r="H345" i="3" s="1"/>
  <c r="H341" i="3"/>
  <c r="H340" i="3" s="1"/>
  <c r="H339" i="3" s="1"/>
  <c r="H338" i="3" s="1"/>
  <c r="H337" i="3" s="1"/>
  <c r="H336" i="3" s="1"/>
  <c r="H334" i="3"/>
  <c r="H333" i="3" s="1"/>
  <c r="H329" i="3"/>
  <c r="H328" i="3" s="1"/>
  <c r="H327" i="3" s="1"/>
  <c r="H323" i="3"/>
  <c r="H322" i="3" s="1"/>
  <c r="H321" i="3" s="1"/>
  <c r="H320" i="3" s="1"/>
  <c r="H317" i="3"/>
  <c r="H316" i="3" s="1"/>
  <c r="H315" i="3" s="1"/>
  <c r="H314" i="3" s="1"/>
  <c r="H311" i="3"/>
  <c r="H310" i="3" s="1"/>
  <c r="H309" i="3" s="1"/>
  <c r="H308" i="3" s="1"/>
  <c r="H305" i="3"/>
  <c r="H304" i="3" s="1"/>
  <c r="H303" i="3" s="1"/>
  <c r="H302" i="3" s="1"/>
  <c r="H301" i="3" s="1"/>
  <c r="H298" i="3"/>
  <c r="H297" i="3" s="1"/>
  <c r="H296" i="3" s="1"/>
  <c r="H289" i="3"/>
  <c r="H284" i="3"/>
  <c r="H283" i="3" s="1"/>
  <c r="H282" i="3" s="1"/>
  <c r="H281" i="3" s="1"/>
  <c r="H278" i="3"/>
  <c r="H275" i="3"/>
  <c r="H274" i="3" s="1"/>
  <c r="H273" i="3" s="1"/>
  <c r="H272" i="3" s="1"/>
  <c r="H269" i="3"/>
  <c r="H268" i="3" s="1"/>
  <c r="H265" i="3"/>
  <c r="H264" i="3" s="1"/>
  <c r="H263" i="3" s="1"/>
  <c r="H260" i="3"/>
  <c r="H259" i="3" s="1"/>
  <c r="H246" i="3"/>
  <c r="H245" i="3" s="1"/>
  <c r="H244" i="3" s="1"/>
  <c r="H243" i="3" s="1"/>
  <c r="H235" i="3"/>
  <c r="H233" i="3" s="1"/>
  <c r="H232" i="3" s="1"/>
  <c r="H231" i="3" s="1"/>
  <c r="H222" i="3"/>
  <c r="H220" i="3" s="1"/>
  <c r="H219" i="3" s="1"/>
  <c r="H214" i="3"/>
  <c r="H213" i="3" s="1"/>
  <c r="H212" i="3" s="1"/>
  <c r="H211" i="3" s="1"/>
  <c r="H210" i="3" s="1"/>
  <c r="H207" i="3"/>
  <c r="H206" i="3" s="1"/>
  <c r="H202" i="3"/>
  <c r="H201" i="3" s="1"/>
  <c r="H197" i="3"/>
  <c r="H196" i="3" s="1"/>
  <c r="H195" i="3" s="1"/>
  <c r="H192" i="3"/>
  <c r="H188" i="3"/>
  <c r="H187" i="3" s="1"/>
  <c r="H184" i="3"/>
  <c r="H183" i="3" s="1"/>
  <c r="H182" i="3" s="1"/>
  <c r="H178" i="3"/>
  <c r="H177" i="3" s="1"/>
  <c r="H176" i="3" s="1"/>
  <c r="H175" i="3" s="1"/>
  <c r="H172" i="3"/>
  <c r="H171" i="3" s="1"/>
  <c r="H170" i="3" s="1"/>
  <c r="H167" i="3"/>
  <c r="H166" i="3" s="1"/>
  <c r="H161" i="3"/>
  <c r="H160" i="3" s="1"/>
  <c r="H155" i="3"/>
  <c r="H154" i="3" s="1"/>
  <c r="H153" i="3" s="1"/>
  <c r="H152" i="3" s="1"/>
  <c r="H151" i="3" s="1"/>
  <c r="H148" i="3"/>
  <c r="H147" i="3" s="1"/>
  <c r="H144" i="3"/>
  <c r="H143" i="3" s="1"/>
  <c r="H138" i="3"/>
  <c r="H137" i="3" s="1"/>
  <c r="H136" i="3" s="1"/>
  <c r="H135" i="3" s="1"/>
  <c r="H132" i="3"/>
  <c r="H131" i="3" s="1"/>
  <c r="H128" i="3"/>
  <c r="H127" i="3" s="1"/>
  <c r="H124" i="3"/>
  <c r="H123" i="3" s="1"/>
  <c r="H121" i="3"/>
  <c r="H112" i="3"/>
  <c r="H111" i="3" s="1"/>
  <c r="H105" i="3"/>
  <c r="H104" i="3" s="1"/>
  <c r="H103" i="3" s="1"/>
  <c r="H101" i="3"/>
  <c r="H100" i="3" s="1"/>
  <c r="H93" i="3"/>
  <c r="H88" i="3"/>
  <c r="H87" i="3" s="1"/>
  <c r="H82" i="3"/>
  <c r="H81" i="3" s="1"/>
  <c r="H78" i="3"/>
  <c r="H77" i="3" s="1"/>
  <c r="H72" i="3"/>
  <c r="H71" i="3" s="1"/>
  <c r="H70" i="3" s="1"/>
  <c r="H67" i="3"/>
  <c r="H66" i="3" s="1"/>
  <c r="H65" i="3" s="1"/>
  <c r="H62" i="3"/>
  <c r="H61" i="3" s="1"/>
  <c r="H60" i="3" s="1"/>
  <c r="H59" i="3" s="1"/>
  <c r="H56" i="3"/>
  <c r="H55" i="3" s="1"/>
  <c r="H54" i="3" s="1"/>
  <c r="H51" i="3"/>
  <c r="H46" i="3" s="1"/>
  <c r="H47" i="3"/>
  <c r="H42" i="3"/>
  <c r="H41" i="3" s="1"/>
  <c r="H37" i="3"/>
  <c r="H36" i="3" s="1"/>
  <c r="H35" i="3" s="1"/>
  <c r="H34" i="3" s="1"/>
  <c r="H30" i="3"/>
  <c r="H29" i="3" s="1"/>
  <c r="H28" i="3" s="1"/>
  <c r="H25" i="3"/>
  <c r="H24" i="3" s="1"/>
  <c r="H23" i="3" s="1"/>
  <c r="H22" i="3" s="1"/>
  <c r="H21" i="3" s="1"/>
  <c r="H20" i="3" s="1"/>
  <c r="I411" i="3"/>
  <c r="I410" i="3" s="1"/>
  <c r="I409" i="3" s="1"/>
  <c r="I408" i="3" s="1"/>
  <c r="I407" i="3" s="1"/>
  <c r="I406" i="3" s="1"/>
  <c r="I405" i="3"/>
  <c r="I404" i="3"/>
  <c r="I403" i="3" s="1"/>
  <c r="I402" i="3" s="1"/>
  <c r="I399" i="3"/>
  <c r="I398" i="3" s="1"/>
  <c r="I392" i="3"/>
  <c r="I391" i="3"/>
  <c r="I387" i="3"/>
  <c r="I386" i="3"/>
  <c r="I385" i="3"/>
  <c r="I382" i="3"/>
  <c r="I381" i="3"/>
  <c r="I375" i="3"/>
  <c r="I374" i="3" s="1"/>
  <c r="I373" i="3" s="1"/>
  <c r="I372" i="3" s="1"/>
  <c r="I371" i="3" s="1"/>
  <c r="I370" i="3" s="1"/>
  <c r="I365" i="3"/>
  <c r="I364" i="3"/>
  <c r="I363" i="3" s="1"/>
  <c r="I362" i="3"/>
  <c r="I361" i="3"/>
  <c r="I360" i="3"/>
  <c r="I359" i="3"/>
  <c r="I354" i="3"/>
  <c r="I353" i="3"/>
  <c r="I352" i="3" s="1"/>
  <c r="I351" i="3"/>
  <c r="I350" i="3" s="1"/>
  <c r="I343" i="3"/>
  <c r="I342" i="3" s="1"/>
  <c r="I341" i="3" s="1"/>
  <c r="I340" i="3" s="1"/>
  <c r="I339" i="3" s="1"/>
  <c r="I338" i="3" s="1"/>
  <c r="I337" i="3" s="1"/>
  <c r="I335" i="3"/>
  <c r="I334" i="3" s="1"/>
  <c r="I333" i="3" s="1"/>
  <c r="I330" i="3"/>
  <c r="I329" i="3"/>
  <c r="I328" i="3" s="1"/>
  <c r="I324" i="3"/>
  <c r="I323" i="3" s="1"/>
  <c r="I322" i="3" s="1"/>
  <c r="I321" i="3" s="1"/>
  <c r="I320" i="3" s="1"/>
  <c r="I318" i="3"/>
  <c r="I317" i="3" s="1"/>
  <c r="I316" i="3" s="1"/>
  <c r="I315" i="3" s="1"/>
  <c r="I314" i="3" s="1"/>
  <c r="I312" i="3"/>
  <c r="I311" i="3" s="1"/>
  <c r="I310" i="3" s="1"/>
  <c r="I309" i="3" s="1"/>
  <c r="I308" i="3" s="1"/>
  <c r="I306" i="3"/>
  <c r="I305" i="3" s="1"/>
  <c r="I304" i="3" s="1"/>
  <c r="I303" i="3" s="1"/>
  <c r="I302" i="3" s="1"/>
  <c r="I299" i="3"/>
  <c r="I298" i="3" s="1"/>
  <c r="I297" i="3" s="1"/>
  <c r="I296" i="3" s="1"/>
  <c r="I294" i="3"/>
  <c r="I290" i="3"/>
  <c r="I287" i="3"/>
  <c r="I285" i="3"/>
  <c r="I279" i="3"/>
  <c r="I278" i="3" s="1"/>
  <c r="I276" i="3"/>
  <c r="I275" i="3" s="1"/>
  <c r="I270" i="3"/>
  <c r="I269" i="3" s="1"/>
  <c r="I268" i="3" s="1"/>
  <c r="I266" i="3"/>
  <c r="I265" i="3" s="1"/>
  <c r="I264" i="3" s="1"/>
  <c r="I263" i="3" s="1"/>
  <c r="I261" i="3"/>
  <c r="I260" i="3" s="1"/>
  <c r="I259" i="3" s="1"/>
  <c r="I258" i="3"/>
  <c r="I257" i="3" s="1"/>
  <c r="I255" i="3"/>
  <c r="I253" i="3"/>
  <c r="I251" i="3"/>
  <c r="I249" i="3"/>
  <c r="I247" i="3"/>
  <c r="I238" i="3"/>
  <c r="I237" i="3" s="1"/>
  <c r="I236" i="3"/>
  <c r="I234" i="3" s="1"/>
  <c r="I229" i="3"/>
  <c r="I227" i="3"/>
  <c r="I225" i="3"/>
  <c r="I223" i="3"/>
  <c r="I218" i="3"/>
  <c r="I217" i="3" s="1"/>
  <c r="I215" i="3"/>
  <c r="I208" i="3"/>
  <c r="I207" i="3" s="1"/>
  <c r="I206" i="3" s="1"/>
  <c r="I203" i="3"/>
  <c r="I202" i="3" s="1"/>
  <c r="I201" i="3" s="1"/>
  <c r="I198" i="3"/>
  <c r="I197" i="3" s="1"/>
  <c r="I196" i="3" s="1"/>
  <c r="I193" i="3"/>
  <c r="I192" i="3" s="1"/>
  <c r="I189" i="3"/>
  <c r="I188" i="3"/>
  <c r="I185" i="3"/>
  <c r="I184" i="3" s="1"/>
  <c r="I183" i="3" s="1"/>
  <c r="I179" i="3"/>
  <c r="I178" i="3" s="1"/>
  <c r="I177" i="3" s="1"/>
  <c r="I176" i="3" s="1"/>
  <c r="I175" i="3" s="1"/>
  <c r="I173" i="3"/>
  <c r="I172" i="3" s="1"/>
  <c r="I171" i="3" s="1"/>
  <c r="I170" i="3" s="1"/>
  <c r="I169" i="3"/>
  <c r="I168" i="3" s="1"/>
  <c r="I167" i="3" s="1"/>
  <c r="I165" i="3"/>
  <c r="I163" i="3"/>
  <c r="I162" i="3" s="1"/>
  <c r="I156" i="3"/>
  <c r="I155" i="3" s="1"/>
  <c r="I154" i="3" s="1"/>
  <c r="I153" i="3" s="1"/>
  <c r="I152" i="3" s="1"/>
  <c r="I149" i="3"/>
  <c r="I148" i="3" s="1"/>
  <c r="I147" i="3" s="1"/>
  <c r="I145" i="3"/>
  <c r="I144" i="3" s="1"/>
  <c r="I143" i="3" s="1"/>
  <c r="I141" i="3"/>
  <c r="I140" i="3"/>
  <c r="I139" i="3"/>
  <c r="I133" i="3"/>
  <c r="I132" i="3" s="1"/>
  <c r="I131" i="3" s="1"/>
  <c r="I129" i="3"/>
  <c r="I128" i="3" s="1"/>
  <c r="I127" i="3" s="1"/>
  <c r="I126" i="3"/>
  <c r="I125" i="3" s="1"/>
  <c r="I124" i="3" s="1"/>
  <c r="I123" i="3"/>
  <c r="I122" i="3" s="1"/>
  <c r="I121" i="3" s="1"/>
  <c r="I119" i="3"/>
  <c r="I118" i="3"/>
  <c r="I117" i="3" s="1"/>
  <c r="I113" i="3"/>
  <c r="I106" i="3"/>
  <c r="I105" i="3" s="1"/>
  <c r="I104" i="3" s="1"/>
  <c r="I102" i="3"/>
  <c r="I101" i="3"/>
  <c r="I100" i="3" s="1"/>
  <c r="I99" i="3"/>
  <c r="I98" i="3"/>
  <c r="I94" i="3"/>
  <c r="I89" i="3"/>
  <c r="I88" i="3" s="1"/>
  <c r="I83" i="3"/>
  <c r="I82" i="3" s="1"/>
  <c r="I81" i="3" s="1"/>
  <c r="I79" i="3"/>
  <c r="I78" i="3" s="1"/>
  <c r="I77" i="3" s="1"/>
  <c r="I75" i="3"/>
  <c r="I73" i="3"/>
  <c r="I68" i="3"/>
  <c r="I67" i="3" s="1"/>
  <c r="I66" i="3" s="1"/>
  <c r="I65" i="3" s="1"/>
  <c r="I63" i="3"/>
  <c r="I62" i="3" s="1"/>
  <c r="I61" i="3" s="1"/>
  <c r="I60" i="3" s="1"/>
  <c r="I57" i="3"/>
  <c r="I56" i="3" s="1"/>
  <c r="I55" i="3" s="1"/>
  <c r="I54" i="3" s="1"/>
  <c r="I52" i="3"/>
  <c r="I47" i="3" s="1"/>
  <c r="I48" i="3"/>
  <c r="I43" i="3"/>
  <c r="I42" i="3" s="1"/>
  <c r="I41" i="3" s="1"/>
  <c r="I40" i="3" s="1"/>
  <c r="I38" i="3"/>
  <c r="I37" i="3" s="1"/>
  <c r="I36" i="3" s="1"/>
  <c r="I35" i="3" s="1"/>
  <c r="I32" i="3"/>
  <c r="I31" i="3" s="1"/>
  <c r="I30" i="3" s="1"/>
  <c r="I29" i="3" s="1"/>
  <c r="I28" i="3" s="1"/>
  <c r="I27" i="3"/>
  <c r="I26" i="3" s="1"/>
  <c r="I25" i="3" s="1"/>
  <c r="I24" i="3" s="1"/>
  <c r="I23" i="3" s="1"/>
  <c r="L284" i="3" l="1"/>
  <c r="I22" i="3"/>
  <c r="I21" i="3" s="1"/>
  <c r="M390" i="3"/>
  <c r="M389" i="3" s="1"/>
  <c r="M388" i="3" s="1"/>
  <c r="M112" i="3"/>
  <c r="M111" i="3" s="1"/>
  <c r="M110" i="3" s="1"/>
  <c r="M109" i="3" s="1"/>
  <c r="M136" i="3"/>
  <c r="M135" i="3" s="1"/>
  <c r="I289" i="3"/>
  <c r="M327" i="3"/>
  <c r="M326" i="3" s="1"/>
  <c r="I214" i="3"/>
  <c r="I213" i="3" s="1"/>
  <c r="I212" i="3" s="1"/>
  <c r="I211" i="3" s="1"/>
  <c r="I246" i="3"/>
  <c r="I245" i="3" s="1"/>
  <c r="I244" i="3" s="1"/>
  <c r="I243" i="3" s="1"/>
  <c r="I380" i="3"/>
  <c r="I379" i="3" s="1"/>
  <c r="L72" i="3"/>
  <c r="L71" i="3" s="1"/>
  <c r="L274" i="3"/>
  <c r="L273" i="3" s="1"/>
  <c r="L272" i="3" s="1"/>
  <c r="M161" i="3"/>
  <c r="M160" i="3" s="1"/>
  <c r="M159" i="3" s="1"/>
  <c r="M158" i="3" s="1"/>
  <c r="M284" i="3"/>
  <c r="O112" i="3"/>
  <c r="O138" i="3"/>
  <c r="O137" i="3" s="1"/>
  <c r="K159" i="3"/>
  <c r="K158" i="3" s="1"/>
  <c r="L161" i="3"/>
  <c r="M289" i="3"/>
  <c r="M403" i="3"/>
  <c r="M402" i="3" s="1"/>
  <c r="M397" i="3" s="1"/>
  <c r="M396" i="3" s="1"/>
  <c r="M395" i="3" s="1"/>
  <c r="M394" i="3" s="1"/>
  <c r="M393" i="3" s="1"/>
  <c r="O161" i="3"/>
  <c r="O214" i="3"/>
  <c r="O213" i="3" s="1"/>
  <c r="O212" i="3" s="1"/>
  <c r="O211" i="3" s="1"/>
  <c r="O327" i="3"/>
  <c r="O326" i="3" s="1"/>
  <c r="O390" i="3"/>
  <c r="O389" i="3" s="1"/>
  <c r="O388" i="3" s="1"/>
  <c r="O403" i="3"/>
  <c r="O402" i="3" s="1"/>
  <c r="O397" i="3" s="1"/>
  <c r="O396" i="3" s="1"/>
  <c r="O395" i="3" s="1"/>
  <c r="O394" i="3" s="1"/>
  <c r="O393" i="3" s="1"/>
  <c r="N72" i="3"/>
  <c r="N71" i="3" s="1"/>
  <c r="N151" i="5"/>
  <c r="N349" i="3"/>
  <c r="N348" i="3" s="1"/>
  <c r="M274" i="3"/>
  <c r="M273" i="3" s="1"/>
  <c r="M272" i="3" s="1"/>
  <c r="O223" i="5"/>
  <c r="I97" i="3"/>
  <c r="I93" i="3" s="1"/>
  <c r="I284" i="3"/>
  <c r="I283" i="3" s="1"/>
  <c r="I282" i="3" s="1"/>
  <c r="I281" i="3" s="1"/>
  <c r="I384" i="3"/>
  <c r="I383" i="3" s="1"/>
  <c r="I378" i="3" s="1"/>
  <c r="K396" i="3"/>
  <c r="K395" i="3" s="1"/>
  <c r="K394" i="3" s="1"/>
  <c r="K393" i="3" s="1"/>
  <c r="L93" i="3"/>
  <c r="L214" i="3"/>
  <c r="L213" i="3" s="1"/>
  <c r="L212" i="3" s="1"/>
  <c r="L211" i="3" s="1"/>
  <c r="L227" i="3"/>
  <c r="L237" i="3"/>
  <c r="O97" i="3"/>
  <c r="O93" i="3" s="1"/>
  <c r="O87" i="3" s="1"/>
  <c r="O86" i="3" s="1"/>
  <c r="O187" i="3"/>
  <c r="O182" i="3" s="1"/>
  <c r="O289" i="3"/>
  <c r="N284" i="3"/>
  <c r="I187" i="3"/>
  <c r="I182" i="3" s="1"/>
  <c r="M358" i="3"/>
  <c r="O160" i="3"/>
  <c r="O159" i="3" s="1"/>
  <c r="O158" i="3" s="1"/>
  <c r="O349" i="3"/>
  <c r="O348" i="3" s="1"/>
  <c r="I358" i="3"/>
  <c r="I357" i="3" s="1"/>
  <c r="I356" i="3" s="1"/>
  <c r="L70" i="3"/>
  <c r="M97" i="3"/>
  <c r="M93" i="3" s="1"/>
  <c r="M87" i="3" s="1"/>
  <c r="M86" i="3" s="1"/>
  <c r="O195" i="3"/>
  <c r="O284" i="3"/>
  <c r="N222" i="3"/>
  <c r="N221" i="3" s="1"/>
  <c r="N220" i="3" s="1"/>
  <c r="N233" i="3"/>
  <c r="N232" i="3" s="1"/>
  <c r="N231" i="3" s="1"/>
  <c r="N219" i="3" s="1"/>
  <c r="N223" i="5"/>
  <c r="I349" i="3"/>
  <c r="I348" i="3" s="1"/>
  <c r="I347" i="3" s="1"/>
  <c r="I346" i="3" s="1"/>
  <c r="O246" i="3"/>
  <c r="O245" i="3" s="1"/>
  <c r="O244" i="3" s="1"/>
  <c r="O243" i="3" s="1"/>
  <c r="I72" i="3"/>
  <c r="I71" i="3" s="1"/>
  <c r="I70" i="3" s="1"/>
  <c r="I397" i="3"/>
  <c r="I396" i="3" s="1"/>
  <c r="I395" i="3" s="1"/>
  <c r="I394" i="3" s="1"/>
  <c r="I393" i="3" s="1"/>
  <c r="H40" i="3"/>
  <c r="L112" i="3"/>
  <c r="L111" i="3" s="1"/>
  <c r="L110" i="3" s="1"/>
  <c r="L109" i="3" s="1"/>
  <c r="L138" i="3"/>
  <c r="L137" i="3" s="1"/>
  <c r="L136" i="3" s="1"/>
  <c r="L135" i="3" s="1"/>
  <c r="L233" i="3"/>
  <c r="L232" i="3" s="1"/>
  <c r="L231" i="3" s="1"/>
  <c r="L246" i="3"/>
  <c r="L245" i="3" s="1"/>
  <c r="L244" i="3" s="1"/>
  <c r="L243" i="3" s="1"/>
  <c r="M22" i="3"/>
  <c r="M21" i="3" s="1"/>
  <c r="M384" i="3"/>
  <c r="M383" i="3" s="1"/>
  <c r="O72" i="3"/>
  <c r="O71" i="3" s="1"/>
  <c r="O274" i="3"/>
  <c r="O273" i="3" s="1"/>
  <c r="O272" i="3" s="1"/>
  <c r="O358" i="3"/>
  <c r="O357" i="3" s="1"/>
  <c r="O356" i="3" s="1"/>
  <c r="O347" i="3" s="1"/>
  <c r="O346" i="3" s="1"/>
  <c r="O380" i="3"/>
  <c r="O379" i="3" s="1"/>
  <c r="I87" i="3"/>
  <c r="I86" i="3" s="1"/>
  <c r="I195" i="3"/>
  <c r="I301" i="3"/>
  <c r="L357" i="3"/>
  <c r="L356" i="3" s="1"/>
  <c r="M246" i="3"/>
  <c r="M245" i="3" s="1"/>
  <c r="M244" i="3" s="1"/>
  <c r="M243" i="3" s="1"/>
  <c r="N138" i="3"/>
  <c r="N137" i="3" s="1"/>
  <c r="N136" i="3" s="1"/>
  <c r="N135" i="3" s="1"/>
  <c r="I112" i="3"/>
  <c r="I111" i="3" s="1"/>
  <c r="I110" i="3" s="1"/>
  <c r="I109" i="3" s="1"/>
  <c r="I161" i="3"/>
  <c r="I160" i="3" s="1"/>
  <c r="I159" i="3" s="1"/>
  <c r="I158" i="3" s="1"/>
  <c r="I222" i="3"/>
  <c r="I221" i="3" s="1"/>
  <c r="I220" i="3" s="1"/>
  <c r="I233" i="3"/>
  <c r="I232" i="3" s="1"/>
  <c r="I231" i="3" s="1"/>
  <c r="I390" i="3"/>
  <c r="I389" i="3" s="1"/>
  <c r="I388" i="3" s="1"/>
  <c r="L47" i="3"/>
  <c r="L41" i="3" s="1"/>
  <c r="L40" i="3" s="1"/>
  <c r="L289" i="3"/>
  <c r="L283" i="3" s="1"/>
  <c r="L282" i="3" s="1"/>
  <c r="L281" i="3" s="1"/>
  <c r="L349" i="3"/>
  <c r="L348" i="3" s="1"/>
  <c r="M187" i="3"/>
  <c r="M182" i="3" s="1"/>
  <c r="M214" i="3"/>
  <c r="M213" i="3" s="1"/>
  <c r="M212" i="3" s="1"/>
  <c r="M211" i="3" s="1"/>
  <c r="M380" i="3"/>
  <c r="M379" i="3" s="1"/>
  <c r="O41" i="3"/>
  <c r="O40" i="3" s="1"/>
  <c r="O384" i="3"/>
  <c r="O383" i="3" s="1"/>
  <c r="I138" i="3"/>
  <c r="I137" i="3" s="1"/>
  <c r="L160" i="3"/>
  <c r="L159" i="3" s="1"/>
  <c r="L158" i="3" s="1"/>
  <c r="L229" i="3"/>
  <c r="O230" i="3"/>
  <c r="O229" i="3" s="1"/>
  <c r="M349" i="3"/>
  <c r="M348" i="3" s="1"/>
  <c r="N93" i="3"/>
  <c r="N87" i="3" s="1"/>
  <c r="N86" i="3" s="1"/>
  <c r="O151" i="5"/>
  <c r="J33" i="5"/>
  <c r="J20" i="5" s="1"/>
  <c r="I151" i="5"/>
  <c r="L33" i="5"/>
  <c r="L20" i="5" s="1"/>
  <c r="M33" i="5"/>
  <c r="M20" i="5" s="1"/>
  <c r="G33" i="5"/>
  <c r="G20" i="5" s="1"/>
  <c r="M357" i="3"/>
  <c r="M356" i="3" s="1"/>
  <c r="M347" i="3" s="1"/>
  <c r="M346" i="3" s="1"/>
  <c r="M301" i="3"/>
  <c r="O233" i="3"/>
  <c r="O232" i="3" s="1"/>
  <c r="O231" i="3" s="1"/>
  <c r="O222" i="3"/>
  <c r="O221" i="3" s="1"/>
  <c r="O220" i="3" s="1"/>
  <c r="M40" i="3"/>
  <c r="N397" i="3"/>
  <c r="N396" i="3" s="1"/>
  <c r="N395" i="3" s="1"/>
  <c r="N394" i="3" s="1"/>
  <c r="N393" i="3" s="1"/>
  <c r="N378" i="3"/>
  <c r="N377" i="3" s="1"/>
  <c r="N376" i="3" s="1"/>
  <c r="N357" i="3"/>
  <c r="N356" i="3" s="1"/>
  <c r="N347" i="3" s="1"/>
  <c r="N346" i="3" s="1"/>
  <c r="N289" i="3"/>
  <c r="N283" i="3" s="1"/>
  <c r="N282" i="3" s="1"/>
  <c r="N281" i="3" s="1"/>
  <c r="N246" i="3"/>
  <c r="N245" i="3" s="1"/>
  <c r="N244" i="3" s="1"/>
  <c r="N243" i="3" s="1"/>
  <c r="N187" i="3"/>
  <c r="N182" i="3" s="1"/>
  <c r="N160" i="3"/>
  <c r="N159" i="3" s="1"/>
  <c r="N158" i="3" s="1"/>
  <c r="N112" i="3"/>
  <c r="N111" i="3" s="1"/>
  <c r="N110" i="3" s="1"/>
  <c r="N109" i="3" s="1"/>
  <c r="N274" i="3"/>
  <c r="N273" i="3" s="1"/>
  <c r="N272" i="3" s="1"/>
  <c r="N301" i="3"/>
  <c r="N70" i="3"/>
  <c r="N22" i="3"/>
  <c r="N21" i="3" s="1"/>
  <c r="N41" i="3"/>
  <c r="N40" i="3" s="1"/>
  <c r="N195" i="3"/>
  <c r="N327" i="3"/>
  <c r="N326" i="3" s="1"/>
  <c r="O70" i="3"/>
  <c r="O59" i="3" s="1"/>
  <c r="O136" i="3"/>
  <c r="O135" i="3" s="1"/>
  <c r="O22" i="3"/>
  <c r="O21" i="3" s="1"/>
  <c r="O301" i="3"/>
  <c r="O111" i="3"/>
  <c r="O110" i="3" s="1"/>
  <c r="O109" i="3" s="1"/>
  <c r="M70" i="3"/>
  <c r="M195" i="3"/>
  <c r="M283" i="3"/>
  <c r="M282" i="3" s="1"/>
  <c r="M281" i="3" s="1"/>
  <c r="L377" i="3"/>
  <c r="L376" i="3" s="1"/>
  <c r="L393" i="3"/>
  <c r="L195" i="3"/>
  <c r="L22" i="3"/>
  <c r="L21" i="3" s="1"/>
  <c r="L87" i="3"/>
  <c r="L86" i="3" s="1"/>
  <c r="L187" i="3"/>
  <c r="L182" i="3" s="1"/>
  <c r="L301" i="3"/>
  <c r="L327" i="3"/>
  <c r="L326" i="3" s="1"/>
  <c r="K110" i="3"/>
  <c r="K109" i="3" s="1"/>
  <c r="K108" i="3" s="1"/>
  <c r="K107" i="3" s="1"/>
  <c r="H110" i="3"/>
  <c r="H109" i="3" s="1"/>
  <c r="H108" i="3" s="1"/>
  <c r="H107" i="3" s="1"/>
  <c r="H159" i="3"/>
  <c r="H158" i="3" s="1"/>
  <c r="H326" i="3"/>
  <c r="H242" i="3"/>
  <c r="H181" i="3"/>
  <c r="H383" i="3"/>
  <c r="I136" i="3"/>
  <c r="I135" i="3" s="1"/>
  <c r="I108" i="3" s="1"/>
  <c r="I327" i="3"/>
  <c r="I326" i="3" s="1"/>
  <c r="I274" i="3"/>
  <c r="I273" i="3" s="1"/>
  <c r="I272" i="3" s="1"/>
  <c r="G126" i="3"/>
  <c r="G123" i="3"/>
  <c r="G118" i="3"/>
  <c r="G32" i="3"/>
  <c r="G27" i="3"/>
  <c r="O378" i="3" l="1"/>
  <c r="O181" i="3"/>
  <c r="N33" i="5"/>
  <c r="N20" i="5" s="1"/>
  <c r="L222" i="3"/>
  <c r="L221" i="3" s="1"/>
  <c r="L220" i="3" s="1"/>
  <c r="L219" i="3" s="1"/>
  <c r="L210" i="3" s="1"/>
  <c r="L347" i="3"/>
  <c r="L346" i="3" s="1"/>
  <c r="L345" i="3" s="1"/>
  <c r="L344" i="3" s="1"/>
  <c r="M108" i="3"/>
  <c r="L59" i="3"/>
  <c r="L34" i="3" s="1"/>
  <c r="M378" i="3"/>
  <c r="M377" i="3" s="1"/>
  <c r="M376" i="3" s="1"/>
  <c r="M345" i="3" s="1"/>
  <c r="M344" i="3" s="1"/>
  <c r="O108" i="3"/>
  <c r="O377" i="3"/>
  <c r="O376" i="3" s="1"/>
  <c r="O345" i="3" s="1"/>
  <c r="O344" i="3" s="1"/>
  <c r="I181" i="3"/>
  <c r="I151" i="3" s="1"/>
  <c r="I59" i="3"/>
  <c r="I34" i="3" s="1"/>
  <c r="O33" i="5"/>
  <c r="O20" i="5" s="1"/>
  <c r="O219" i="3"/>
  <c r="I377" i="3"/>
  <c r="I376" i="3" s="1"/>
  <c r="O283" i="3"/>
  <c r="O282" i="3" s="1"/>
  <c r="O281" i="3" s="1"/>
  <c r="O151" i="3"/>
  <c r="L181" i="3"/>
  <c r="L151" i="3" s="1"/>
  <c r="I219" i="3"/>
  <c r="I210" i="3" s="1"/>
  <c r="L108" i="3"/>
  <c r="M59" i="3"/>
  <c r="M34" i="3" s="1"/>
  <c r="O210" i="3"/>
  <c r="I345" i="3"/>
  <c r="I344" i="3" s="1"/>
  <c r="O34" i="3"/>
  <c r="I33" i="5"/>
  <c r="I20" i="5" s="1"/>
  <c r="O33" i="3"/>
  <c r="O20" i="3" s="1"/>
  <c r="N345" i="3"/>
  <c r="N344" i="3" s="1"/>
  <c r="N210" i="3"/>
  <c r="N181" i="3"/>
  <c r="N151" i="3" s="1"/>
  <c r="N108" i="3"/>
  <c r="N59" i="3"/>
  <c r="N34" i="3" s="1"/>
  <c r="M181" i="3"/>
  <c r="M151" i="3" s="1"/>
  <c r="H377" i="3"/>
  <c r="H376" i="3" s="1"/>
  <c r="H86" i="3"/>
  <c r="G258" i="3"/>
  <c r="L33" i="3" l="1"/>
  <c r="L20" i="3" s="1"/>
  <c r="I33" i="3"/>
  <c r="I20" i="3" s="1"/>
  <c r="N33" i="3"/>
  <c r="N20" i="3" s="1"/>
  <c r="H344" i="3"/>
  <c r="J230" i="3"/>
  <c r="M230" i="3" s="1"/>
  <c r="M229" i="3" s="1"/>
  <c r="J228" i="3"/>
  <c r="M228" i="3" s="1"/>
  <c r="M227" i="3" s="1"/>
  <c r="M222" i="3" l="1"/>
  <c r="M221" i="3" s="1"/>
  <c r="M220" i="3" s="1"/>
  <c r="H33" i="3"/>
  <c r="J261" i="3"/>
  <c r="J260" i="3" s="1"/>
  <c r="J259" i="3" s="1"/>
  <c r="G261" i="3"/>
  <c r="G260" i="3" s="1"/>
  <c r="G259" i="3" s="1"/>
  <c r="G238" i="3"/>
  <c r="G236" i="3"/>
  <c r="J198" i="3"/>
  <c r="G198" i="3"/>
  <c r="G99" i="3"/>
  <c r="G98" i="3"/>
  <c r="J48" i="3"/>
  <c r="G48" i="3"/>
  <c r="J162" i="3" l="1"/>
  <c r="G163" i="3"/>
  <c r="G162" i="3" s="1"/>
  <c r="J238" i="3" l="1"/>
  <c r="M238" i="3" s="1"/>
  <c r="M237" i="3" s="1"/>
  <c r="M233" i="3" s="1"/>
  <c r="M232" i="3" s="1"/>
  <c r="M231" i="3" s="1"/>
  <c r="M219" i="3" s="1"/>
  <c r="M210" i="3" s="1"/>
  <c r="M33" i="3" s="1"/>
  <c r="M20" i="3" s="1"/>
  <c r="G351" i="3" l="1"/>
  <c r="G350" i="3" s="1"/>
  <c r="G381" i="3"/>
  <c r="G391" i="3"/>
  <c r="G361" i="3"/>
  <c r="G343" i="3"/>
  <c r="G342" i="3" s="1"/>
  <c r="G341" i="3" s="1"/>
  <c r="G340" i="3" s="1"/>
  <c r="G339" i="3" s="1"/>
  <c r="G338" i="3" s="1"/>
  <c r="G337" i="3" s="1"/>
  <c r="G218" i="3"/>
  <c r="G169" i="3"/>
  <c r="G140" i="3"/>
  <c r="J411" i="3"/>
  <c r="J410" i="3" s="1"/>
  <c r="J409" i="3" s="1"/>
  <c r="J408" i="3" s="1"/>
  <c r="J407" i="3" s="1"/>
  <c r="J406" i="3" s="1"/>
  <c r="G411" i="3"/>
  <c r="G410" i="3" s="1"/>
  <c r="G409" i="3" s="1"/>
  <c r="G408" i="3" s="1"/>
  <c r="G407" i="3" s="1"/>
  <c r="G406" i="3" s="1"/>
  <c r="G405" i="3"/>
  <c r="G404" i="3"/>
  <c r="J403" i="3"/>
  <c r="J402" i="3" s="1"/>
  <c r="J399" i="3"/>
  <c r="J398" i="3" s="1"/>
  <c r="G399" i="3"/>
  <c r="G398" i="3" s="1"/>
  <c r="G392" i="3"/>
  <c r="J390" i="3"/>
  <c r="J389" i="3" s="1"/>
  <c r="J388" i="3" s="1"/>
  <c r="G387" i="3"/>
  <c r="G386" i="3"/>
  <c r="G385" i="3"/>
  <c r="G384" i="3" s="1"/>
  <c r="G383" i="3" s="1"/>
  <c r="J384" i="3"/>
  <c r="J383" i="3" s="1"/>
  <c r="G382" i="3"/>
  <c r="J380" i="3"/>
  <c r="J379" i="3" s="1"/>
  <c r="G380" i="3"/>
  <c r="G379" i="3" s="1"/>
  <c r="G375" i="3"/>
  <c r="G374" i="3" s="1"/>
  <c r="G373" i="3" s="1"/>
  <c r="G372" i="3" s="1"/>
  <c r="G371" i="3" s="1"/>
  <c r="G370" i="3" s="1"/>
  <c r="J374" i="3"/>
  <c r="J373" i="3" s="1"/>
  <c r="J372" i="3" s="1"/>
  <c r="J371" i="3" s="1"/>
  <c r="J370" i="3" s="1"/>
  <c r="J365" i="3"/>
  <c r="G364" i="3"/>
  <c r="J363" i="3"/>
  <c r="G362" i="3"/>
  <c r="G360" i="3"/>
  <c r="G359" i="3"/>
  <c r="G358" i="3" s="1"/>
  <c r="J358" i="3"/>
  <c r="J354" i="3"/>
  <c r="G354" i="3"/>
  <c r="G353" i="3"/>
  <c r="J352" i="3"/>
  <c r="J350" i="3"/>
  <c r="J342" i="3"/>
  <c r="J341" i="3" s="1"/>
  <c r="J340" i="3" s="1"/>
  <c r="J339" i="3" s="1"/>
  <c r="J338" i="3" s="1"/>
  <c r="J337" i="3" s="1"/>
  <c r="J335" i="3"/>
  <c r="J334" i="3" s="1"/>
  <c r="J333" i="3" s="1"/>
  <c r="G335" i="3"/>
  <c r="G334" i="3" s="1"/>
  <c r="G333" i="3" s="1"/>
  <c r="J330" i="3"/>
  <c r="J329" i="3" s="1"/>
  <c r="J328" i="3" s="1"/>
  <c r="G330" i="3"/>
  <c r="G329" i="3" s="1"/>
  <c r="G328" i="3" s="1"/>
  <c r="J324" i="3"/>
  <c r="J323" i="3" s="1"/>
  <c r="J322" i="3" s="1"/>
  <c r="J321" i="3" s="1"/>
  <c r="J320" i="3" s="1"/>
  <c r="G324" i="3"/>
  <c r="G323" i="3" s="1"/>
  <c r="G322" i="3" s="1"/>
  <c r="G321" i="3" s="1"/>
  <c r="G320" i="3" s="1"/>
  <c r="J318" i="3"/>
  <c r="J317" i="3" s="1"/>
  <c r="J316" i="3" s="1"/>
  <c r="J315" i="3" s="1"/>
  <c r="J314" i="3" s="1"/>
  <c r="G318" i="3"/>
  <c r="G317" i="3" s="1"/>
  <c r="G316" i="3" s="1"/>
  <c r="G315" i="3" s="1"/>
  <c r="G314" i="3" s="1"/>
  <c r="J312" i="3"/>
  <c r="J311" i="3" s="1"/>
  <c r="J310" i="3" s="1"/>
  <c r="J309" i="3" s="1"/>
  <c r="J308" i="3" s="1"/>
  <c r="G312" i="3"/>
  <c r="G311" i="3" s="1"/>
  <c r="G310" i="3" s="1"/>
  <c r="G309" i="3" s="1"/>
  <c r="G308" i="3" s="1"/>
  <c r="J306" i="3"/>
  <c r="J305" i="3" s="1"/>
  <c r="J304" i="3" s="1"/>
  <c r="J303" i="3" s="1"/>
  <c r="J302" i="3" s="1"/>
  <c r="G306" i="3"/>
  <c r="G305" i="3"/>
  <c r="G304" i="3" s="1"/>
  <c r="G303" i="3" s="1"/>
  <c r="G302" i="3" s="1"/>
  <c r="J299" i="3"/>
  <c r="J298" i="3" s="1"/>
  <c r="J297" i="3" s="1"/>
  <c r="J296" i="3" s="1"/>
  <c r="G299" i="3"/>
  <c r="G298" i="3" s="1"/>
  <c r="G297" i="3" s="1"/>
  <c r="G296" i="3" s="1"/>
  <c r="J294" i="3"/>
  <c r="G294" i="3"/>
  <c r="J290" i="3"/>
  <c r="G290" i="3"/>
  <c r="J287" i="3"/>
  <c r="G287" i="3"/>
  <c r="J285" i="3"/>
  <c r="G285" i="3"/>
  <c r="J279" i="3"/>
  <c r="J278" i="3" s="1"/>
  <c r="G279" i="3"/>
  <c r="G278" i="3" s="1"/>
  <c r="J276" i="3"/>
  <c r="J275" i="3" s="1"/>
  <c r="G276" i="3"/>
  <c r="G275" i="3" s="1"/>
  <c r="J270" i="3"/>
  <c r="J269" i="3" s="1"/>
  <c r="J268" i="3" s="1"/>
  <c r="G270" i="3"/>
  <c r="G269" i="3" s="1"/>
  <c r="G268" i="3" s="1"/>
  <c r="J266" i="3"/>
  <c r="J265" i="3" s="1"/>
  <c r="J264" i="3" s="1"/>
  <c r="J263" i="3" s="1"/>
  <c r="G266" i="3"/>
  <c r="G265" i="3" s="1"/>
  <c r="G264" i="3" s="1"/>
  <c r="G263" i="3" s="1"/>
  <c r="J257" i="3"/>
  <c r="G257" i="3"/>
  <c r="J255" i="3"/>
  <c r="G255" i="3"/>
  <c r="J253" i="3"/>
  <c r="G253" i="3"/>
  <c r="J251" i="3"/>
  <c r="G251" i="3"/>
  <c r="J249" i="3"/>
  <c r="G249" i="3"/>
  <c r="J247" i="3"/>
  <c r="G247" i="3"/>
  <c r="J237" i="3"/>
  <c r="G237" i="3"/>
  <c r="J234" i="3"/>
  <c r="G234" i="3"/>
  <c r="J229" i="3"/>
  <c r="G229" i="3"/>
  <c r="J227" i="3"/>
  <c r="G227" i="3"/>
  <c r="J225" i="3"/>
  <c r="G225" i="3"/>
  <c r="J223" i="3"/>
  <c r="G223" i="3"/>
  <c r="J217" i="3"/>
  <c r="G217" i="3"/>
  <c r="J215" i="3"/>
  <c r="G215" i="3"/>
  <c r="J214" i="3"/>
  <c r="J213" i="3" s="1"/>
  <c r="J212" i="3" s="1"/>
  <c r="J211" i="3" s="1"/>
  <c r="J208" i="3"/>
  <c r="J207" i="3" s="1"/>
  <c r="J206" i="3" s="1"/>
  <c r="G208" i="3"/>
  <c r="G207" i="3" s="1"/>
  <c r="G206" i="3" s="1"/>
  <c r="J203" i="3"/>
  <c r="J202" i="3" s="1"/>
  <c r="J201" i="3" s="1"/>
  <c r="G203" i="3"/>
  <c r="G202" i="3" s="1"/>
  <c r="G201" i="3" s="1"/>
  <c r="J197" i="3"/>
  <c r="J196" i="3" s="1"/>
  <c r="G197" i="3"/>
  <c r="G196" i="3" s="1"/>
  <c r="J193" i="3"/>
  <c r="J192" i="3" s="1"/>
  <c r="G193" i="3"/>
  <c r="G192" i="3" s="1"/>
  <c r="J189" i="3"/>
  <c r="J188" i="3" s="1"/>
  <c r="G189" i="3"/>
  <c r="G188" i="3"/>
  <c r="J185" i="3"/>
  <c r="J184" i="3" s="1"/>
  <c r="J183" i="3" s="1"/>
  <c r="G185" i="3"/>
  <c r="G184" i="3" s="1"/>
  <c r="G183" i="3" s="1"/>
  <c r="J179" i="3"/>
  <c r="J178" i="3" s="1"/>
  <c r="J177" i="3" s="1"/>
  <c r="J176" i="3" s="1"/>
  <c r="J175" i="3" s="1"/>
  <c r="G179" i="3"/>
  <c r="G178" i="3" s="1"/>
  <c r="G177" i="3" s="1"/>
  <c r="G176" i="3" s="1"/>
  <c r="G175" i="3" s="1"/>
  <c r="J173" i="3"/>
  <c r="J172" i="3" s="1"/>
  <c r="J171" i="3" s="1"/>
  <c r="J170" i="3" s="1"/>
  <c r="G173" i="3"/>
  <c r="G172" i="3" s="1"/>
  <c r="G171" i="3" s="1"/>
  <c r="G170" i="3" s="1"/>
  <c r="J168" i="3"/>
  <c r="J167" i="3" s="1"/>
  <c r="G168" i="3"/>
  <c r="G167" i="3" s="1"/>
  <c r="J165" i="3"/>
  <c r="J161" i="3" s="1"/>
  <c r="G165" i="3"/>
  <c r="G161" i="3" s="1"/>
  <c r="J156" i="3"/>
  <c r="J155" i="3" s="1"/>
  <c r="J154" i="3" s="1"/>
  <c r="J153" i="3" s="1"/>
  <c r="J152" i="3" s="1"/>
  <c r="G156" i="3"/>
  <c r="G155" i="3" s="1"/>
  <c r="G154" i="3" s="1"/>
  <c r="G153" i="3" s="1"/>
  <c r="G152" i="3" s="1"/>
  <c r="J149" i="3"/>
  <c r="J148" i="3" s="1"/>
  <c r="J147" i="3" s="1"/>
  <c r="G149" i="3"/>
  <c r="G148" i="3" s="1"/>
  <c r="G147" i="3" s="1"/>
  <c r="J145" i="3"/>
  <c r="J144" i="3" s="1"/>
  <c r="J143" i="3" s="1"/>
  <c r="G145" i="3"/>
  <c r="G144" i="3" s="1"/>
  <c r="G143" i="3" s="1"/>
  <c r="J141" i="3"/>
  <c r="G141" i="3"/>
  <c r="J139" i="3"/>
  <c r="G139" i="3"/>
  <c r="J133" i="3"/>
  <c r="J132" i="3" s="1"/>
  <c r="J131" i="3" s="1"/>
  <c r="G133" i="3"/>
  <c r="G132" i="3" s="1"/>
  <c r="G131" i="3" s="1"/>
  <c r="J129" i="3"/>
  <c r="J128" i="3" s="1"/>
  <c r="J127" i="3" s="1"/>
  <c r="G129" i="3"/>
  <c r="G128" i="3" s="1"/>
  <c r="G127" i="3" s="1"/>
  <c r="J125" i="3"/>
  <c r="J124" i="3" s="1"/>
  <c r="G125" i="3"/>
  <c r="G124" i="3" s="1"/>
  <c r="J122" i="3"/>
  <c r="J121" i="3" s="1"/>
  <c r="G122" i="3"/>
  <c r="G121" i="3" s="1"/>
  <c r="J119" i="3"/>
  <c r="G119" i="3"/>
  <c r="J117" i="3"/>
  <c r="G117" i="3"/>
  <c r="J113" i="3"/>
  <c r="G113" i="3"/>
  <c r="J106" i="3"/>
  <c r="J105" i="3" s="1"/>
  <c r="J104" i="3" s="1"/>
  <c r="G106" i="3"/>
  <c r="G105" i="3" s="1"/>
  <c r="G104" i="3" s="1"/>
  <c r="J102" i="3"/>
  <c r="J101" i="3" s="1"/>
  <c r="J100" i="3" s="1"/>
  <c r="G102" i="3"/>
  <c r="G101" i="3" s="1"/>
  <c r="G100" i="3" s="1"/>
  <c r="J97" i="3"/>
  <c r="G97" i="3"/>
  <c r="J94" i="3"/>
  <c r="G94" i="3"/>
  <c r="J89" i="3"/>
  <c r="J88" i="3" s="1"/>
  <c r="G89" i="3"/>
  <c r="G88" i="3" s="1"/>
  <c r="J83" i="3"/>
  <c r="J82" i="3" s="1"/>
  <c r="J81" i="3" s="1"/>
  <c r="G83" i="3"/>
  <c r="G82" i="3" s="1"/>
  <c r="G81" i="3" s="1"/>
  <c r="J79" i="3"/>
  <c r="J78" i="3" s="1"/>
  <c r="J77" i="3" s="1"/>
  <c r="G79" i="3"/>
  <c r="G78" i="3"/>
  <c r="G77" i="3" s="1"/>
  <c r="J75" i="3"/>
  <c r="G75" i="3"/>
  <c r="J73" i="3"/>
  <c r="G73" i="3"/>
  <c r="J68" i="3"/>
  <c r="J67" i="3" s="1"/>
  <c r="J66" i="3" s="1"/>
  <c r="J65" i="3" s="1"/>
  <c r="G68" i="3"/>
  <c r="G67" i="3" s="1"/>
  <c r="G66" i="3" s="1"/>
  <c r="G65" i="3" s="1"/>
  <c r="J63" i="3"/>
  <c r="J62" i="3" s="1"/>
  <c r="J61" i="3" s="1"/>
  <c r="J60" i="3" s="1"/>
  <c r="G63" i="3"/>
  <c r="G62" i="3" s="1"/>
  <c r="G61" i="3" s="1"/>
  <c r="G60" i="3" s="1"/>
  <c r="J57" i="3"/>
  <c r="J56" i="3" s="1"/>
  <c r="J55" i="3" s="1"/>
  <c r="J54" i="3" s="1"/>
  <c r="G57" i="3"/>
  <c r="G56" i="3" s="1"/>
  <c r="G55" i="3" s="1"/>
  <c r="G54" i="3" s="1"/>
  <c r="J52" i="3"/>
  <c r="J47" i="3" s="1"/>
  <c r="G52" i="3"/>
  <c r="G47" i="3" s="1"/>
  <c r="J43" i="3"/>
  <c r="J42" i="3" s="1"/>
  <c r="G43" i="3"/>
  <c r="G42" i="3" s="1"/>
  <c r="J38" i="3"/>
  <c r="J37" i="3" s="1"/>
  <c r="J36" i="3" s="1"/>
  <c r="J35" i="3" s="1"/>
  <c r="G38" i="3"/>
  <c r="G37" i="3" s="1"/>
  <c r="G36" i="3" s="1"/>
  <c r="G35" i="3" s="1"/>
  <c r="J31" i="3"/>
  <c r="J30" i="3" s="1"/>
  <c r="J29" i="3" s="1"/>
  <c r="J28" i="3" s="1"/>
  <c r="G31" i="3"/>
  <c r="G30" i="3" s="1"/>
  <c r="G29" i="3" s="1"/>
  <c r="G28" i="3" s="1"/>
  <c r="J26" i="3"/>
  <c r="J25" i="3" s="1"/>
  <c r="J24" i="3" s="1"/>
  <c r="J23" i="3" s="1"/>
  <c r="G26" i="3"/>
  <c r="G25" i="3" s="1"/>
  <c r="G24" i="3" s="1"/>
  <c r="G23" i="3" s="1"/>
  <c r="G22" i="3" s="1"/>
  <c r="G21" i="3" s="1"/>
  <c r="G365" i="3"/>
  <c r="G390" i="3"/>
  <c r="G389" i="3" s="1"/>
  <c r="G388" i="3" s="1"/>
  <c r="J138" i="3" l="1"/>
  <c r="J137" i="3" s="1"/>
  <c r="G284" i="3"/>
  <c r="G289" i="3"/>
  <c r="J72" i="3"/>
  <c r="J71" i="3" s="1"/>
  <c r="J284" i="3"/>
  <c r="J349" i="3"/>
  <c r="J348" i="3" s="1"/>
  <c r="G138" i="3"/>
  <c r="G137" i="3" s="1"/>
  <c r="G136" i="3" s="1"/>
  <c r="G135" i="3" s="1"/>
  <c r="G222" i="3"/>
  <c r="G221" i="3" s="1"/>
  <c r="G220" i="3" s="1"/>
  <c r="G72" i="3"/>
  <c r="G71" i="3" s="1"/>
  <c r="J93" i="3"/>
  <c r="J112" i="3"/>
  <c r="J233" i="3"/>
  <c r="J232" i="3" s="1"/>
  <c r="J231" i="3" s="1"/>
  <c r="G403" i="3"/>
  <c r="G402" i="3" s="1"/>
  <c r="G397" i="3" s="1"/>
  <c r="G396" i="3" s="1"/>
  <c r="G395" i="3" s="1"/>
  <c r="G394" i="3" s="1"/>
  <c r="G393" i="3" s="1"/>
  <c r="G214" i="3"/>
  <c r="G213" i="3" s="1"/>
  <c r="G212" i="3" s="1"/>
  <c r="G211" i="3" s="1"/>
  <c r="J327" i="3"/>
  <c r="J326" i="3" s="1"/>
  <c r="J246" i="3"/>
  <c r="J245" i="3" s="1"/>
  <c r="J244" i="3" s="1"/>
  <c r="J243" i="3" s="1"/>
  <c r="J222" i="3"/>
  <c r="J221" i="3" s="1"/>
  <c r="J220" i="3" s="1"/>
  <c r="J397" i="3"/>
  <c r="J396" i="3" s="1"/>
  <c r="J395" i="3" s="1"/>
  <c r="J394" i="3" s="1"/>
  <c r="J393" i="3" s="1"/>
  <c r="G246" i="3"/>
  <c r="G245" i="3" s="1"/>
  <c r="G244" i="3" s="1"/>
  <c r="G243" i="3" s="1"/>
  <c r="J289" i="3"/>
  <c r="J283" i="3" s="1"/>
  <c r="J282" i="3" s="1"/>
  <c r="J281" i="3" s="1"/>
  <c r="J378" i="3"/>
  <c r="J377" i="3" s="1"/>
  <c r="J376" i="3" s="1"/>
  <c r="G93" i="3"/>
  <c r="G87" i="3" s="1"/>
  <c r="G86" i="3" s="1"/>
  <c r="G112" i="3"/>
  <c r="J87" i="3"/>
  <c r="J86" i="3" s="1"/>
  <c r="G301" i="3"/>
  <c r="G274" i="3"/>
  <c r="G273" i="3" s="1"/>
  <c r="G272" i="3" s="1"/>
  <c r="G160" i="3"/>
  <c r="G159" i="3" s="1"/>
  <c r="G158" i="3" s="1"/>
  <c r="G187" i="3"/>
  <c r="G182" i="3" s="1"/>
  <c r="G327" i="3"/>
  <c r="G326" i="3" s="1"/>
  <c r="J357" i="3"/>
  <c r="J356" i="3" s="1"/>
  <c r="J347" i="3" s="1"/>
  <c r="J346" i="3" s="1"/>
  <c r="J345" i="3" s="1"/>
  <c r="J344" i="3" s="1"/>
  <c r="G41" i="3"/>
  <c r="G40" i="3" s="1"/>
  <c r="G70" i="3"/>
  <c r="J160" i="3"/>
  <c r="J159" i="3" s="1"/>
  <c r="J158" i="3" s="1"/>
  <c r="J187" i="3"/>
  <c r="J182" i="3" s="1"/>
  <c r="G363" i="3"/>
  <c r="G357" i="3" s="1"/>
  <c r="G356" i="3" s="1"/>
  <c r="G378" i="3"/>
  <c r="G377" i="3" s="1"/>
  <c r="G376" i="3" s="1"/>
  <c r="G233" i="3"/>
  <c r="G232" i="3" s="1"/>
  <c r="J301" i="3"/>
  <c r="G352" i="3"/>
  <c r="G349" i="3" s="1"/>
  <c r="G348" i="3" s="1"/>
  <c r="J41" i="3"/>
  <c r="J40" i="3" s="1"/>
  <c r="G195" i="3"/>
  <c r="J274" i="3"/>
  <c r="J273" i="3" s="1"/>
  <c r="J272" i="3" s="1"/>
  <c r="J70" i="3"/>
  <c r="J136" i="3"/>
  <c r="J135" i="3" s="1"/>
  <c r="G111" i="3"/>
  <c r="G110" i="3" s="1"/>
  <c r="G109" i="3" s="1"/>
  <c r="G108" i="3" s="1"/>
  <c r="J195" i="3"/>
  <c r="J22" i="3"/>
  <c r="J21" i="3" s="1"/>
  <c r="J111" i="3"/>
  <c r="J110" i="3" s="1"/>
  <c r="J109" i="3" s="1"/>
  <c r="G283" i="3" l="1"/>
  <c r="G282" i="3" s="1"/>
  <c r="G281" i="3" s="1"/>
  <c r="J219" i="3"/>
  <c r="G347" i="3"/>
  <c r="G346" i="3" s="1"/>
  <c r="G345" i="3" s="1"/>
  <c r="G344" i="3" s="1"/>
  <c r="G59" i="3"/>
  <c r="G34" i="3" s="1"/>
  <c r="G231" i="3"/>
  <c r="G219" i="3" s="1"/>
  <c r="G210" i="3" s="1"/>
  <c r="J59" i="3"/>
  <c r="J34" i="3" s="1"/>
  <c r="G181" i="3"/>
  <c r="G151" i="3" s="1"/>
  <c r="J210" i="3"/>
  <c r="J108" i="3"/>
  <c r="J181" i="3"/>
  <c r="J151" i="3" s="1"/>
  <c r="G33" i="3" l="1"/>
  <c r="G20" i="3" s="1"/>
  <c r="J33" i="3"/>
  <c r="J20" i="3" s="1"/>
  <c r="H388" i="5" l="1"/>
  <c r="H268" i="5"/>
  <c r="H387" i="5" l="1"/>
  <c r="H386" i="5" s="1"/>
  <c r="H267" i="5"/>
  <c r="H223" i="5" s="1"/>
  <c r="H33" i="5" s="1"/>
  <c r="H385" i="5" l="1"/>
  <c r="H384" i="5" s="1"/>
  <c r="H383" i="5" s="1"/>
  <c r="H20" i="5" s="1"/>
  <c r="H388" i="6" l="1"/>
  <c r="H387" i="6" s="1"/>
  <c r="H386" i="6" s="1"/>
  <c r="H385" i="6" s="1"/>
  <c r="H20" i="6" s="1"/>
  <c r="H56" i="6" l="1"/>
  <c r="H55" i="6" s="1"/>
  <c r="H54" i="6" s="1"/>
  <c r="L294" i="6" l="1"/>
  <c r="L292" i="6" s="1"/>
  <c r="L272" i="6" s="1"/>
  <c r="L228" i="6" s="1"/>
  <c r="L33" i="6" s="1"/>
  <c r="L20" i="6" s="1"/>
  <c r="K292" i="6"/>
  <c r="K228" i="6" s="1"/>
  <c r="K33" i="6" s="1"/>
  <c r="K20" i="6" s="1"/>
  <c r="H37" i="8" l="1"/>
  <c r="H36" i="8" s="1"/>
  <c r="H35" i="8" s="1"/>
  <c r="H235" i="8"/>
  <c r="H234" i="8" s="1"/>
  <c r="H195" i="8" s="1"/>
  <c r="H160" i="8" s="1"/>
  <c r="H56" i="8" l="1"/>
  <c r="H55" i="8" s="1"/>
  <c r="H54" i="8" s="1"/>
  <c r="H34" i="8" s="1"/>
  <c r="H33" i="8" s="1"/>
  <c r="H20" i="8" s="1"/>
  <c r="L438" i="9" l="1"/>
  <c r="L437" i="9" s="1"/>
  <c r="L436" i="9" s="1"/>
  <c r="O427" i="9" l="1"/>
  <c r="O426" i="9" s="1"/>
  <c r="O425" i="9" s="1"/>
  <c r="O424" i="9" s="1"/>
  <c r="O20" i="9" s="1"/>
  <c r="L427" i="9"/>
  <c r="L426" i="9" s="1"/>
  <c r="L425" i="9" s="1"/>
  <c r="L424" i="9" s="1"/>
  <c r="L20" i="9" s="1"/>
  <c r="H120" i="13" l="1"/>
  <c r="H119" i="13" s="1"/>
  <c r="N122" i="13"/>
  <c r="H118" i="13"/>
  <c r="H117" i="13" s="1"/>
  <c r="N117" i="13" l="1"/>
  <c r="N118" i="13"/>
  <c r="N120" i="13"/>
  <c r="N119" i="13" s="1"/>
  <c r="N329" i="13"/>
  <c r="N320" i="13" s="1"/>
  <c r="N319" i="13" s="1"/>
  <c r="I329" i="13"/>
  <c r="I320" i="13" s="1"/>
  <c r="I319" i="13" s="1"/>
  <c r="H320" i="13"/>
  <c r="H319" i="13" s="1"/>
  <c r="H318" i="13" l="1"/>
  <c r="H317" i="13" s="1"/>
  <c r="I318" i="13"/>
  <c r="I317" i="13" s="1"/>
  <c r="O329" i="13"/>
  <c r="O320" i="13" s="1"/>
  <c r="O319" i="13" s="1"/>
  <c r="O318" i="13" s="1"/>
  <c r="O317" i="13" s="1"/>
  <c r="N318" i="13"/>
  <c r="N317" i="13" s="1"/>
  <c r="H254" i="13" l="1"/>
  <c r="I254" i="13"/>
  <c r="I34" i="13" s="1"/>
  <c r="I21" i="13" s="1"/>
  <c r="N254" i="13"/>
  <c r="N34" i="13" s="1"/>
  <c r="N21" i="13" s="1"/>
  <c r="O254" i="13"/>
  <c r="O34" i="13" s="1"/>
  <c r="O21" i="13" s="1"/>
  <c r="H430" i="13"/>
  <c r="H429" i="13" s="1"/>
  <c r="H428" i="13" s="1"/>
  <c r="H427" i="13" s="1"/>
  <c r="H414" i="13" s="1"/>
  <c r="H34" i="13" l="1"/>
  <c r="H21" i="13" s="1"/>
  <c r="P231" i="17" l="1"/>
  <c r="M231" i="17"/>
  <c r="M226" i="17" s="1"/>
  <c r="M215" i="17" s="1"/>
  <c r="M214" i="17" s="1"/>
  <c r="M176" i="17" s="1"/>
  <c r="M34" i="17" s="1"/>
  <c r="M21" i="17" s="1"/>
  <c r="G226" i="17"/>
  <c r="G215" i="17" s="1"/>
  <c r="I231" i="17"/>
  <c r="O231" i="17" s="1"/>
  <c r="O226" i="17" s="1"/>
  <c r="O215" i="17" s="1"/>
  <c r="O214" i="17" s="1"/>
  <c r="O176" i="17" s="1"/>
  <c r="O34" i="17" s="1"/>
  <c r="O21" i="17" s="1"/>
  <c r="Q231" i="17" l="1"/>
  <c r="P215" i="17"/>
  <c r="G214" i="17"/>
  <c r="P226" i="17"/>
  <c r="I226" i="17"/>
  <c r="Q226" i="17" l="1"/>
  <c r="I215" i="17"/>
  <c r="G176" i="17"/>
  <c r="P214" i="17"/>
  <c r="P176" i="17" l="1"/>
  <c r="G34" i="17"/>
  <c r="Q215" i="17"/>
  <c r="I214" i="17"/>
  <c r="Q214" i="17" l="1"/>
  <c r="I176" i="17"/>
  <c r="G21" i="17"/>
  <c r="I34" i="17" l="1"/>
  <c r="Q176" i="17"/>
  <c r="I21" i="17" l="1"/>
  <c r="P440" i="17" l="1"/>
  <c r="Q440" i="17" s="1"/>
  <c r="H439" i="17"/>
  <c r="H438" i="17" s="1"/>
  <c r="P438" i="17" l="1"/>
  <c r="Q438" i="17" s="1"/>
  <c r="H437" i="17"/>
  <c r="P439" i="17"/>
  <c r="Q439" i="17" s="1"/>
  <c r="P437" i="17" l="1"/>
  <c r="Q437" i="17" s="1"/>
  <c r="H436" i="17"/>
  <c r="P436" i="17" l="1"/>
  <c r="Q436" i="17" s="1"/>
  <c r="H429" i="17"/>
  <c r="H34" i="17" l="1"/>
  <c r="P429" i="17"/>
  <c r="Q429" i="17" s="1"/>
  <c r="H21" i="17" l="1"/>
  <c r="P21" i="17" s="1"/>
  <c r="Q21" i="17" s="1"/>
  <c r="P34" i="17"/>
  <c r="Q34" i="17" s="1"/>
</calcChain>
</file>

<file path=xl/sharedStrings.xml><?xml version="1.0" encoding="utf-8"?>
<sst xmlns="http://schemas.openxmlformats.org/spreadsheetml/2006/main" count="29244" uniqueCount="626">
  <si>
    <t>Приложение №9</t>
  </si>
  <si>
    <t xml:space="preserve">к решению Совета  </t>
  </si>
  <si>
    <t>Туапсинского городского поселения</t>
  </si>
  <si>
    <t>Туапсинского района</t>
  </si>
  <si>
    <t>от                    №</t>
  </si>
  <si>
    <t>Ведомственная структура расходов</t>
  </si>
  <si>
    <t>бюджета Туапсинского городского поселения Туапсинского района</t>
  </si>
  <si>
    <t>на 2024 год</t>
  </si>
  <si>
    <t>тыс.рублей</t>
  </si>
  <si>
    <t>Наименование бюджета</t>
  </si>
  <si>
    <t>Единица измерения: руб.</t>
  </si>
  <si>
    <t/>
  </si>
  <si>
    <t>№п/п</t>
  </si>
  <si>
    <t>Наименование</t>
  </si>
  <si>
    <t>Код по бюджетной классификации</t>
  </si>
  <si>
    <t>Сумма</t>
  </si>
  <si>
    <t>Вед.</t>
  </si>
  <si>
    <t>РзПр</t>
  </si>
  <si>
    <t>КЦСР</t>
  </si>
  <si>
    <t>ВР</t>
  </si>
  <si>
    <t>местный бюджет</t>
  </si>
  <si>
    <t>измения</t>
  </si>
  <si>
    <t>бюджеты других уровней</t>
  </si>
  <si>
    <t>Бюджет всего</t>
  </si>
  <si>
    <t>1</t>
  </si>
  <si>
    <t>ВСЕГО РАСХОДОВ</t>
  </si>
  <si>
    <t>1.</t>
  </si>
  <si>
    <t>Совет Туапсинского городского поселения Туапсинского района</t>
  </si>
  <si>
    <t>991</t>
  </si>
  <si>
    <t>1.1</t>
  </si>
  <si>
    <t>ОБЩЕГОСУДАРСТВЕННЫЕ ВОПРОСЫ</t>
  </si>
  <si>
    <t>0100</t>
  </si>
  <si>
    <t>1.1.1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</si>
  <si>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</si>
  <si>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</si>
  <si>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представительного органа местного самоуправления</t>
  </si>
  <si>
    <t>5100000000</t>
  </si>
  <si>
    <t>5110000000</t>
  </si>
  <si>
    <t>Расходы на обеспечение функций органов местного самоуправления</t>
  </si>
  <si>
    <t>5110000190</t>
  </si>
  <si>
    <t>Закупка товаров, работ и услуг для обеспечения государственных (муниципальных) нужд</t>
  </si>
  <si>
    <t>200</t>
  </si>
  <si>
    <t>1.1.2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</si>
  <si>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</si>
  <si>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</si>
  <si>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Расходы на обеспечение функций органов местного самоуправления по передаваемым полномочиям (по осуществлению полномочий контрольно-счетного органа)</t>
  </si>
  <si>
    <t>5110021190</t>
  </si>
  <si>
    <t>Межбюджетные трансферты</t>
  </si>
  <si>
    <t>500</t>
  </si>
  <si>
    <t>2.</t>
  </si>
  <si>
    <t>Администрация Туапсинского городского поселения Туапсинского района</t>
  </si>
  <si>
    <t>992</t>
  </si>
  <si>
    <t>2.1</t>
  </si>
  <si>
    <t>2.1.1.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</si>
  <si>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</si>
  <si>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</si>
  <si>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высшего должностного лица муниципального образования</t>
  </si>
  <si>
    <t>5000000000</t>
  </si>
  <si>
    <t>Глава Туапсинского городского поселения Туапсинского района</t>
  </si>
  <si>
    <t>5010000000</t>
  </si>
  <si>
    <t>5010000190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</si>
  <si>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</si>
  <si>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</si>
  <si>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2.1.2.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</si>
  <si>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</si>
  <si>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</si>
  <si>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исполнительно-распорядительно органа местного самоуправления</t>
  </si>
  <si>
    <t>5200000000</t>
  </si>
  <si>
    <t>5210000000</t>
  </si>
  <si>
    <t>5210000190</t>
  </si>
  <si>
    <t>Иные бюджетные ассигнования</t>
  </si>
  <si>
    <t>800</t>
  </si>
  <si>
    <t>Осуществление отдельных полномочий Краснодарского края</t>
  </si>
  <si>
    <t>5220000000</t>
  </si>
  <si>
    <t>Осуществление отдельных  государственных полномочий Краснодарского края по осуществлению регионального государственного контроля ( надзора) за исполнением плательщиками курортного сбора и операторами куроротного сбора требований законодательства Российской Федерации и Краснодарского края, связанных с проведением эксперимента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</si>
  <si>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</si>
  <si>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5220060190</t>
  </si>
  <si>
    <t>2.1.3.</t>
  </si>
  <si>
    <t>Резервные фонды</t>
  </si>
  <si>
    <t>0111</t>
  </si>
  <si>
    <t>Финансовое обеспечение непредвиденных расходов</t>
  </si>
  <si>
    <t>5230000000</t>
  </si>
  <si>
    <t>Резервный фонд администрации Туапсинского городского поселения Туапсинского района</t>
  </si>
  <si>
    <t>5230010490</t>
  </si>
  <si>
    <t>2.1.4.</t>
  </si>
  <si>
    <t>Другие общегосударственные вопросы</t>
  </si>
  <si>
    <t>0113</t>
  </si>
  <si>
    <t>Муниципальная программа "Социальная поддержка граждан города Туапсе"</t>
  </si>
  <si>
    <t>0400000000</t>
  </si>
  <si>
    <t>Поддержка социально ориентированных некоммерческих организаций, осуществляющих деятельность в городе Туапсе</t>
  </si>
  <si>
    <t>0420000000</t>
  </si>
  <si>
    <t>Оказание финансовой поддержки социально-ориентированным некоммерческим организациям при реализации ими собственных общественно-полезных программ, направленных на решение социальных проблем</t>
  </si>
  <si>
    <t>0420100000</t>
  </si>
  <si>
    <t>Поддержка социально-ориентированных некоммерческих организаций и содействие развитию гражданского общества</t>
  </si>
  <si>
    <t>0420110300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</si>
  <si>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</si>
  <si>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</si>
  <si>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«Информационное общество города Туапсе»</t>
  </si>
  <si>
    <t>0800000000</t>
  </si>
  <si>
    <t>Информационное обеспечение и сопровождение</t>
  </si>
  <si>
    <t>0810000000</t>
  </si>
  <si>
    <t xml:space="preserve">Обеспечение доступа к информации о деятельности органов местного самоуправления </t>
  </si>
  <si>
    <t>0810100000</t>
  </si>
  <si>
    <t>Реализация мероприятий муниципальной программы «Информационное общество города Туапсе»</t>
  </si>
  <si>
    <t>0810122540</t>
  </si>
  <si>
    <t>Муниципальная программа «Развитие гражданского общества и укрепление единства российской нации на территории города Туапсе»</t>
  </si>
  <si>
    <t>1000000000</t>
  </si>
  <si>
    <t>Поддержка деятельности территориального общественного самоуправления</t>
  </si>
  <si>
    <t>1010000000</t>
  </si>
  <si>
    <t xml:space="preserve">Повышение эффективности работы органов территориального общественного самоуправления </t>
  </si>
  <si>
    <t>1010100000</t>
  </si>
  <si>
    <t>1010120780</t>
  </si>
  <si>
    <t>Социальное обеспечение и иные выплаты населению</t>
  </si>
  <si>
    <t>300</t>
  </si>
  <si>
    <t>Премия победителям конкурса «Лучший орган территориального общественного самоуправления»</t>
  </si>
  <si>
    <t>1010120800</t>
  </si>
  <si>
    <t>Гармонизация межнациональных отношений и развитие национальных культур в городе Туапсе</t>
  </si>
  <si>
    <t>1020000000</t>
  </si>
  <si>
    <t>Развитие национально-культурного взаимодействия представителей различных национальностей, конфессий, проживающих на территории города Туапсе</t>
  </si>
  <si>
    <t>1020100000</t>
  </si>
  <si>
    <t>Реализация мероприятий по гармонизации межнациональных отношений и развитию национальных культур в городе Туапсе</t>
  </si>
  <si>
    <t>1020122580</t>
  </si>
  <si>
    <t>Укрепление единства российской нации на территории города Туапсе</t>
  </si>
  <si>
    <t>1030000000</t>
  </si>
  <si>
    <t>Организация проведения городских мероприятий по празднованию государственных и международных праздников, памятных дат и исторических событий России, Кубани и города Туапсе, чествование предприятий, организаций и граждан города, внесших значимый вклад в развитие города Туапсе, Кубани и России</t>
  </si>
  <si>
    <t>1030100000</t>
  </si>
  <si>
    <t>Реализация мероприятий по укреплению единства российской нации на территории города Туапсе</t>
  </si>
  <si>
    <t>1030122570</t>
  </si>
  <si>
    <t>Муниципальная программа «Муниципальное управление города Туапсе»</t>
  </si>
  <si>
    <t>1200000000</t>
  </si>
  <si>
    <t>Организация муниципального управления</t>
  </si>
  <si>
    <t>1210000000</t>
  </si>
  <si>
    <t>Обеспечение хозяйственного обслуживания</t>
  </si>
  <si>
    <t>1210200000</t>
  </si>
  <si>
    <t>Расходы на обеспечение деятельности (оказание услуг) муниципальных учреждений</t>
  </si>
  <si>
    <t>1210200590</t>
  </si>
  <si>
    <t>Создание условий для выполнения органами местного самоуправления своих полномочий</t>
  </si>
  <si>
    <t>1210300000</t>
  </si>
  <si>
    <t>1210300590</t>
  </si>
  <si>
    <t>Мероприятия по созданию условий для осуществления управленческих функций органов местного самоуправления</t>
  </si>
  <si>
    <t>1210322650</t>
  </si>
  <si>
    <t>Муниципальные финансы</t>
  </si>
  <si>
    <t>1220000000</t>
  </si>
  <si>
    <t>Управление муниципальными финансами и муниципальным долгом Туапсинского городского поселения</t>
  </si>
  <si>
    <t>1220100000</t>
  </si>
  <si>
    <t>Мероприятия, направленные на увеличение доходной части бюджета</t>
  </si>
  <si>
    <t>1220122660</t>
  </si>
  <si>
    <t>Выплаты по обязательствам Туапсинского городского поселения</t>
  </si>
  <si>
    <t>5300000000</t>
  </si>
  <si>
    <t>Прочие выплаты по обязательствам муниципального образования</t>
  </si>
  <si>
    <t>5310000000</t>
  </si>
  <si>
    <t>Прочие выплаты по обязательствам Туапсинского городского поселения</t>
  </si>
  <si>
    <t>5310021240</t>
  </si>
  <si>
    <t>2.2.</t>
  </si>
  <si>
    <t>НАЦИОНАЛЬНАЯ БЕЗОПАСНОСТЬ И ПРАВООХРАНИТЕЛЬНАЯ ДЕЯТЕЛЬНОСТЬ</t>
  </si>
  <si>
    <t>0300</t>
  </si>
  <si>
    <t>2.2.1.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</si>
  <si>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</si>
  <si>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</si>
  <si>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«Обеспечение безопасности населения»</t>
  </si>
  <si>
    <t>0900000000</t>
  </si>
  <si>
    <t>Мероприятия по гражданской обороне, предупреждению и ликвидации чрезвычайных ситуаций, стихийных бедствий и их последствий в городе Туапсе</t>
  </si>
  <si>
    <t>0910000000</t>
  </si>
  <si>
    <t>Организация и осуществление мероприятий по гражданской обороне, предупреждению и ликвидации чрезвычайных ситуаций, стихийных бедствий и их последствий в городе Туапсе</t>
  </si>
  <si>
    <t>0910100000</t>
  </si>
  <si>
    <t>0910100590</t>
  </si>
  <si>
    <t>Мероприятия по предупреждению и ликвидации чрезвычайных ситуаций, стихийных бедствий и их последствий, выполняемые в рамках специальных решений</t>
  </si>
  <si>
    <t>0910110540</t>
  </si>
  <si>
    <t>Финансовый резерв на мероприятия по ликвидации чрезвычайных ситуаций и стихийных бедствий, выполняемых в рамках специальных решений</t>
  </si>
  <si>
    <t>0910120540</t>
  </si>
  <si>
    <t xml:space="preserve">Обеспечение деятельности аварийно-спасательных служб и (или) аварийно-спасательных формирований </t>
  </si>
  <si>
    <t>0910200000</t>
  </si>
  <si>
    <t>Расходы на обеспечение деятельности (оказание услуг) муниципальных учреждений по передаваемым полномочиям (по созданию, содержанию и организации деятельности аварийно-спасательных служб и (или) аварийно-спасательных формирований</t>
  </si>
  <si>
    <t>0910221590</t>
  </si>
  <si>
    <t>Создание на территории муниципального образования сегмента системы обеспечения вызова экстренных оперативных служб по единому номеру «112»</t>
  </si>
  <si>
    <t>0910300000</t>
  </si>
  <si>
    <t>Расходы на обеспечение деятельности (оказание услуг) муниципальных учреждений по передаваемым полномочиям (в части содержания сегмента системы обеспечения вызова экстренных оперативных служб по единому номеру «112»)</t>
  </si>
  <si>
    <t>0910321594</t>
  </si>
  <si>
    <t xml:space="preserve"> Межбюджетные трансферты</t>
  </si>
  <si>
    <t>Пожарная безопасность города Туапсе</t>
  </si>
  <si>
    <t>0920000000</t>
  </si>
  <si>
    <t>Реализация первичных мер пожарной безопасности в границах города Туапсе</t>
  </si>
  <si>
    <t>0920100000</t>
  </si>
  <si>
    <t>Мероприятия по пожарной безопасности</t>
  </si>
  <si>
    <t>0920110280</t>
  </si>
  <si>
    <t>Отдельные мероприятия муниципальной программы</t>
  </si>
  <si>
    <t>0950000000</t>
  </si>
  <si>
    <t>Осуществление мероприятий по обеспечению безопасности людей на водных объектах, охране их жизни и здоровья</t>
  </si>
  <si>
    <t>0950100000</t>
  </si>
  <si>
    <t>Расходы на обеспечение деятельности (оказание услуг) муниципальных учреждений по передаваемым полномочиям (на обеспечение безопасности людей на водных объектах, охране их жизни и здоровья)</t>
  </si>
  <si>
    <t>0950121600</t>
  </si>
  <si>
    <t>2.2.2.</t>
  </si>
  <si>
    <t>Другие вопросы в области национальной безопасности и правоохранительной деятельности</t>
  </si>
  <si>
    <t>0314</t>
  </si>
  <si>
    <t>Профилактика терроризма и экстремизма в городе Туапсе</t>
  </si>
  <si>
    <t>0930000000</t>
  </si>
  <si>
    <t>Организация профилактических мероприятий по антитеррористической деятельности на территории города Туапсе</t>
  </si>
  <si>
    <t>0930100000</t>
  </si>
  <si>
    <t xml:space="preserve">Мероприятия по профилактике терроризма и экстремизма </t>
  </si>
  <si>
    <t>0930110110</t>
  </si>
  <si>
    <t>Расходы на обеспечение деятельности (оказание услуг) муниципальных учреждений по передаваемым полномочиям (участие в профилактике терроризма и экстремизма)</t>
  </si>
  <si>
    <t>0930121592</t>
  </si>
  <si>
    <t>Противодействие коррупции в городе Туапсе</t>
  </si>
  <si>
    <t>0940000000</t>
  </si>
  <si>
    <t>Осуществление мероприятий по повышению эффективности системы противодействия коррупции</t>
  </si>
  <si>
    <t>0940100000</t>
  </si>
  <si>
    <t>Мероприятия по противодействию коррупции</t>
  </si>
  <si>
    <t>0940122560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</si>
  <si>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</si>
  <si>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0950200000</t>
  </si>
  <si>
    <t>Создание условий для деятельности народных дружин</t>
  </si>
  <si>
    <t>0950222620</t>
  </si>
  <si>
    <t>2.3.</t>
  </si>
  <si>
    <t>НАЦИОНАЛЬНАЯ ЭКОНОМИКА</t>
  </si>
  <si>
    <t>0400</t>
  </si>
  <si>
    <t>2.3.1.</t>
  </si>
  <si>
    <t>Водное хозяйство</t>
  </si>
  <si>
    <t>0406</t>
  </si>
  <si>
    <t>Муниципальная программа «Социально-экономическое развитие города Туапсе»</t>
  </si>
  <si>
    <t>0700000000</t>
  </si>
  <si>
    <t>0760000000</t>
  </si>
  <si>
    <t>Создание объектов общественной инфраструктуры муниципальной собственности</t>
  </si>
  <si>
    <t>0760100000</t>
  </si>
  <si>
    <t>Строительство, реконструкция (в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</t>
  </si>
  <si>
    <t>07601S0470</t>
  </si>
  <si>
    <t>Капитальные вложения в объекты государственной (муниципальной) собственности</t>
  </si>
  <si>
    <t>400</t>
  </si>
  <si>
    <t>2.3.2.</t>
  </si>
  <si>
    <t>Дорожное хозяйство (дорожные фонды)</t>
  </si>
  <si>
    <t>0409</t>
  </si>
  <si>
    <t>Муниципальная программа «Комплексное и устойчивое развитие города Туапсе в сфере строительства, архитектуры и дорожного хозяйства»</t>
  </si>
  <si>
    <t>0500000000</t>
  </si>
  <si>
    <t>Строительство, реконструкция, капитальный ремонт, ремонт и содержание автомобильных дорог города Туапсе</t>
  </si>
  <si>
    <t>0530000000</t>
  </si>
  <si>
    <t xml:space="preserve">Обеспечение сохранности и развития автомобильных дорог общего пользования </t>
  </si>
  <si>
    <t>0530100000</t>
  </si>
  <si>
    <t>Строительство, реконструкция, капитальный ремонт и ремонт автомобильных дорог общего пользования, в том числе дорог в поселениях (за исключением дорог федерального значения).</t>
  </si>
  <si>
    <t>0530121090</t>
  </si>
  <si>
    <t>Строительство, реконструкция, капитальный ремонт и ремонт автомобильных дорог общего пользования, в том числе дорог в поселениях (за исключением дорог федерального значения) за счет безвозмездных поступлений (целевых пожертвований) от физических и (или) юридических лиц.</t>
  </si>
  <si>
    <t>0530121091</t>
  </si>
  <si>
    <t>Содержание автомобильных дорог общего пользования местного значения, в том числе дорог в поселениях (за исключением автомобильных дорог федерального значения), включая проектные работы</t>
  </si>
  <si>
    <t>0530121100</t>
  </si>
  <si>
    <t>Обеспечение безопасности дорожного движения на территории Туапсинского городского поселения</t>
  </si>
  <si>
    <t>0530200000</t>
  </si>
  <si>
    <t>0530221100</t>
  </si>
  <si>
    <t>Муниципальная программа «Развитие жилищно-коммунального хозяйства»</t>
  </si>
  <si>
    <t>0600000000</t>
  </si>
  <si>
    <t>Отдельные мероприятия программы</t>
  </si>
  <si>
    <t>0650000000</t>
  </si>
  <si>
    <t>Совершенствование деятельности муниципальных учреждений для оказания муниципальных услуг в сфере благоустройства</t>
  </si>
  <si>
    <t>0650300000</t>
  </si>
  <si>
    <t>0650300590</t>
  </si>
  <si>
    <t>2.3.3.</t>
  </si>
  <si>
    <t>Связь и информатика</t>
  </si>
  <si>
    <t>0410</t>
  </si>
  <si>
    <t>Информационный регион</t>
  </si>
  <si>
    <t>0820000000</t>
  </si>
  <si>
    <t>Развитие технической и технологической основы становления информационного общества</t>
  </si>
  <si>
    <t>0820100000</t>
  </si>
  <si>
    <t>0820122540</t>
  </si>
  <si>
    <t>2.3.4.</t>
  </si>
  <si>
    <t>Другие вопросы в области национальной экономики</t>
  </si>
  <si>
    <t>0412</t>
  </si>
  <si>
    <t>Подготовка градостроительной и землеустроительной документации на территории города Туапсе</t>
  </si>
  <si>
    <t>0520000000</t>
  </si>
  <si>
    <t>Проведение комплекса мероприятий, направленных на рациональное территориальное планирование, землеустройство и землепользование</t>
  </si>
  <si>
    <t>0520100000</t>
  </si>
  <si>
    <t>Подготовка градостроительной и землеустроительной документации города Туапсе</t>
  </si>
  <si>
    <t>0520120300</t>
  </si>
  <si>
    <t>Подготовка изменений в Правила землепользования и застройки муниципальных образований Краснодарского края</t>
  </si>
  <si>
    <t>05201S2570</t>
  </si>
  <si>
    <t>0540000000</t>
  </si>
  <si>
    <t>Материально-техническое и финансовое обеспечение муниципальных учреждений  в сфере капитального строительства</t>
  </si>
  <si>
    <t>0540100000</t>
  </si>
  <si>
    <t>0540100590</t>
  </si>
  <si>
    <t>Реализация градостроительной деятельности</t>
  </si>
  <si>
    <t>0540300000</t>
  </si>
  <si>
    <t>Мероприятия по сносу самовольных построений</t>
  </si>
  <si>
    <t>0540320320</t>
  </si>
  <si>
    <t>Материально-техническое и финансовое обеспечение муниципальных учреждений Туапсинского городского поселения в сфере архитектуры и градостроительства</t>
  </si>
  <si>
    <t>0540400000</t>
  </si>
  <si>
    <t>0540400590</t>
  </si>
  <si>
    <t>Отдельные мероприятия  муниципальной программы</t>
  </si>
  <si>
    <t>Осуществление муниципальными учреждениями отдельных мероприятий по предоставляемым иным целевым субсидиям</t>
  </si>
  <si>
    <t>0650309100</t>
  </si>
  <si>
    <t>Муниципальная поддержка малого и среднего предпринимательства</t>
  </si>
  <si>
    <t>0730000000</t>
  </si>
  <si>
    <t>Оказание муниципальной поддержки субъектам малого и среднего предпринимательства</t>
  </si>
  <si>
    <t>0730100000</t>
  </si>
  <si>
    <t>0730111450</t>
  </si>
  <si>
    <t>Реализация мероприятий в сфере торговли и транспорта</t>
  </si>
  <si>
    <t>0740000000</t>
  </si>
  <si>
    <t>Совершенствование деятельности муниципальных учреждений для оказания муниципальных услуг в сфере торговли и транспорта</t>
  </si>
  <si>
    <t>0740100000</t>
  </si>
  <si>
    <t>0740100590</t>
  </si>
  <si>
    <t>Создание условий для предоставления транспортных услуг населению и организация транспортного обслуживания населения города Туапсе</t>
  </si>
  <si>
    <t>0750000000</t>
  </si>
  <si>
    <t>Организация предоставления транспортных услуг населению и развитие транспортной инфраструктуры города Туапсе</t>
  </si>
  <si>
    <t>0750100000</t>
  </si>
  <si>
    <t>Развитие транспортной инфраструктуры города Туапсе</t>
  </si>
  <si>
    <t>0750122710</t>
  </si>
  <si>
    <t>2.4.</t>
  </si>
  <si>
    <t>ЖИЛИЩНО-КОММУНАЛЬНОЕ ХОЗЯЙСТВО</t>
  </si>
  <si>
    <t>0500</t>
  </si>
  <si>
    <t>2.4.1.</t>
  </si>
  <si>
    <t>Жилищное хозяйство</t>
  </si>
  <si>
    <t>0501</t>
  </si>
  <si>
    <t>Создание условий для развития массового строительства жилья</t>
  </si>
  <si>
    <t>0540500000</t>
  </si>
  <si>
    <t>Обеспечение земельных участков инженерной инфраструктурой в целях жилищного строительства</t>
  </si>
  <si>
    <t>0540520430</t>
  </si>
  <si>
    <t>Содержание и развитие жилищного хозяйства города Туапсе</t>
  </si>
  <si>
    <t>0640000000</t>
  </si>
  <si>
    <t>Формирование эффективных механизмов управления муниципальным жилищным фондом</t>
  </si>
  <si>
    <t>0640100000</t>
  </si>
  <si>
    <t>Взнос органа местного самоуправления на капитальный ремонт общего имущества за муниципальные помещения</t>
  </si>
  <si>
    <t>0640120990</t>
  </si>
  <si>
    <t>Содержание и капитальный ремонт муниципального жилищного фонда, обеспечение его сохранности</t>
  </si>
  <si>
    <t>0640121010</t>
  </si>
  <si>
    <t>2.4.2.</t>
  </si>
  <si>
    <t>Коммунальное хозяйство</t>
  </si>
  <si>
    <t>0502</t>
  </si>
  <si>
    <t>Содержание и развитие коммунального хозяйства города Туапсе</t>
  </si>
  <si>
    <t>0620000000</t>
  </si>
  <si>
    <t>Проведение комплекса мероприятий по модернизации, строительству, реконструкции и ремонту объектов ЖХК</t>
  </si>
  <si>
    <t>0620100000</t>
  </si>
  <si>
    <t>Развитие водоснабжения города Туапсе</t>
  </si>
  <si>
    <t>0620110270</t>
  </si>
  <si>
    <t>Строительство и реконструкция объектов водоотведения</t>
  </si>
  <si>
    <t>0620198100</t>
  </si>
  <si>
    <t>Организация водоотведения</t>
  </si>
  <si>
    <t>06201S0310</t>
  </si>
  <si>
    <t>Организация водоснабжения населения</t>
  </si>
  <si>
    <t>06201S0330</t>
  </si>
  <si>
    <t>Финансовая поддержка предприятий, в которых доля участия Туапсинского городского поселения составляет не менее 20 процентов</t>
  </si>
  <si>
    <t>0650500000</t>
  </si>
  <si>
    <t>Финансовое обеспечение расходов, связанных с погашением задолженности и (или) на возмещение недополученных доходов предприятий, в которых доля участия Туапсинского городского поселения составляет не менее 20 процентов</t>
  </si>
  <si>
    <t>0650521300</t>
  </si>
  <si>
    <t xml:space="preserve"> Иные бюджетные ассигнования</t>
  </si>
  <si>
    <t>Муниципальная программа «Развитие топливно-энергетического комплекса города Туапсе»</t>
  </si>
  <si>
    <t>1100000000</t>
  </si>
  <si>
    <t>Газификация города Туапсе</t>
  </si>
  <si>
    <t>1110000000</t>
  </si>
  <si>
    <t>Улучшение условий быта и производственной деятельности населения города Туапсе за счет более полного обеспечения его  газом</t>
  </si>
  <si>
    <t>1110100000</t>
  </si>
  <si>
    <t>Мероприятия по развитию газификации, финансовое обеспечение которых осуществляется за счет средств местного бюджета</t>
  </si>
  <si>
    <t>1110121120</t>
  </si>
  <si>
    <t>Организация газоснабжения населения (поселений)</t>
  </si>
  <si>
    <t>11101S0620</t>
  </si>
  <si>
    <t>Организация электроснабжения населения</t>
  </si>
  <si>
    <t>Развитие систем теплоснабжения города Туапсе</t>
  </si>
  <si>
    <t>Обеспечение наиболее качественного и надежного теплоснабжения и горячего водоснабжения потребителей города Туапсе</t>
  </si>
  <si>
    <t>1130121070</t>
  </si>
  <si>
    <t>2.4.3.</t>
  </si>
  <si>
    <t>Благоустройство</t>
  </si>
  <si>
    <t>0503</t>
  </si>
  <si>
    <t>Благоустройство города Туапсе</t>
  </si>
  <si>
    <t>0630000000</t>
  </si>
  <si>
    <t>Создание комфортных и благоприятных условий жизни населения  и  обеспечение функционирования инфраструктуры города Туапсе</t>
  </si>
  <si>
    <t>0630100000</t>
  </si>
  <si>
    <t>Уличное освещение</t>
  </si>
  <si>
    <t>0630121030</t>
  </si>
  <si>
    <t>Озеленение</t>
  </si>
  <si>
    <t>0630121040</t>
  </si>
  <si>
    <t>Организация и содержание мест захоронения</t>
  </si>
  <si>
    <t>0630121050</t>
  </si>
  <si>
    <t>Прочие мероприятия по благоустройству</t>
  </si>
  <si>
    <t>0630121060</t>
  </si>
  <si>
    <t>Приобретение специализированной техники, оборудования</t>
  </si>
  <si>
    <t>0630121130</t>
  </si>
  <si>
    <t>Организация сбора и вывоза бытовых отходов и мусора, уборка территории города</t>
  </si>
  <si>
    <t>0630122550</t>
  </si>
  <si>
    <t>Создание условий для массового отдыха жителей и организация обустройства мест массового отдыха населения</t>
  </si>
  <si>
    <t>0630122610</t>
  </si>
  <si>
    <t>Городу Воинской Славы- новый облик</t>
  </si>
  <si>
    <t>0720000000</t>
  </si>
  <si>
    <t>Развитие города Туапсе ,как столицы Туапсинского района</t>
  </si>
  <si>
    <t>0720100000</t>
  </si>
  <si>
    <t>Сохранение историко-культурного наследия</t>
  </si>
  <si>
    <t>0720122530</t>
  </si>
  <si>
    <t>Муниципальная программа "Формирование современной городской среды на территории Туапсинского городского поселения Туапсинского района""</t>
  </si>
  <si>
    <t>1400000000</t>
  </si>
  <si>
    <t>Благоустройство дворовых городских территорий и муниципальных территорий общего пользования города Туапсе</t>
  </si>
  <si>
    <t>1400100000</t>
  </si>
  <si>
    <t>Реализация мероприятий муниципальной программы "Формирование современной городской среды на территории Туапсинского городского поселения Туапсинского района"</t>
  </si>
  <si>
    <t>Благоустройство муниципальной территории городского пляжа города Туапсе</t>
  </si>
  <si>
    <t>2.4.4.</t>
  </si>
  <si>
    <t>Другие вопросы в области жилищно-коммунального хозяйства</t>
  </si>
  <si>
    <t>0505</t>
  </si>
  <si>
    <t>Совершенствование деятельности муниципальных учреждений для оказания услуг в сфере ЖКХ</t>
  </si>
  <si>
    <t>0650100000</t>
  </si>
  <si>
    <t>0650100590</t>
  </si>
  <si>
    <t>Приобретение муниципальными учреждениями движимого имущества</t>
  </si>
  <si>
    <t>0650309010</t>
  </si>
  <si>
    <t>2.5.</t>
  </si>
  <si>
    <t>ОБРАЗОВАНИЕ</t>
  </si>
  <si>
    <t>0700</t>
  </si>
  <si>
    <t>2.5.1.</t>
  </si>
  <si>
    <t>Молодежная политика</t>
  </si>
  <si>
    <t>0707</t>
  </si>
  <si>
    <t>Муниципальная программа "Молодежь города Туапсе"</t>
  </si>
  <si>
    <t>0100000000</t>
  </si>
  <si>
    <t>Создание условий для гражданского становления молодого поколения, физического, духовного и патриотического воспитания молодежи</t>
  </si>
  <si>
    <t>0100100000</t>
  </si>
  <si>
    <t>Организация работы спортивно-игровых площадок по месту жительства и временной трудовой занятости подростков и молодежи</t>
  </si>
  <si>
    <t>0100121510</t>
  </si>
  <si>
    <t>Мероприятия, направленные на гражданское, патриотическое и духовно-нравственное воспитание молодых граждан</t>
  </si>
  <si>
    <t>0100122510</t>
  </si>
  <si>
    <t xml:space="preserve"> Закупка товаров, работ и услуг для обеспечения государственных (муниципальных) нужд</t>
  </si>
  <si>
    <t>Материально-техническое и финансовое обеспечение муниципальных учреждений, осуществляющих деятельность в сфере молодежной политики</t>
  </si>
  <si>
    <t>0100200000</t>
  </si>
  <si>
    <t>0100200590</t>
  </si>
  <si>
    <t xml:space="preserve">Организация работы и укрепление материально-технической базы молодежных клубов </t>
  </si>
  <si>
    <t>0100221520</t>
  </si>
  <si>
    <t>Оснащение оборудованием и техникой муниципальных учреждений, осуществляющих деятельность в сфере молодежной политики за счет целевых пожертвований от ООО " Туапсинский балкерный терминал"</t>
  </si>
  <si>
    <t>0100221530</t>
  </si>
  <si>
    <t>2.6.</t>
  </si>
  <si>
    <t>СОЦИАЛЬНАЯ ПОЛИТИКА</t>
  </si>
  <si>
    <t>1000</t>
  </si>
  <si>
    <t>2.6.1.</t>
  </si>
  <si>
    <t>Пенсионное обеспечение</t>
  </si>
  <si>
    <t>1001</t>
  </si>
  <si>
    <t>Развитие мер социальной поддержки отдельных категорий граждан</t>
  </si>
  <si>
    <t>0410000000</t>
  </si>
  <si>
    <t>Меры муниципальной поддержки лиц, замещавших муниципальные должности и должности муниципальной службы</t>
  </si>
  <si>
    <t>0410200000</t>
  </si>
  <si>
    <t>Выплата дополнительного материального обеспечения, доплат к пенсиям, пособий и компенсаций</t>
  </si>
  <si>
    <t>0410241210</t>
  </si>
  <si>
    <t>2.6.2.</t>
  </si>
  <si>
    <t>Социальное обеспечение населения</t>
  </si>
  <si>
    <t>1003</t>
  </si>
  <si>
    <t>Дополнительные меры социальной поддержки граждан города Туапсе</t>
  </si>
  <si>
    <t>0410100000</t>
  </si>
  <si>
    <t>Социальная поддержка отдельных категорий граждан</t>
  </si>
  <si>
    <t>0410120820</t>
  </si>
  <si>
    <t>2.6.3.</t>
  </si>
  <si>
    <t>Охрана семьи и детства</t>
  </si>
  <si>
    <t>1004</t>
  </si>
  <si>
    <t>Улучшение жилищных условий населения города Туапсе</t>
  </si>
  <si>
    <t>0610000000</t>
  </si>
  <si>
    <t>Обеспечение доступным и комфортным жильем градан, проживающих на территории города Туапсе</t>
  </si>
  <si>
    <t>0610100000</t>
  </si>
  <si>
    <t>Реализация мероприятий по обеспечению жильем молодых семей</t>
  </si>
  <si>
    <t>06101L4970</t>
  </si>
  <si>
    <t>2.6.4.</t>
  </si>
  <si>
    <t>Другие вопросы в области социальной политики</t>
  </si>
  <si>
    <t>1006</t>
  </si>
  <si>
    <t>2.7.</t>
  </si>
  <si>
    <t>ФИЗИЧЕСКАЯ КУЛЬТУРА И СПОРТ</t>
  </si>
  <si>
    <t>1100</t>
  </si>
  <si>
    <t>2.7.1.</t>
  </si>
  <si>
    <t>Физическая культура</t>
  </si>
  <si>
    <t>1101</t>
  </si>
  <si>
    <t>Муниципальная программа "Развитие физической культуры и спорта в городе Туапсе"</t>
  </si>
  <si>
    <t>0200000000</t>
  </si>
  <si>
    <t>Физическое воспитание и физическое развитие граждан посредством организации и проведения (участия) физкультурных мероприятий и массовых спортивных мероприятий</t>
  </si>
  <si>
    <t>0200100000</t>
  </si>
  <si>
    <t>Реализация мероприятий муниципальной программы "Развитие физической культуры и спорта в городе Туапсе"</t>
  </si>
  <si>
    <t>0200122520</t>
  </si>
  <si>
    <t>Муниципальная программа "Доступная среда"</t>
  </si>
  <si>
    <t>1300000000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</si>
  <si>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Туапсе</t>
  </si>
  <si>
    <t>1300100000</t>
  </si>
  <si>
    <t>Реализация мероприятий муниципальной программы «Доступная среда»</t>
  </si>
  <si>
    <t>1300122640</t>
  </si>
  <si>
    <t>2.8.</t>
  </si>
  <si>
    <t>ОБСЛУЖИВАНИЕ ГОСУДАРСТВЕННОГО (МУНИЦИПАЛЬНОГО) ДОЛГА</t>
  </si>
  <si>
    <t>1300</t>
  </si>
  <si>
    <t>2.8.1.</t>
  </si>
  <si>
    <t>Обслуживание государственного (муниципального) внутреннего долга</t>
  </si>
  <si>
    <t>1301</t>
  </si>
  <si>
    <t>Процентные платежи по муниципальному долгу</t>
  </si>
  <si>
    <t>1220110520</t>
  </si>
  <si>
    <t>Обслуживание государственного (муниципального) долга</t>
  </si>
  <si>
    <t>700</t>
  </si>
  <si>
    <t>3.</t>
  </si>
  <si>
    <t>Отдел культуры администрации Туапсинского городского поселения Туапсинского района</t>
  </si>
  <si>
    <t>993</t>
  </si>
  <si>
    <t>3.1.</t>
  </si>
  <si>
    <t>КУЛЬТУРА, КИНЕМАТОГРАФИЯ</t>
  </si>
  <si>
    <t>0800</t>
  </si>
  <si>
    <t>3.1.1.</t>
  </si>
  <si>
    <t>Культура</t>
  </si>
  <si>
    <t>0801</t>
  </si>
  <si>
    <t>Муниципальная программа "Развитие культуры, искусства и кинематографии города Туапсе"</t>
  </si>
  <si>
    <t>0300000000</t>
  </si>
  <si>
    <t>Культура города Туапсе</t>
  </si>
  <si>
    <t>0310000000</t>
  </si>
  <si>
    <t>Развитие культуры города Туапсе</t>
  </si>
  <si>
    <t>0310100000</t>
  </si>
  <si>
    <t>Реализация мероприятий в области культуры</t>
  </si>
  <si>
    <t>0310109810</t>
  </si>
  <si>
    <t>Комплектование книжных фондов библиотек</t>
  </si>
  <si>
    <t>0310121440</t>
  </si>
  <si>
    <t>0310122530</t>
  </si>
  <si>
    <t>Совершенствование деятельности муниципальных учреждений отрасли «Культура, искусство и кинематография города Туапсе»</t>
  </si>
  <si>
    <t>0330000000</t>
  </si>
  <si>
    <t>Повышение эффективности предоставления муниципальных услуг в сфере культуры, искусства и кинематографии</t>
  </si>
  <si>
    <t>0330100000</t>
  </si>
  <si>
    <t>0330100590</t>
  </si>
  <si>
    <t>Осуществление муниципальными учреждениями капитального ремонта</t>
  </si>
  <si>
    <t>0330109020</t>
  </si>
  <si>
    <t>0330109100</t>
  </si>
  <si>
    <t>Поддержка творческой деятельности и техническое оснащение детских и кукольных театров</t>
  </si>
  <si>
    <t>03301L5170</t>
  </si>
  <si>
    <t>Федеральный проект "Культурная среда"</t>
  </si>
  <si>
    <t>033А10000</t>
  </si>
  <si>
    <t>Техническое оснащение региональных и муниципальных музеев</t>
  </si>
  <si>
    <t>033А155900</t>
  </si>
  <si>
    <t>3.1.2.</t>
  </si>
  <si>
    <t>Кинематография</t>
  </si>
  <si>
    <t>0802</t>
  </si>
  <si>
    <t>3.1.3.</t>
  </si>
  <si>
    <t>Другие вопросы в области культуры, кинематографии</t>
  </si>
  <si>
    <t>0804</t>
  </si>
  <si>
    <t>Создание условий для обеспечения деятельности муниципальных учреждений в сфере культуры, искусства и кинематографии</t>
  </si>
  <si>
    <t>0330200000</t>
  </si>
  <si>
    <t>0330200590</t>
  </si>
  <si>
    <t>Отдельные мероприятий по управлению реализацией муниципальной программы</t>
  </si>
  <si>
    <t>0340000000</t>
  </si>
  <si>
    <t>Обеспечение деятельности отдела культуры администрации Туапсинского городского поселения</t>
  </si>
  <si>
    <t>0340100000</t>
  </si>
  <si>
    <t>0340100190</t>
  </si>
  <si>
    <t>4.</t>
  </si>
  <si>
    <t>Отдел имущественных и земельных отношений администрации Туапсинского городского поселения Туапсинского района</t>
  </si>
  <si>
    <t>995</t>
  </si>
  <si>
    <t>4.1.</t>
  </si>
  <si>
    <t>4.1.1.</t>
  </si>
  <si>
    <t>Управление муниципальным имуществом и земельными ресурсами</t>
  </si>
  <si>
    <t>1230000000</t>
  </si>
  <si>
    <t>Обеспечение деятельности отдела имущественных и земельных отношений администрации Туапсинского городского поселения</t>
  </si>
  <si>
    <t>1230100000</t>
  </si>
  <si>
    <t>1230100190</t>
  </si>
  <si>
    <t>Мероприятия по управлению имуществом и земельными ресурсами Туапсинского городского поселения</t>
  </si>
  <si>
    <t>1230300000</t>
  </si>
  <si>
    <t>Оценка недвижимости, признание прав и регулирование отношений по муниципальной собственности</t>
  </si>
  <si>
    <t>1230310390</t>
  </si>
  <si>
    <t>4.2.</t>
  </si>
  <si>
    <t>4.2.1.</t>
  </si>
  <si>
    <t>Совершенствование деятельности муниципальных учреждений  для оказания муниципальных услуг в сфере имущественных и земельных отношений</t>
  </si>
  <si>
    <t>1230200000</t>
  </si>
  <si>
    <t>1230200590</t>
  </si>
  <si>
    <t xml:space="preserve"> Глава Туапсинского городского поселения                                          А.В.Береснев</t>
  </si>
  <si>
    <t>от 30.01.2024г. № 17.3</t>
  </si>
  <si>
    <t>от 14.12.2023№ 15.8</t>
  </si>
  <si>
    <t>1400122730</t>
  </si>
  <si>
    <t>Исполняющий обязанности главы Туапсинского городского поселения                                          А.В.Береснев</t>
  </si>
  <si>
    <t>05201S2000</t>
  </si>
  <si>
    <t>Подготовка документации по планировке территории (проекта планировки территории и проекта межевании территории) муниципальных образований Краснодарского края</t>
  </si>
  <si>
    <t>0720122610</t>
  </si>
  <si>
    <t>06301S0360</t>
  </si>
  <si>
    <t>Создание условий для массового отдыха  и организация обустройства мест массового отдыха на территориях муниципальных образований , в которых введен курортный сбор ( в части финансового обеспечения работ по проектированию , строительству,реконструкции, содержанию , благоустройству и ремонту объектов курортной инфраструктуры).</t>
  </si>
  <si>
    <t>от  21.02.2024г.   №18.5</t>
  </si>
  <si>
    <t>от              №</t>
  </si>
  <si>
    <t>0910110590</t>
  </si>
  <si>
    <t>0309</t>
  </si>
  <si>
    <t>Гражданская оборона</t>
  </si>
  <si>
    <t>Осуществление мероприятий в области гражданской обороны</t>
  </si>
  <si>
    <t>0910110000</t>
  </si>
  <si>
    <t>07401ХХХХ</t>
  </si>
  <si>
    <t>Обеспечение функций органов местного самоуправления по реализации переданных полномочий по созданию условий для обеспечения жителей поселения услугами торговли</t>
  </si>
  <si>
    <t>05201S0170</t>
  </si>
  <si>
    <t>0760120470</t>
  </si>
  <si>
    <t>Строительство, реконструкция ( 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недвижимости)</t>
  </si>
  <si>
    <t>Мероприятия, направленные на развтите познавательской и социальной активности старшего поколения жителей города Туапсе</t>
  </si>
  <si>
    <t>Организация и проведение экскурсионно-познавательских поездок по Краснодарскому краю для ветеранов и пенсионеров города Туапсе</t>
  </si>
  <si>
    <t>Поощрение победителей краевого смотра-конкурса " Лучший орган территориального общественного самоуправления"</t>
  </si>
  <si>
    <t>0650400000</t>
  </si>
  <si>
    <t>0650421290</t>
  </si>
  <si>
    <t>Финансовая поддержка муниципальных унитарных предприятий Туапсинского городского поселения, оказывающих услуги в сфере ЖКХ и благоустройства</t>
  </si>
  <si>
    <t>Осуществление мер по предупреждению банкротства и восстановлению платежеспособности</t>
  </si>
  <si>
    <t>от 06.05.2024г. №20.7</t>
  </si>
  <si>
    <t>Создание условий для массового отдыха и организации обкстройства мест массового отдыха на территории Туапсинского городского поселения в части реализации инициативных проектов.</t>
  </si>
  <si>
    <t>0630122615</t>
  </si>
  <si>
    <t>0630162955</t>
  </si>
  <si>
    <t>Поддержка местных инициатив по итогам краевого конкурса</t>
  </si>
  <si>
    <t>Строительство, реконструкция (в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сооружений инженерной защиты и берегоукрепления за счет средств местного бюджета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</si>
  <si>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инфраструктуры, общего образования, дошкольного образования, дополнительного образования, отрасли культуры, сооружений инженерной защиты и берегоукрепления.</t>
  </si>
  <si>
    <t>1120100000</t>
  </si>
  <si>
    <t>1120000000</t>
  </si>
  <si>
    <t>Развитие и содержание сетей электроснабжения</t>
  </si>
  <si>
    <t>Повышение надежности электросетевого комплекса и общего уровня энергобезопасности города Туапсе</t>
  </si>
  <si>
    <t>Организация теплоснабжения населения</t>
  </si>
  <si>
    <t>Муниципальная программа «Доступная среда»</t>
  </si>
  <si>
    <t>0630160200</t>
  </si>
  <si>
    <t>Приобретение специальной техники (на базе шасси трактора)</t>
  </si>
  <si>
    <t>0330109101</t>
  </si>
  <si>
    <t>Осуществление муниципальными учреждениями отдельных мероприятий по предоставляемым иным целевым субсидиям за счет безвозмездных поступлений (целевых пожертвований) от физических и (или) юридических лиц</t>
  </si>
  <si>
    <t>от 10.06.2024г. № 21.6</t>
  </si>
  <si>
    <t xml:space="preserve">от                 № </t>
  </si>
  <si>
    <t>0540320330</t>
  </si>
  <si>
    <t>Реализация градостроительной деятельности в соответствии с правилами землепользования и застройки Туапсинского городского поселения</t>
  </si>
  <si>
    <t>Изьятие для муниципальных нужд путем выкупа земельных участков и жилых помещений</t>
  </si>
  <si>
    <t>0610200000</t>
  </si>
  <si>
    <t>0610220330</t>
  </si>
  <si>
    <t>Улуччшение жилищных условий населения города Туапсе</t>
  </si>
  <si>
    <t>Сокращение количества аварийного жилья</t>
  </si>
  <si>
    <t xml:space="preserve">Изъятие для муниципальных нужд путем выкупа жилых помещений в многоквартирных жилых домах, признанных аварийными </t>
  </si>
  <si>
    <t>Создание условий для массового отдыха  и организация обустройства мест массового отдыха на территориях муниципальных образований , в которых введен курортный сбор для финансового обеспечения работ по проектированию , строительству,реконструкции, содержанию , благоустройству и ремонту объектов курортной инфраструктуры.</t>
  </si>
  <si>
    <t>Обеспечение доступным и комфортным жильем граждан, проживающих на территории города Туапсе</t>
  </si>
  <si>
    <t>0330109010</t>
  </si>
  <si>
    <t>Приложение № 9</t>
  </si>
  <si>
    <t>1130110490</t>
  </si>
  <si>
    <t>Резервный фонд муниципального образования Туапсинский район</t>
  </si>
  <si>
    <t>от 06.09.2024г.  № 24.4</t>
  </si>
  <si>
    <t xml:space="preserve">от                    № </t>
  </si>
  <si>
    <t>06504S2590</t>
  </si>
  <si>
    <t>Расходы на компенсационные выплаты работникам органов местного самоуправления и другие расходы,связанные с преобразованием муниципальных образований, упразднением поселений в соответствии со статьями 13 и 13.1 Федерального закона № 131-ФЗ</t>
  </si>
  <si>
    <t>0340100390</t>
  </si>
  <si>
    <t>Софинансирование расходных обязательств, возникающих при организации водоотведения Туапсинского городского поселения  Туапсинского района Краснодарского края, по финансовому обеспечению исполнения вступившего в законную силу постановления Арбитражного суда Краснодарского края от 25 февраля 2023г.по делу № А32-43766/2021г.</t>
  </si>
  <si>
    <t>Средства резервного фонда администрации Краснодарского края ( иные межбюджетные трансферты)</t>
  </si>
  <si>
    <t xml:space="preserve">Исполнено </t>
  </si>
  <si>
    <t xml:space="preserve"> </t>
  </si>
  <si>
    <t xml:space="preserve">% исполнения </t>
  </si>
  <si>
    <t xml:space="preserve">по ведомственной структуре расходов бюджета за 2024 год </t>
  </si>
  <si>
    <t>(тыс.рублей)</t>
  </si>
  <si>
    <t xml:space="preserve">     Ю.Н.Кулакова </t>
  </si>
  <si>
    <t xml:space="preserve">                                                             ИСПОЛНЕНИЕ </t>
  </si>
  <si>
    <t xml:space="preserve">                по расходам Туапсинского городского поселения Туапсинского района </t>
  </si>
  <si>
    <t xml:space="preserve">Утверждено в бюджете </t>
  </si>
  <si>
    <t xml:space="preserve">Начальник финансового управления </t>
  </si>
  <si>
    <t xml:space="preserve">администрации Туапсинского муниципального округа </t>
  </si>
  <si>
    <t>Муниципальная программа "Формирование современной городской среды на территории Туапсинского городского поселения Туапсинского района"</t>
  </si>
  <si>
    <t>№ п/п</t>
  </si>
  <si>
    <t>Осуществление отдельных  государственных полномочий Краснодарского края по осуществлению регионального государственного контроля (надзора) за исполнением плательщиками курортного сбора и операторами куроротного сбора требований законодательства Российской Федерации и Краснодарского края, связанных с проведением эксперимента</t>
  </si>
  <si>
    <t>Приложение 5 
УТВЕРЖДЕНО
решением Совета
муниципального образования
Туапсинский муниципальный округ Краснодарского края
от  27.06.2025 №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</si>
</sst>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00"/>
    <numFmt numFmtId="165" formatCode="_-* #,##0.00&quot;р.&quot;_-;\-* #,##0.00&quot;р.&quot;_-;_-* &quot;-&quot;??&quot;р.&quot;_-;_-@_-"/>
    <numFmt numFmtId="166" formatCode="#,##0.0"/>
  </numFmts>
  <fonts count="49" x14ac:knownFonts="1">
    <font>
      <sz val="10"/>
      <color indexed="64"/>
      <name val="Arial"/>
      <charset val="1"/>
    </font>
    <font>
      <b/>
      <sz val="11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9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8"/>
      <color indexed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8E4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00B05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indexed="64"/>
      <name val="Arial"/>
      <family val="2"/>
      <charset val="204"/>
    </font>
    <font>
      <sz val="1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6"/>
      <color indexed="6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color rgb="FF00B05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Arial"/>
      <family val="2"/>
      <charset val="204"/>
    </font>
    <font>
      <i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0" fontId="26" fillId="0" borderId="0"/>
    <xf numFmtId="165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44" fontId="35" fillId="0" borderId="0" applyFont="0" applyFill="0" applyBorder="0" applyAlignment="0" applyProtection="0"/>
  </cellStyleXfs>
  <cellXfs count="30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12" fillId="2" borderId="3" xfId="0" applyFont="1" applyFill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164" fontId="0" fillId="0" borderId="0" xfId="0" applyNumberFormat="1"/>
    <xf numFmtId="164" fontId="11" fillId="2" borderId="0" xfId="0" applyNumberFormat="1" applyFont="1" applyFill="1" applyAlignment="1">
      <alignment vertical="top" wrapText="1"/>
    </xf>
    <xf numFmtId="164" fontId="8" fillId="2" borderId="0" xfId="0" applyNumberFormat="1" applyFont="1" applyFill="1" applyAlignment="1">
      <alignment vertical="top" wrapText="1"/>
    </xf>
    <xf numFmtId="164" fontId="10" fillId="2" borderId="0" xfId="0" applyNumberFormat="1" applyFont="1" applyFill="1" applyAlignment="1">
      <alignment vertical="top" wrapText="1"/>
    </xf>
    <xf numFmtId="164" fontId="20" fillId="0" borderId="0" xfId="0" applyNumberFormat="1" applyFont="1" applyAlignment="1">
      <alignment vertical="top" wrapText="1"/>
    </xf>
    <xf numFmtId="164" fontId="10" fillId="0" borderId="0" xfId="0" applyNumberFormat="1" applyFont="1" applyAlignment="1">
      <alignment vertical="top" wrapText="1"/>
    </xf>
    <xf numFmtId="49" fontId="14" fillId="0" borderId="7" xfId="0" applyNumberFormat="1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4" fontId="20" fillId="0" borderId="7" xfId="0" applyNumberFormat="1" applyFont="1" applyBorder="1" applyAlignment="1">
      <alignment vertical="top" wrapText="1"/>
    </xf>
    <xf numFmtId="164" fontId="20" fillId="0" borderId="1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64" fontId="19" fillId="0" borderId="8" xfId="0" applyNumberFormat="1" applyFont="1" applyBorder="1" applyAlignment="1">
      <alignment horizontal="center" vertical="top" wrapText="1"/>
    </xf>
    <xf numFmtId="164" fontId="19" fillId="0" borderId="9" xfId="0" applyNumberFormat="1" applyFont="1" applyBorder="1" applyAlignment="1">
      <alignment horizontal="center" vertical="top" wrapText="1"/>
    </xf>
    <xf numFmtId="49" fontId="15" fillId="0" borderId="7" xfId="0" applyNumberFormat="1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164" fontId="21" fillId="0" borderId="7" xfId="0" applyNumberFormat="1" applyFont="1" applyBorder="1" applyAlignment="1">
      <alignment vertical="top" wrapText="1"/>
    </xf>
    <xf numFmtId="164" fontId="21" fillId="0" borderId="1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4" fontId="22" fillId="0" borderId="7" xfId="0" applyNumberFormat="1" applyFont="1" applyBorder="1" applyAlignment="1">
      <alignment vertical="top" wrapText="1"/>
    </xf>
    <xf numFmtId="164" fontId="22" fillId="0" borderId="1" xfId="0" applyNumberFormat="1" applyFont="1" applyBorder="1" applyAlignment="1">
      <alignment vertical="top" wrapText="1"/>
    </xf>
    <xf numFmtId="164" fontId="22" fillId="0" borderId="1" xfId="0" applyNumberFormat="1" applyFont="1" applyBorder="1" applyAlignment="1">
      <alignment vertical="top"/>
    </xf>
    <xf numFmtId="164" fontId="23" fillId="0" borderId="7" xfId="0" applyNumberFormat="1" applyFont="1" applyBorder="1" applyAlignment="1">
      <alignment vertical="top" wrapText="1"/>
    </xf>
    <xf numFmtId="49" fontId="9" fillId="0" borderId="4" xfId="0" applyNumberFormat="1" applyFont="1" applyBorder="1" applyAlignment="1">
      <alignment vertical="top"/>
    </xf>
    <xf numFmtId="0" fontId="22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164" fontId="22" fillId="0" borderId="4" xfId="0" applyNumberFormat="1" applyFont="1" applyBorder="1" applyAlignment="1">
      <alignment vertical="top" wrapText="1"/>
    </xf>
    <xf numFmtId="164" fontId="22" fillId="0" borderId="5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horizontal="center" vertical="top" wrapText="1"/>
    </xf>
    <xf numFmtId="164" fontId="24" fillId="0" borderId="7" xfId="0" applyNumberFormat="1" applyFont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2" fillId="2" borderId="19" xfId="0" applyFont="1" applyFill="1" applyBorder="1" applyAlignment="1">
      <alignment vertical="top" wrapText="1"/>
    </xf>
    <xf numFmtId="164" fontId="22" fillId="0" borderId="21" xfId="0" applyNumberFormat="1" applyFont="1" applyBorder="1" applyAlignment="1">
      <alignment vertical="top" wrapText="1"/>
    </xf>
    <xf numFmtId="49" fontId="8" fillId="0" borderId="0" xfId="1" applyNumberFormat="1" applyFont="1" applyAlignment="1">
      <alignment vertical="center" wrapText="1"/>
    </xf>
    <xf numFmtId="49" fontId="8" fillId="0" borderId="0" xfId="2" applyNumberFormat="1" applyFont="1" applyAlignment="1">
      <alignment vertical="center" wrapText="1"/>
    </xf>
    <xf numFmtId="164" fontId="25" fillId="0" borderId="7" xfId="0" applyNumberFormat="1" applyFont="1" applyBorder="1" applyAlignment="1">
      <alignment vertical="top" wrapText="1"/>
    </xf>
    <xf numFmtId="49" fontId="8" fillId="0" borderId="1" xfId="3" applyNumberFormat="1" applyFont="1" applyBorder="1" applyAlignment="1">
      <alignment vertical="center" wrapText="1"/>
    </xf>
    <xf numFmtId="9" fontId="22" fillId="0" borderId="0" xfId="5" applyFont="1" applyFill="1" applyBorder="1" applyAlignment="1">
      <alignment horizontal="justify" vertical="top" wrapText="1"/>
    </xf>
    <xf numFmtId="49" fontId="8" fillId="0" borderId="1" xfId="2" applyNumberFormat="1" applyFont="1" applyBorder="1" applyAlignment="1">
      <alignment vertical="center" wrapText="1"/>
    </xf>
    <xf numFmtId="164" fontId="22" fillId="0" borderId="19" xfId="0" applyNumberFormat="1" applyFont="1" applyBorder="1" applyAlignment="1">
      <alignment vertical="top" wrapText="1"/>
    </xf>
    <xf numFmtId="49" fontId="8" fillId="0" borderId="1" xfId="2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164" fontId="27" fillId="0" borderId="7" xfId="0" applyNumberFormat="1" applyFont="1" applyBorder="1" applyAlignment="1">
      <alignment vertical="top" wrapText="1"/>
    </xf>
    <xf numFmtId="164" fontId="28" fillId="0" borderId="7" xfId="0" applyNumberFormat="1" applyFont="1" applyBorder="1" applyAlignment="1">
      <alignment vertical="top" wrapText="1"/>
    </xf>
    <xf numFmtId="164" fontId="29" fillId="0" borderId="7" xfId="0" applyNumberFormat="1" applyFont="1" applyBorder="1" applyAlignment="1">
      <alignment vertical="top" wrapText="1"/>
    </xf>
    <xf numFmtId="164" fontId="30" fillId="0" borderId="7" xfId="0" applyNumberFormat="1" applyFont="1" applyBorder="1" applyAlignment="1">
      <alignment vertical="top" wrapText="1"/>
    </xf>
    <xf numFmtId="164" fontId="31" fillId="0" borderId="7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32" fillId="0" borderId="1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164" fontId="22" fillId="0" borderId="19" xfId="0" applyNumberFormat="1" applyFont="1" applyBorder="1" applyAlignment="1">
      <alignment vertical="top"/>
    </xf>
    <xf numFmtId="49" fontId="8" fillId="0" borderId="1" xfId="2" applyNumberFormat="1" applyFont="1" applyBorder="1" applyAlignment="1">
      <alignment vertical="center" wrapText="1"/>
    </xf>
    <xf numFmtId="49" fontId="8" fillId="0" borderId="1" xfId="2" applyNumberFormat="1" applyFont="1" applyBorder="1" applyAlignment="1">
      <alignment vertical="center" wrapText="1"/>
    </xf>
    <xf numFmtId="9" fontId="22" fillId="0" borderId="0" xfId="5" applyFont="1" applyFill="1" applyBorder="1" applyAlignment="1">
      <alignment horizontal="justify" vertical="top" wrapText="1"/>
    </xf>
    <xf numFmtId="164" fontId="0" fillId="0" borderId="0" xfId="0" applyNumberFormat="1" applyAlignment="1">
      <alignment vertical="top"/>
    </xf>
    <xf numFmtId="164" fontId="34" fillId="0" borderId="0" xfId="0" applyNumberFormat="1" applyFont="1" applyAlignment="1">
      <alignment vertical="top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vertical="top" wrapText="1"/>
    </xf>
    <xf numFmtId="164" fontId="19" fillId="0" borderId="8" xfId="0" applyNumberFormat="1" applyFont="1" applyFill="1" applyBorder="1" applyAlignment="1">
      <alignment horizontal="center" vertical="top" wrapText="1"/>
    </xf>
    <xf numFmtId="164" fontId="19" fillId="0" borderId="9" xfId="0" applyNumberFormat="1" applyFont="1" applyFill="1" applyBorder="1" applyAlignment="1">
      <alignment horizontal="center" vertical="top" wrapText="1"/>
    </xf>
    <xf numFmtId="164" fontId="20" fillId="0" borderId="7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164" fontId="20" fillId="0" borderId="1" xfId="0" applyNumberFormat="1" applyFont="1" applyFill="1" applyBorder="1" applyAlignment="1">
      <alignment vertical="top" wrapText="1"/>
    </xf>
    <xf numFmtId="164" fontId="21" fillId="0" borderId="7" xfId="0" applyNumberFormat="1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164" fontId="22" fillId="0" borderId="7" xfId="0" applyNumberFormat="1" applyFont="1" applyFill="1" applyBorder="1" applyAlignment="1">
      <alignment vertical="top" wrapText="1"/>
    </xf>
    <xf numFmtId="164" fontId="21" fillId="0" borderId="1" xfId="0" applyNumberFormat="1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/>
    </xf>
    <xf numFmtId="49" fontId="21" fillId="0" borderId="0" xfId="0" applyNumberFormat="1" applyFont="1" applyFill="1" applyBorder="1" applyAlignment="1">
      <alignment vertical="top" wrapText="1"/>
    </xf>
    <xf numFmtId="164" fontId="25" fillId="0" borderId="7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164" fontId="22" fillId="0" borderId="19" xfId="0" applyNumberFormat="1" applyFont="1" applyFill="1" applyBorder="1" applyAlignment="1">
      <alignment vertical="top" wrapText="1"/>
    </xf>
    <xf numFmtId="164" fontId="22" fillId="0" borderId="22" xfId="0" applyNumberFormat="1" applyFont="1" applyFill="1" applyBorder="1" applyAlignment="1">
      <alignment vertical="top" wrapText="1"/>
    </xf>
    <xf numFmtId="164" fontId="22" fillId="0" borderId="19" xfId="0" applyNumberFormat="1" applyFont="1" applyFill="1" applyBorder="1" applyAlignment="1">
      <alignment vertical="top"/>
    </xf>
    <xf numFmtId="164" fontId="22" fillId="0" borderId="4" xfId="0" applyNumberFormat="1" applyFont="1" applyFill="1" applyBorder="1" applyAlignment="1">
      <alignment vertical="top" wrapText="1"/>
    </xf>
    <xf numFmtId="0" fontId="22" fillId="0" borderId="5" xfId="0" applyFont="1" applyFill="1" applyBorder="1" applyAlignment="1">
      <alignment vertical="top" wrapText="1"/>
    </xf>
    <xf numFmtId="164" fontId="22" fillId="0" borderId="21" xfId="0" applyNumberFormat="1" applyFont="1" applyFill="1" applyBorder="1" applyAlignment="1">
      <alignment vertical="top" wrapText="1"/>
    </xf>
    <xf numFmtId="164" fontId="22" fillId="0" borderId="5" xfId="0" applyNumberFormat="1" applyFont="1" applyFill="1" applyBorder="1" applyAlignment="1">
      <alignment vertical="top"/>
    </xf>
    <xf numFmtId="0" fontId="19" fillId="0" borderId="9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left" vertical="top" wrapText="1"/>
    </xf>
    <xf numFmtId="49" fontId="22" fillId="0" borderId="1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horizontal="center" vertical="top" wrapText="1"/>
    </xf>
    <xf numFmtId="49" fontId="22" fillId="0" borderId="1" xfId="2" applyNumberFormat="1" applyFont="1" applyFill="1" applyBorder="1" applyAlignment="1">
      <alignment vertical="center" wrapText="1"/>
    </xf>
    <xf numFmtId="49" fontId="22" fillId="0" borderId="6" xfId="0" applyNumberFormat="1" applyFont="1" applyFill="1" applyBorder="1" applyAlignment="1">
      <alignment horizontal="center" vertical="top" wrapText="1"/>
    </xf>
    <xf numFmtId="49" fontId="22" fillId="0" borderId="1" xfId="3" applyNumberFormat="1" applyFont="1" applyFill="1" applyBorder="1" applyAlignment="1">
      <alignment vertical="center" wrapText="1"/>
    </xf>
    <xf numFmtId="49" fontId="22" fillId="0" borderId="0" xfId="2" applyNumberFormat="1" applyFont="1" applyFill="1" applyAlignment="1">
      <alignment vertical="center" wrapText="1"/>
    </xf>
    <xf numFmtId="49" fontId="22" fillId="0" borderId="1" xfId="1" applyNumberFormat="1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vertical="top"/>
    </xf>
    <xf numFmtId="0" fontId="25" fillId="0" borderId="1" xfId="0" applyFont="1" applyFill="1" applyBorder="1" applyAlignment="1">
      <alignment vertical="top" wrapText="1"/>
    </xf>
    <xf numFmtId="44" fontId="19" fillId="0" borderId="8" xfId="11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164" fontId="24" fillId="0" borderId="7" xfId="0" applyNumberFormat="1" applyFont="1" applyFill="1" applyBorder="1" applyAlignment="1">
      <alignment vertical="top" wrapText="1"/>
    </xf>
    <xf numFmtId="4" fontId="0" fillId="0" borderId="0" xfId="0" applyNumberFormat="1"/>
    <xf numFmtId="0" fontId="33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164" fontId="31" fillId="0" borderId="7" xfId="0" applyNumberFormat="1" applyFont="1" applyFill="1" applyBorder="1" applyAlignment="1">
      <alignment vertical="top" wrapText="1"/>
    </xf>
    <xf numFmtId="0" fontId="36" fillId="0" borderId="0" xfId="0" applyFont="1" applyAlignment="1">
      <alignment vertical="top"/>
    </xf>
    <xf numFmtId="164" fontId="29" fillId="0" borderId="7" xfId="0" applyNumberFormat="1" applyFont="1" applyFill="1" applyBorder="1" applyAlignment="1">
      <alignment vertical="top" wrapText="1"/>
    </xf>
    <xf numFmtId="164" fontId="27" fillId="0" borderId="7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49" fontId="22" fillId="0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164" fontId="0" fillId="0" borderId="19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49" fontId="13" fillId="0" borderId="1" xfId="0" applyNumberFormat="1" applyFont="1" applyBorder="1" applyAlignment="1">
      <alignment horizontal="center" vertical="top"/>
    </xf>
    <xf numFmtId="166" fontId="22" fillId="4" borderId="1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38" fillId="0" borderId="0" xfId="0" applyFont="1"/>
    <xf numFmtId="0" fontId="16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right" vertical="center" wrapText="1"/>
    </xf>
    <xf numFmtId="0" fontId="39" fillId="0" borderId="0" xfId="0" applyFont="1" applyAlignment="1">
      <alignment vertical="top" wrapText="1"/>
    </xf>
    <xf numFmtId="0" fontId="38" fillId="0" borderId="0" xfId="0" applyFont="1" applyAlignment="1">
      <alignment horizontal="right" vertical="top" wrapText="1"/>
    </xf>
    <xf numFmtId="166" fontId="22" fillId="4" borderId="9" xfId="0" applyNumberFormat="1" applyFont="1" applyFill="1" applyBorder="1" applyAlignment="1">
      <alignment horizontal="center" vertical="top"/>
    </xf>
    <xf numFmtId="0" fontId="40" fillId="0" borderId="0" xfId="0" applyFont="1" applyFill="1" applyBorder="1" applyAlignment="1">
      <alignment vertical="top" wrapText="1"/>
    </xf>
    <xf numFmtId="164" fontId="40" fillId="0" borderId="0" xfId="0" applyNumberFormat="1" applyFont="1" applyFill="1" applyBorder="1" applyAlignment="1">
      <alignment vertical="top" wrapText="1"/>
    </xf>
    <xf numFmtId="0" fontId="39" fillId="0" borderId="0" xfId="0" applyFont="1"/>
    <xf numFmtId="0" fontId="40" fillId="0" borderId="1" xfId="0" applyFont="1" applyFill="1" applyBorder="1" applyAlignment="1">
      <alignment vertical="top" wrapText="1"/>
    </xf>
    <xf numFmtId="166" fontId="40" fillId="4" borderId="1" xfId="0" applyNumberFormat="1" applyFont="1" applyFill="1" applyBorder="1" applyAlignment="1">
      <alignment horizontal="center" vertical="top"/>
    </xf>
    <xf numFmtId="164" fontId="39" fillId="0" borderId="0" xfId="0" applyNumberFormat="1" applyFont="1" applyAlignment="1">
      <alignment vertical="top"/>
    </xf>
    <xf numFmtId="0" fontId="40" fillId="0" borderId="1" xfId="0" applyFont="1" applyFill="1" applyBorder="1" applyAlignment="1">
      <alignment horizontal="center" vertical="top" wrapText="1"/>
    </xf>
    <xf numFmtId="164" fontId="40" fillId="0" borderId="1" xfId="0" applyNumberFormat="1" applyFont="1" applyFill="1" applyBorder="1" applyAlignment="1">
      <alignment vertical="top" wrapText="1"/>
    </xf>
    <xf numFmtId="0" fontId="43" fillId="0" borderId="1" xfId="0" applyFont="1" applyFill="1" applyBorder="1" applyAlignment="1">
      <alignment vertical="top" wrapText="1"/>
    </xf>
    <xf numFmtId="0" fontId="43" fillId="0" borderId="1" xfId="0" applyFont="1" applyFill="1" applyBorder="1" applyAlignment="1">
      <alignment horizontal="center" vertical="top" wrapText="1"/>
    </xf>
    <xf numFmtId="164" fontId="43" fillId="0" borderId="1" xfId="0" applyNumberFormat="1" applyFont="1" applyFill="1" applyBorder="1" applyAlignment="1">
      <alignment vertical="top" wrapText="1"/>
    </xf>
    <xf numFmtId="164" fontId="40" fillId="0" borderId="1" xfId="0" applyNumberFormat="1" applyFont="1" applyFill="1" applyBorder="1" applyAlignment="1">
      <alignment vertical="top"/>
    </xf>
    <xf numFmtId="49" fontId="40" fillId="0" borderId="1" xfId="0" applyNumberFormat="1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left" vertical="top" wrapText="1"/>
    </xf>
    <xf numFmtId="164" fontId="40" fillId="0" borderId="1" xfId="0" applyNumberFormat="1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vertical="top" wrapText="1"/>
    </xf>
    <xf numFmtId="49" fontId="40" fillId="0" borderId="1" xfId="0" applyNumberFormat="1" applyFont="1" applyFill="1" applyBorder="1" applyAlignment="1">
      <alignment horizontal="center" vertical="top" wrapText="1"/>
    </xf>
    <xf numFmtId="49" fontId="43" fillId="0" borderId="1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top"/>
    </xf>
    <xf numFmtId="49" fontId="40" fillId="0" borderId="1" xfId="2" applyNumberFormat="1" applyFont="1" applyFill="1" applyBorder="1" applyAlignment="1">
      <alignment horizontal="left" vertical="top" wrapText="1"/>
    </xf>
    <xf numFmtId="0" fontId="47" fillId="0" borderId="0" xfId="0" applyFont="1"/>
    <xf numFmtId="164" fontId="39" fillId="0" borderId="24" xfId="0" applyNumberFormat="1" applyFont="1" applyBorder="1" applyAlignment="1">
      <alignment vertical="top"/>
    </xf>
    <xf numFmtId="0" fontId="39" fillId="0" borderId="24" xfId="0" applyFont="1" applyBorder="1"/>
    <xf numFmtId="49" fontId="38" fillId="0" borderId="0" xfId="0" applyNumberFormat="1" applyFont="1" applyBorder="1" applyAlignment="1">
      <alignment vertical="top"/>
    </xf>
    <xf numFmtId="0" fontId="40" fillId="0" borderId="0" xfId="0" applyFont="1" applyFill="1" applyBorder="1" applyAlignment="1">
      <alignment horizontal="center" vertical="top" wrapText="1"/>
    </xf>
    <xf numFmtId="166" fontId="40" fillId="4" borderId="0" xfId="0" applyNumberFormat="1" applyFont="1" applyFill="1" applyBorder="1" applyAlignment="1">
      <alignment horizontal="center" vertical="top"/>
    </xf>
    <xf numFmtId="164" fontId="39" fillId="0" borderId="0" xfId="0" applyNumberFormat="1" applyFont="1" applyBorder="1" applyAlignment="1">
      <alignment vertical="top"/>
    </xf>
    <xf numFmtId="0" fontId="39" fillId="0" borderId="0" xfId="0" applyFont="1" applyBorder="1"/>
    <xf numFmtId="164" fontId="40" fillId="0" borderId="0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4" fontId="40" fillId="0" borderId="1" xfId="0" applyNumberFormat="1" applyFont="1" applyFill="1" applyBorder="1" applyAlignment="1">
      <alignment horizontal="right" wrapText="1"/>
    </xf>
    <xf numFmtId="4" fontId="40" fillId="0" borderId="1" xfId="0" applyNumberFormat="1" applyFont="1" applyFill="1" applyBorder="1" applyAlignment="1">
      <alignment vertical="top" wrapText="1"/>
    </xf>
    <xf numFmtId="4" fontId="43" fillId="0" borderId="1" xfId="0" applyNumberFormat="1" applyFont="1" applyFill="1" applyBorder="1" applyAlignment="1">
      <alignment vertical="top" wrapText="1"/>
    </xf>
    <xf numFmtId="4" fontId="40" fillId="0" borderId="1" xfId="0" applyNumberFormat="1" applyFont="1" applyFill="1" applyBorder="1" applyAlignment="1">
      <alignment horizontal="right" vertical="center" wrapText="1"/>
    </xf>
    <xf numFmtId="4" fontId="39" fillId="0" borderId="1" xfId="0" applyNumberFormat="1" applyFont="1" applyFill="1" applyBorder="1" applyAlignment="1">
      <alignment vertical="top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top"/>
    </xf>
    <xf numFmtId="0" fontId="39" fillId="0" borderId="0" xfId="0" applyFont="1" applyAlignment="1">
      <alignment vertical="top"/>
    </xf>
    <xf numFmtId="0" fontId="39" fillId="0" borderId="0" xfId="0" applyFont="1" applyBorder="1" applyAlignment="1">
      <alignment vertical="top" wrapText="1"/>
    </xf>
    <xf numFmtId="49" fontId="38" fillId="0" borderId="1" xfId="0" applyNumberFormat="1" applyFont="1" applyBorder="1" applyAlignment="1">
      <alignment horizontal="center" vertical="top"/>
    </xf>
    <xf numFmtId="49" fontId="38" fillId="0" borderId="1" xfId="0" applyNumberFormat="1" applyFont="1" applyBorder="1" applyAlignment="1">
      <alignment vertical="top"/>
    </xf>
    <xf numFmtId="4" fontId="40" fillId="0" borderId="1" xfId="0" applyNumberFormat="1" applyFont="1" applyFill="1" applyBorder="1" applyAlignment="1">
      <alignment horizontal="right" vertical="top" wrapText="1"/>
    </xf>
    <xf numFmtId="4" fontId="37" fillId="0" borderId="1" xfId="0" applyNumberFormat="1" applyFont="1" applyBorder="1" applyAlignment="1">
      <alignment horizontal="right" vertical="top" wrapText="1"/>
    </xf>
    <xf numFmtId="164" fontId="45" fillId="0" borderId="1" xfId="0" applyNumberFormat="1" applyFont="1" applyFill="1" applyBorder="1" applyAlignment="1">
      <alignment vertical="top" wrapText="1"/>
    </xf>
    <xf numFmtId="164" fontId="46" fillId="0" borderId="1" xfId="0" applyNumberFormat="1" applyFont="1" applyFill="1" applyBorder="1" applyAlignment="1">
      <alignment vertical="top" wrapText="1"/>
    </xf>
    <xf numFmtId="9" fontId="40" fillId="0" borderId="1" xfId="5" applyFont="1" applyFill="1" applyBorder="1" applyAlignment="1">
      <alignment horizontal="justify" vertical="top" wrapText="1"/>
    </xf>
    <xf numFmtId="164" fontId="39" fillId="0" borderId="1" xfId="0" applyNumberFormat="1" applyFont="1" applyFill="1" applyBorder="1" applyAlignment="1">
      <alignment vertical="top" wrapText="1"/>
    </xf>
    <xf numFmtId="49" fontId="40" fillId="0" borderId="1" xfId="5" applyNumberFormat="1" applyFont="1" applyFill="1" applyBorder="1" applyAlignment="1">
      <alignment horizontal="justify" vertical="top" wrapText="1"/>
    </xf>
    <xf numFmtId="164" fontId="48" fillId="0" borderId="1" xfId="0" applyNumberFormat="1" applyFont="1" applyFill="1" applyBorder="1" applyAlignment="1">
      <alignment vertical="top" wrapText="1"/>
    </xf>
    <xf numFmtId="164" fontId="38" fillId="0" borderId="1" xfId="0" applyNumberFormat="1" applyFont="1" applyBorder="1" applyAlignment="1">
      <alignment vertical="top"/>
    </xf>
    <xf numFmtId="49" fontId="40" fillId="0" borderId="1" xfId="2" applyNumberFormat="1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39" fillId="0" borderId="0" xfId="0" applyFont="1" applyBorder="1" applyAlignment="1"/>
    <xf numFmtId="0" fontId="0" fillId="0" borderId="0" xfId="0" applyAlignment="1"/>
    <xf numFmtId="49" fontId="40" fillId="0" borderId="1" xfId="3" applyNumberFormat="1" applyFont="1" applyFill="1" applyBorder="1" applyAlignment="1">
      <alignment vertical="top" wrapText="1"/>
    </xf>
    <xf numFmtId="49" fontId="40" fillId="0" borderId="1" xfId="1" applyNumberFormat="1" applyFont="1" applyFill="1" applyBorder="1" applyAlignment="1">
      <alignment vertical="top" wrapText="1"/>
    </xf>
    <xf numFmtId="0" fontId="39" fillId="0" borderId="1" xfId="0" applyFont="1" applyFill="1" applyBorder="1" applyAlignment="1">
      <alignment vertical="top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0" fillId="0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4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8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wrapText="1"/>
    </xf>
    <xf numFmtId="49" fontId="38" fillId="0" borderId="1" xfId="0" applyNumberFormat="1" applyFont="1" applyBorder="1" applyAlignment="1">
      <alignment horizontal="center" vertical="top" wrapText="1"/>
    </xf>
    <xf numFmtId="0" fontId="37" fillId="2" borderId="23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1" fillId="0" borderId="0" xfId="0" applyFont="1" applyAlignment="1">
      <alignment horizontal="left" vertical="top" wrapText="1"/>
    </xf>
    <xf numFmtId="164" fontId="40" fillId="0" borderId="0" xfId="0" applyNumberFormat="1" applyFont="1" applyFill="1" applyBorder="1" applyAlignment="1">
      <alignment horizontal="right" vertical="top" wrapText="1"/>
    </xf>
    <xf numFmtId="49" fontId="38" fillId="0" borderId="23" xfId="0" applyNumberFormat="1" applyFont="1" applyBorder="1" applyAlignment="1">
      <alignment horizontal="center" vertical="top"/>
    </xf>
    <xf numFmtId="49" fontId="38" fillId="0" borderId="25" xfId="0" applyNumberFormat="1" applyFont="1" applyBorder="1" applyAlignment="1">
      <alignment horizontal="center" vertical="top"/>
    </xf>
    <xf numFmtId="49" fontId="38" fillId="0" borderId="9" xfId="0" applyNumberFormat="1" applyFont="1" applyBorder="1" applyAlignment="1">
      <alignment horizontal="center" vertical="top"/>
    </xf>
    <xf numFmtId="0" fontId="4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49" fontId="9" fillId="0" borderId="15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0" fontId="12" fillId="2" borderId="1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</cellXfs>
  <cellStyles count="12">
    <cellStyle name="Денежный" xfId="11" builtinId="4"/>
    <cellStyle name="Денежный 2" xfId="4"/>
    <cellStyle name="Обычный" xfId="0" builtinId="0"/>
    <cellStyle name="Обычный 2" xfId="3"/>
    <cellStyle name="Обычный 3" xfId="2"/>
    <cellStyle name="Обычный 3 2" xfId="9"/>
    <cellStyle name="Обычный 3 3" xfId="8"/>
    <cellStyle name="Обычный 4" xfId="7"/>
    <cellStyle name="Обычный 5" xfId="6"/>
    <cellStyle name="Обычный 6" xfId="1"/>
    <cellStyle name="Обычный 7" xfId="10"/>
    <cellStyle name="Процентный 2" xf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590"/>
  <sheetViews>
    <sheetView tabSelected="1" view="pageBreakPreview" zoomScale="90" zoomScaleNormal="120" zoomScaleSheetLayoutView="90" workbookViewId="0">
      <selection activeCell="P1" sqref="P1:Q8"/>
    </sheetView>
  </sheetViews>
  <sheetFormatPr defaultRowHeight="12.75" x14ac:dyDescent="0.2"/>
  <cols>
    <col min="1" max="1" width="6.85546875" customWidth="1"/>
    <col min="2" max="2" width="37.5703125" style="257" customWidth="1"/>
    <col min="3" max="3" width="6" customWidth="1"/>
    <col min="4" max="4" width="7.7109375" customWidth="1"/>
    <col min="5" max="5" width="16.85546875" customWidth="1"/>
    <col min="6" max="6" width="6.5703125" customWidth="1"/>
    <col min="7" max="7" width="17.5703125" hidden="1" customWidth="1"/>
    <col min="8" max="8" width="1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20.42578125" hidden="1" customWidth="1"/>
    <col min="13" max="13" width="22.28515625" hidden="1" customWidth="1"/>
    <col min="14" max="14" width="20" hidden="1" customWidth="1"/>
    <col min="15" max="15" width="17.140625" customWidth="1"/>
    <col min="16" max="16" width="17" customWidth="1"/>
    <col min="17" max="17" width="15.85546875" customWidth="1"/>
    <col min="18" max="18" width="18.28515625" customWidth="1"/>
    <col min="19" max="19" width="11.7109375" customWidth="1"/>
    <col min="20" max="20" width="10" customWidth="1"/>
    <col min="21" max="23" width="9.140625" customWidth="1"/>
  </cols>
  <sheetData>
    <row r="1" spans="1:22" ht="23.25" customHeight="1" x14ac:dyDescent="0.25">
      <c r="B1" s="247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  <c r="P1" s="282" t="s">
        <v>625</v>
      </c>
      <c r="Q1" s="282"/>
    </row>
    <row r="2" spans="1:22" ht="15" customHeight="1" x14ac:dyDescent="0.25">
      <c r="B2" s="247"/>
      <c r="C2" s="5"/>
      <c r="D2" s="5"/>
      <c r="E2" s="5"/>
      <c r="F2" s="5"/>
      <c r="G2" s="5"/>
      <c r="H2" s="5"/>
      <c r="I2" s="5"/>
      <c r="J2" s="181" t="s">
        <v>601</v>
      </c>
      <c r="K2" s="181"/>
      <c r="L2" s="181"/>
      <c r="M2" s="181"/>
      <c r="N2" s="181"/>
      <c r="O2" s="181"/>
      <c r="P2" s="282"/>
      <c r="Q2" s="282"/>
    </row>
    <row r="3" spans="1:22" ht="15" customHeight="1" x14ac:dyDescent="0.25">
      <c r="B3" s="248"/>
      <c r="C3" s="1"/>
      <c r="D3" s="1"/>
      <c r="E3" s="1"/>
      <c r="F3" s="1"/>
      <c r="G3" s="1"/>
      <c r="H3" s="1"/>
      <c r="I3" s="1"/>
      <c r="J3" s="279"/>
      <c r="K3" s="279"/>
      <c r="L3" s="279"/>
      <c r="M3" s="279"/>
      <c r="N3" s="279"/>
      <c r="O3" s="279"/>
      <c r="P3" s="282"/>
      <c r="Q3" s="282"/>
    </row>
    <row r="4" spans="1:22" ht="15" customHeight="1" x14ac:dyDescent="0.25">
      <c r="B4" s="248"/>
      <c r="C4" s="1"/>
      <c r="D4" s="1"/>
      <c r="E4" s="1"/>
      <c r="F4" s="1"/>
      <c r="G4" s="1"/>
      <c r="H4" s="1"/>
      <c r="I4" s="1"/>
      <c r="J4" s="279"/>
      <c r="K4" s="279"/>
      <c r="L4" s="279"/>
      <c r="M4" s="279"/>
      <c r="N4" s="279"/>
      <c r="O4" s="279"/>
      <c r="P4" s="282"/>
      <c r="Q4" s="282"/>
    </row>
    <row r="5" spans="1:22" ht="15" customHeight="1" x14ac:dyDescent="0.25">
      <c r="B5" s="248"/>
      <c r="C5" s="1"/>
      <c r="D5" s="1"/>
      <c r="E5" s="1"/>
      <c r="F5" s="1"/>
      <c r="G5" s="1"/>
      <c r="H5" s="1"/>
      <c r="I5" s="1"/>
      <c r="J5" s="279"/>
      <c r="K5" s="279"/>
      <c r="L5" s="279"/>
      <c r="M5" s="279"/>
      <c r="N5" s="279"/>
      <c r="O5" s="279"/>
      <c r="P5" s="282"/>
      <c r="Q5" s="282"/>
    </row>
    <row r="6" spans="1:22" ht="15" customHeight="1" x14ac:dyDescent="0.25">
      <c r="B6" s="248"/>
      <c r="C6" s="1"/>
      <c r="D6" s="1"/>
      <c r="E6" s="1"/>
      <c r="F6" s="1"/>
      <c r="G6" s="1"/>
      <c r="H6" s="1"/>
      <c r="I6" s="1"/>
      <c r="J6" s="279"/>
      <c r="K6" s="279"/>
      <c r="L6" s="279"/>
      <c r="M6" s="279"/>
      <c r="N6" s="279"/>
      <c r="O6" s="279"/>
      <c r="P6" s="282"/>
      <c r="Q6" s="282"/>
    </row>
    <row r="7" spans="1:22" ht="15" customHeight="1" x14ac:dyDescent="0.3">
      <c r="B7" s="249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  <c r="P7" s="282"/>
      <c r="Q7" s="282"/>
      <c r="T7" s="189"/>
    </row>
    <row r="8" spans="1:22" ht="93.75" customHeight="1" x14ac:dyDescent="0.25">
      <c r="B8" s="249"/>
      <c r="C8" s="6"/>
      <c r="D8" s="6"/>
      <c r="E8" s="6"/>
      <c r="F8" s="6"/>
      <c r="G8" s="6"/>
      <c r="H8" s="6"/>
      <c r="I8" s="6"/>
      <c r="J8" s="187"/>
      <c r="K8" s="187"/>
      <c r="L8" s="187"/>
      <c r="M8" s="187"/>
      <c r="N8" s="187"/>
      <c r="O8" s="187"/>
      <c r="P8" s="282"/>
      <c r="Q8" s="282"/>
      <c r="R8" s="197"/>
      <c r="V8" s="197"/>
    </row>
    <row r="9" spans="1:22" ht="15" customHeight="1" x14ac:dyDescent="0.3">
      <c r="A9" s="189"/>
      <c r="B9" s="250"/>
      <c r="C9" s="190"/>
      <c r="D9" s="190"/>
      <c r="E9" s="190"/>
      <c r="F9" s="190"/>
      <c r="G9" s="191"/>
      <c r="H9" s="191"/>
      <c r="I9" s="191"/>
      <c r="J9" s="189"/>
      <c r="K9" s="189"/>
      <c r="L9" s="189"/>
      <c r="M9" s="189"/>
      <c r="N9" s="189"/>
      <c r="O9" s="189"/>
      <c r="P9" s="192"/>
      <c r="Q9" s="192"/>
    </row>
    <row r="10" spans="1:22" ht="19.5" customHeight="1" x14ac:dyDescent="0.3">
      <c r="A10" s="189"/>
      <c r="B10" s="250"/>
      <c r="C10" s="190"/>
      <c r="D10" s="190"/>
      <c r="E10" s="190"/>
      <c r="F10" s="190"/>
      <c r="G10" s="191"/>
      <c r="H10" s="191"/>
      <c r="I10" s="191"/>
      <c r="J10" s="189"/>
      <c r="K10" s="189"/>
      <c r="L10" s="189"/>
      <c r="M10" s="189"/>
      <c r="N10" s="189"/>
      <c r="O10" s="189"/>
      <c r="P10" s="280"/>
      <c r="Q10" s="281"/>
    </row>
    <row r="11" spans="1:22" ht="26.25" customHeight="1" x14ac:dyDescent="0.3">
      <c r="A11" s="189"/>
      <c r="B11" s="263" t="s">
        <v>617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192"/>
      <c r="Q11" s="192"/>
    </row>
    <row r="12" spans="1:22" ht="26.25" customHeight="1" x14ac:dyDescent="0.2">
      <c r="A12" s="269" t="s">
        <v>618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70"/>
      <c r="Q12" s="266"/>
    </row>
    <row r="13" spans="1:22" ht="24.75" customHeight="1" x14ac:dyDescent="0.3">
      <c r="A13" s="265" t="s">
        <v>614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6"/>
      <c r="Q13" s="192"/>
      <c r="S13" s="197"/>
    </row>
    <row r="14" spans="1:22" ht="0.75" hidden="1" customHeight="1" x14ac:dyDescent="0.3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192"/>
      <c r="Q14" s="192"/>
    </row>
    <row r="15" spans="1:22" ht="15.6" hidden="1" customHeight="1" x14ac:dyDescent="0.2">
      <c r="B15" s="249"/>
      <c r="C15" s="6"/>
      <c r="D15" s="6"/>
      <c r="E15" s="6"/>
      <c r="F15" s="6"/>
      <c r="G15" s="3"/>
      <c r="H15" s="3"/>
      <c r="I15" s="3"/>
      <c r="P15" s="192"/>
      <c r="Q15" s="192"/>
    </row>
    <row r="16" spans="1:22" ht="18.600000000000001" customHeight="1" x14ac:dyDescent="0.3">
      <c r="B16" s="249"/>
      <c r="C16" s="6"/>
      <c r="D16" s="7"/>
      <c r="E16" s="7"/>
      <c r="F16" s="7"/>
      <c r="G16" s="3"/>
      <c r="H16" s="3"/>
      <c r="I16" s="3"/>
      <c r="P16" s="192"/>
      <c r="Q16" s="193" t="s">
        <v>615</v>
      </c>
      <c r="R16" s="189"/>
    </row>
    <row r="17" spans="1:19" ht="15" hidden="1" customHeight="1" x14ac:dyDescent="0.2">
      <c r="B17" s="251" t="s">
        <v>9</v>
      </c>
      <c r="C17" s="278"/>
      <c r="D17" s="278"/>
      <c r="E17" s="278"/>
      <c r="F17" s="278"/>
      <c r="G17" s="3"/>
      <c r="H17" s="3"/>
      <c r="I17" s="3"/>
      <c r="P17" s="192"/>
      <c r="Q17" s="192"/>
    </row>
    <row r="18" spans="1:19" ht="6.6" hidden="1" customHeight="1" x14ac:dyDescent="0.2">
      <c r="B18" s="261" t="s">
        <v>10</v>
      </c>
      <c r="C18" s="261"/>
      <c r="D18" s="261"/>
      <c r="E18" s="261"/>
      <c r="F18" s="261"/>
      <c r="G18" s="3"/>
      <c r="H18" s="3"/>
      <c r="I18" s="3"/>
      <c r="P18" s="192"/>
      <c r="Q18" s="192"/>
    </row>
    <row r="19" spans="1:19" ht="7.15" hidden="1" customHeight="1" thickBot="1" x14ac:dyDescent="0.25">
      <c r="B19" s="261" t="s">
        <v>11</v>
      </c>
      <c r="C19" s="261"/>
      <c r="D19" s="261"/>
      <c r="E19" s="261"/>
      <c r="F19" s="261"/>
      <c r="G19" s="261"/>
      <c r="H19" s="182"/>
      <c r="I19" s="182"/>
      <c r="P19" s="192"/>
      <c r="Q19" s="192"/>
    </row>
    <row r="20" spans="1:19" ht="13.9" hidden="1" customHeight="1" thickBot="1" x14ac:dyDescent="0.25">
      <c r="B20" s="262" t="s">
        <v>11</v>
      </c>
      <c r="C20" s="262"/>
      <c r="D20" s="262"/>
      <c r="E20" s="262"/>
      <c r="F20" s="262"/>
      <c r="G20" s="262"/>
      <c r="H20" s="183"/>
      <c r="I20" s="183"/>
      <c r="P20" s="234"/>
      <c r="Q20" s="234"/>
    </row>
    <row r="21" spans="1:19" ht="38.25" customHeight="1" x14ac:dyDescent="0.2">
      <c r="A21" s="273" t="s">
        <v>623</v>
      </c>
      <c r="B21" s="274" t="s">
        <v>13</v>
      </c>
      <c r="C21" s="276" t="s">
        <v>14</v>
      </c>
      <c r="D21" s="276"/>
      <c r="E21" s="276"/>
      <c r="F21" s="276"/>
      <c r="G21" s="276" t="s">
        <v>619</v>
      </c>
      <c r="H21" s="268"/>
      <c r="I21" s="268"/>
      <c r="J21" s="268"/>
      <c r="K21" s="268"/>
      <c r="L21" s="268"/>
      <c r="M21" s="268"/>
      <c r="N21" s="268"/>
      <c r="O21" s="268"/>
      <c r="P21" s="267" t="s">
        <v>611</v>
      </c>
      <c r="Q21" s="271" t="s">
        <v>613</v>
      </c>
    </row>
    <row r="22" spans="1:19" ht="27" customHeight="1" x14ac:dyDescent="0.2">
      <c r="A22" s="273"/>
      <c r="B22" s="275"/>
      <c r="C22" s="230" t="s">
        <v>16</v>
      </c>
      <c r="D22" s="230" t="s">
        <v>17</v>
      </c>
      <c r="E22" s="230" t="s">
        <v>18</v>
      </c>
      <c r="F22" s="230" t="s">
        <v>19</v>
      </c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72"/>
      <c r="R22" s="164"/>
    </row>
    <row r="23" spans="1:19" ht="1.5" hidden="1" customHeight="1" x14ac:dyDescent="0.3">
      <c r="A23" s="185" t="s">
        <v>24</v>
      </c>
      <c r="B23" s="252">
        <v>2</v>
      </c>
      <c r="C23" s="288">
        <v>3</v>
      </c>
      <c r="D23" s="288"/>
      <c r="E23" s="288"/>
      <c r="F23" s="288"/>
      <c r="G23" s="288">
        <v>4</v>
      </c>
      <c r="H23" s="288"/>
      <c r="I23" s="288"/>
      <c r="J23" s="288"/>
      <c r="K23" s="288"/>
      <c r="L23" s="288"/>
      <c r="M23" s="288"/>
      <c r="N23" s="288"/>
      <c r="O23" s="288"/>
      <c r="P23" s="224"/>
      <c r="Q23" s="188"/>
    </row>
    <row r="24" spans="1:19" s="233" customFormat="1" ht="21.75" customHeight="1" x14ac:dyDescent="0.3">
      <c r="A24" s="235" t="s">
        <v>24</v>
      </c>
      <c r="B24" s="231">
        <v>2</v>
      </c>
      <c r="C24" s="230">
        <v>3</v>
      </c>
      <c r="D24" s="230">
        <v>4</v>
      </c>
      <c r="E24" s="230">
        <v>5</v>
      </c>
      <c r="F24" s="230">
        <v>6</v>
      </c>
      <c r="G24" s="230"/>
      <c r="H24" s="230"/>
      <c r="I24" s="230"/>
      <c r="J24" s="230"/>
      <c r="K24" s="230"/>
      <c r="L24" s="230"/>
      <c r="M24" s="230"/>
      <c r="N24" s="230"/>
      <c r="O24" s="230">
        <v>7</v>
      </c>
      <c r="P24" s="230">
        <v>8</v>
      </c>
      <c r="Q24" s="232">
        <v>9</v>
      </c>
    </row>
    <row r="25" spans="1:19" s="197" customFormat="1" ht="20.45" customHeight="1" x14ac:dyDescent="0.3">
      <c r="A25" s="236"/>
      <c r="B25" s="253" t="s">
        <v>25</v>
      </c>
      <c r="C25" s="201"/>
      <c r="D25" s="201"/>
      <c r="E25" s="201"/>
      <c r="F25" s="201"/>
      <c r="G25" s="209">
        <f>G26+G38+G479+G546</f>
        <v>745791.40000000026</v>
      </c>
      <c r="H25" s="209">
        <f>H26+H38+H479+H546</f>
        <v>842.19999999999891</v>
      </c>
      <c r="I25" s="209">
        <f>I26+I38+I479+I546</f>
        <v>746633.60000000009</v>
      </c>
      <c r="J25" s="209">
        <f>J26+J38+J479+J546</f>
        <v>2017779.5999999999</v>
      </c>
      <c r="K25" s="202">
        <f>SUM(K38+K26+K479+K546)</f>
        <v>19716.300000000003</v>
      </c>
      <c r="L25" s="209">
        <f>L26+L38+L479+L546</f>
        <v>2044241.4999999998</v>
      </c>
      <c r="M25" s="209">
        <f>M26+M38+M479+M546</f>
        <v>2763282.8</v>
      </c>
      <c r="N25" s="209">
        <f>N26+N38+N479+N546+N33</f>
        <v>20558.5</v>
      </c>
      <c r="O25" s="225">
        <f>O26+O38+O479+O546</f>
        <v>2795477.9</v>
      </c>
      <c r="P25" s="237">
        <f>P26+P38+P479+P546</f>
        <v>1098008.6000000001</v>
      </c>
      <c r="Q25" s="199">
        <f>SUM(P25/O25*100)</f>
        <v>39.278028275594671</v>
      </c>
      <c r="R25" s="200"/>
      <c r="S25" s="200"/>
    </row>
    <row r="26" spans="1:19" s="197" customFormat="1" ht="38.25" customHeight="1" x14ac:dyDescent="0.25">
      <c r="A26" s="284" t="s">
        <v>26</v>
      </c>
      <c r="B26" s="198" t="s">
        <v>27</v>
      </c>
      <c r="C26" s="198" t="s">
        <v>28</v>
      </c>
      <c r="D26" s="201" t="s">
        <v>11</v>
      </c>
      <c r="E26" s="201" t="s">
        <v>11</v>
      </c>
      <c r="F26" s="201" t="s">
        <v>11</v>
      </c>
      <c r="G26" s="202">
        <f>G27</f>
        <v>1601.8999999999999</v>
      </c>
      <c r="H26" s="202">
        <f>H27+H33</f>
        <v>0</v>
      </c>
      <c r="I26" s="202">
        <f>I27</f>
        <v>1601.8999999999999</v>
      </c>
      <c r="J26" s="202">
        <f>J27</f>
        <v>0</v>
      </c>
      <c r="K26" s="202">
        <f>K27+K32</f>
        <v>0</v>
      </c>
      <c r="L26" s="202">
        <f>L27</f>
        <v>0</v>
      </c>
      <c r="M26" s="202">
        <f>M27</f>
        <v>1601.8999999999999</v>
      </c>
      <c r="N26" s="202">
        <f>N27</f>
        <v>0</v>
      </c>
      <c r="O26" s="226">
        <f>O27</f>
        <v>1601.8999999999999</v>
      </c>
      <c r="P26" s="226">
        <f>P27</f>
        <v>1601.8999999999999</v>
      </c>
      <c r="Q26" s="199">
        <f>SUM(O26/P26*100)</f>
        <v>100</v>
      </c>
      <c r="R26" s="200"/>
      <c r="S26" s="200"/>
    </row>
    <row r="27" spans="1:19" s="197" customFormat="1" ht="37.5" x14ac:dyDescent="0.25">
      <c r="A27" s="285"/>
      <c r="B27" s="198" t="s">
        <v>30</v>
      </c>
      <c r="C27" s="198" t="s">
        <v>28</v>
      </c>
      <c r="D27" s="201" t="s">
        <v>31</v>
      </c>
      <c r="E27" s="201" t="s">
        <v>11</v>
      </c>
      <c r="F27" s="201" t="s">
        <v>11</v>
      </c>
      <c r="G27" s="202">
        <f>G28+G33</f>
        <v>1601.8999999999999</v>
      </c>
      <c r="H27" s="205">
        <f>H28</f>
        <v>0</v>
      </c>
      <c r="I27" s="202">
        <f>I28+I33</f>
        <v>1601.8999999999999</v>
      </c>
      <c r="J27" s="202">
        <f>J28+J33</f>
        <v>0</v>
      </c>
      <c r="K27" s="205">
        <f>K28</f>
        <v>0</v>
      </c>
      <c r="L27" s="202">
        <f>L28+L33</f>
        <v>0</v>
      </c>
      <c r="M27" s="202">
        <f>M28+M33</f>
        <v>1601.8999999999999</v>
      </c>
      <c r="N27" s="202">
        <f>N28+N33</f>
        <v>0</v>
      </c>
      <c r="O27" s="226">
        <f>O28+O33</f>
        <v>1601.8999999999999</v>
      </c>
      <c r="P27" s="226">
        <f>P28+P33</f>
        <v>1601.8999999999999</v>
      </c>
      <c r="Q27" s="199">
        <f t="shared" ref="Q27:Q34" si="0">SUM(O27/P27*100)</f>
        <v>100</v>
      </c>
      <c r="R27" s="200"/>
      <c r="S27" s="200"/>
    </row>
    <row r="28" spans="1:19" s="197" customFormat="1" ht="114" customHeight="1" x14ac:dyDescent="0.25">
      <c r="A28" s="285"/>
      <c r="B28" s="198" t="s">
        <v>33</v>
      </c>
      <c r="C28" s="198" t="s">
        <v>28</v>
      </c>
      <c r="D28" s="201" t="s">
        <v>34</v>
      </c>
      <c r="E28" s="204" t="s">
        <v>11</v>
      </c>
      <c r="F28" s="204" t="s">
        <v>11</v>
      </c>
      <c r="G28" s="205">
        <f>G29</f>
        <v>8.1</v>
      </c>
      <c r="H28" s="202">
        <f>H29</f>
        <v>0</v>
      </c>
      <c r="I28" s="205">
        <f>I29</f>
        <v>8.1</v>
      </c>
      <c r="J28" s="205">
        <f t="shared" ref="J28:P31" si="1">J29</f>
        <v>0</v>
      </c>
      <c r="K28" s="202">
        <f>K29</f>
        <v>0</v>
      </c>
      <c r="L28" s="205">
        <f t="shared" si="1"/>
        <v>0</v>
      </c>
      <c r="M28" s="205">
        <f t="shared" si="1"/>
        <v>8.1</v>
      </c>
      <c r="N28" s="205">
        <f t="shared" si="1"/>
        <v>0</v>
      </c>
      <c r="O28" s="226">
        <f t="shared" si="1"/>
        <v>8.1</v>
      </c>
      <c r="P28" s="226">
        <f t="shared" si="1"/>
        <v>8.1</v>
      </c>
      <c r="Q28" s="199">
        <f t="shared" si="0"/>
        <v>100</v>
      </c>
      <c r="R28" s="200"/>
      <c r="S28" s="200"/>
    </row>
    <row r="29" spans="1:19" s="197" customFormat="1" ht="57" customHeight="1" x14ac:dyDescent="0.25">
      <c r="A29" s="285"/>
      <c r="B29" s="198" t="s">
        <v>35</v>
      </c>
      <c r="C29" s="198" t="s">
        <v>28</v>
      </c>
      <c r="D29" s="201" t="s">
        <v>34</v>
      </c>
      <c r="E29" s="201" t="s">
        <v>36</v>
      </c>
      <c r="F29" s="201" t="s">
        <v>11</v>
      </c>
      <c r="G29" s="202">
        <f>G30</f>
        <v>8.1</v>
      </c>
      <c r="H29" s="202">
        <f>H30</f>
        <v>0</v>
      </c>
      <c r="I29" s="202">
        <f>I30</f>
        <v>8.1</v>
      </c>
      <c r="J29" s="202">
        <f t="shared" si="1"/>
        <v>0</v>
      </c>
      <c r="K29" s="202">
        <f>K30</f>
        <v>0</v>
      </c>
      <c r="L29" s="202">
        <f t="shared" si="1"/>
        <v>0</v>
      </c>
      <c r="M29" s="202">
        <f t="shared" si="1"/>
        <v>8.1</v>
      </c>
      <c r="N29" s="202">
        <f t="shared" si="1"/>
        <v>0</v>
      </c>
      <c r="O29" s="226">
        <f t="shared" si="1"/>
        <v>8.1</v>
      </c>
      <c r="P29" s="226">
        <f t="shared" si="1"/>
        <v>8.1</v>
      </c>
      <c r="Q29" s="199">
        <f t="shared" si="0"/>
        <v>100</v>
      </c>
      <c r="R29" s="200"/>
      <c r="S29" s="200"/>
    </row>
    <row r="30" spans="1:19" s="197" customFormat="1" ht="42.75" customHeight="1" x14ac:dyDescent="0.25">
      <c r="A30" s="285"/>
      <c r="B30" s="198" t="s">
        <v>27</v>
      </c>
      <c r="C30" s="198" t="s">
        <v>28</v>
      </c>
      <c r="D30" s="201" t="s">
        <v>34</v>
      </c>
      <c r="E30" s="201" t="s">
        <v>37</v>
      </c>
      <c r="F30" s="201" t="s">
        <v>11</v>
      </c>
      <c r="G30" s="202">
        <f>G31</f>
        <v>8.1</v>
      </c>
      <c r="H30" s="202">
        <f>H31</f>
        <v>0</v>
      </c>
      <c r="I30" s="202">
        <f>I31</f>
        <v>8.1</v>
      </c>
      <c r="J30" s="202">
        <f t="shared" si="1"/>
        <v>0</v>
      </c>
      <c r="K30" s="202">
        <f>K31</f>
        <v>0</v>
      </c>
      <c r="L30" s="202">
        <f t="shared" si="1"/>
        <v>0</v>
      </c>
      <c r="M30" s="202">
        <f t="shared" si="1"/>
        <v>8.1</v>
      </c>
      <c r="N30" s="202">
        <f t="shared" si="1"/>
        <v>0</v>
      </c>
      <c r="O30" s="226">
        <f t="shared" si="1"/>
        <v>8.1</v>
      </c>
      <c r="P30" s="226">
        <f t="shared" si="1"/>
        <v>8.1</v>
      </c>
      <c r="Q30" s="199">
        <f t="shared" si="0"/>
        <v>100</v>
      </c>
      <c r="R30" s="200"/>
      <c r="S30" s="200"/>
    </row>
    <row r="31" spans="1:19" s="197" customFormat="1" ht="56.25" x14ac:dyDescent="0.25">
      <c r="A31" s="285"/>
      <c r="B31" s="198" t="s">
        <v>38</v>
      </c>
      <c r="C31" s="198" t="s">
        <v>28</v>
      </c>
      <c r="D31" s="201" t="s">
        <v>34</v>
      </c>
      <c r="E31" s="201" t="s">
        <v>39</v>
      </c>
      <c r="F31" s="201" t="s">
        <v>11</v>
      </c>
      <c r="G31" s="202">
        <f>G32</f>
        <v>8.1</v>
      </c>
      <c r="H31" s="202"/>
      <c r="I31" s="202">
        <f>I32</f>
        <v>8.1</v>
      </c>
      <c r="J31" s="202">
        <f t="shared" si="1"/>
        <v>0</v>
      </c>
      <c r="K31" s="202"/>
      <c r="L31" s="202">
        <f t="shared" si="1"/>
        <v>0</v>
      </c>
      <c r="M31" s="202">
        <f t="shared" si="1"/>
        <v>8.1</v>
      </c>
      <c r="N31" s="202">
        <f t="shared" si="1"/>
        <v>0</v>
      </c>
      <c r="O31" s="226">
        <f t="shared" si="1"/>
        <v>8.1</v>
      </c>
      <c r="P31" s="226">
        <f t="shared" si="1"/>
        <v>8.1</v>
      </c>
      <c r="Q31" s="199">
        <f t="shared" si="0"/>
        <v>100</v>
      </c>
      <c r="R31" s="200"/>
      <c r="S31" s="200"/>
    </row>
    <row r="32" spans="1:19" s="197" customFormat="1" ht="75" x14ac:dyDescent="0.25">
      <c r="A32" s="285"/>
      <c r="B32" s="198" t="s">
        <v>40</v>
      </c>
      <c r="C32" s="198" t="s">
        <v>28</v>
      </c>
      <c r="D32" s="201" t="s">
        <v>34</v>
      </c>
      <c r="E32" s="201" t="s">
        <v>39</v>
      </c>
      <c r="F32" s="201" t="s">
        <v>41</v>
      </c>
      <c r="G32" s="202">
        <f>8+0.1</f>
        <v>8.1</v>
      </c>
      <c r="H32" s="205"/>
      <c r="I32" s="202">
        <f>8+0.1</f>
        <v>8.1</v>
      </c>
      <c r="J32" s="206">
        <v>0</v>
      </c>
      <c r="K32" s="205"/>
      <c r="L32" s="206">
        <v>0</v>
      </c>
      <c r="M32" s="202">
        <f>8+0.1</f>
        <v>8.1</v>
      </c>
      <c r="N32" s="202"/>
      <c r="O32" s="226">
        <f>8+0.1</f>
        <v>8.1</v>
      </c>
      <c r="P32" s="226">
        <v>8.1</v>
      </c>
      <c r="Q32" s="199">
        <f t="shared" si="0"/>
        <v>100</v>
      </c>
      <c r="R32" s="200"/>
      <c r="S32" s="200"/>
    </row>
    <row r="33" spans="1:19" s="197" customFormat="1" ht="98.25" customHeight="1" x14ac:dyDescent="0.25">
      <c r="A33" s="285"/>
      <c r="B33" s="198" t="s">
        <v>43</v>
      </c>
      <c r="C33" s="203" t="s">
        <v>28</v>
      </c>
      <c r="D33" s="204" t="s">
        <v>44</v>
      </c>
      <c r="E33" s="204" t="s">
        <v>11</v>
      </c>
      <c r="F33" s="204" t="s">
        <v>11</v>
      </c>
      <c r="G33" s="205">
        <f t="shared" ref="G33:P36" si="2">G34</f>
        <v>1593.8</v>
      </c>
      <c r="H33" s="202">
        <f t="shared" si="2"/>
        <v>0</v>
      </c>
      <c r="I33" s="205">
        <f t="shared" si="2"/>
        <v>1593.8</v>
      </c>
      <c r="J33" s="205">
        <f t="shared" si="2"/>
        <v>0</v>
      </c>
      <c r="K33" s="202">
        <f>K34</f>
        <v>0</v>
      </c>
      <c r="L33" s="205">
        <f t="shared" si="2"/>
        <v>0</v>
      </c>
      <c r="M33" s="205">
        <f t="shared" si="2"/>
        <v>1593.8</v>
      </c>
      <c r="N33" s="205">
        <f t="shared" si="2"/>
        <v>0</v>
      </c>
      <c r="O33" s="227">
        <f t="shared" si="2"/>
        <v>1593.8</v>
      </c>
      <c r="P33" s="227">
        <f t="shared" si="2"/>
        <v>1593.8</v>
      </c>
      <c r="Q33" s="199">
        <f t="shared" si="0"/>
        <v>100</v>
      </c>
      <c r="R33" s="200"/>
      <c r="S33" s="200"/>
    </row>
    <row r="34" spans="1:19" s="197" customFormat="1" ht="57.75" customHeight="1" x14ac:dyDescent="0.25">
      <c r="A34" s="285"/>
      <c r="B34" s="198" t="s">
        <v>35</v>
      </c>
      <c r="C34" s="198" t="s">
        <v>28</v>
      </c>
      <c r="D34" s="201" t="s">
        <v>44</v>
      </c>
      <c r="E34" s="201" t="s">
        <v>36</v>
      </c>
      <c r="F34" s="201" t="s">
        <v>11</v>
      </c>
      <c r="G34" s="202">
        <f t="shared" si="2"/>
        <v>1593.8</v>
      </c>
      <c r="H34" s="202">
        <f t="shared" si="2"/>
        <v>0</v>
      </c>
      <c r="I34" s="202">
        <f t="shared" si="2"/>
        <v>1593.8</v>
      </c>
      <c r="J34" s="202">
        <f t="shared" si="2"/>
        <v>0</v>
      </c>
      <c r="K34" s="202">
        <f>K35</f>
        <v>0</v>
      </c>
      <c r="L34" s="202">
        <f t="shared" si="2"/>
        <v>0</v>
      </c>
      <c r="M34" s="202">
        <f t="shared" si="2"/>
        <v>1593.8</v>
      </c>
      <c r="N34" s="202">
        <f t="shared" si="2"/>
        <v>0</v>
      </c>
      <c r="O34" s="226">
        <f t="shared" si="2"/>
        <v>1593.8</v>
      </c>
      <c r="P34" s="226">
        <f t="shared" si="2"/>
        <v>1593.8</v>
      </c>
      <c r="Q34" s="199">
        <f t="shared" si="0"/>
        <v>100</v>
      </c>
      <c r="R34" s="200"/>
      <c r="S34" s="200"/>
    </row>
    <row r="35" spans="1:19" s="197" customFormat="1" ht="42" customHeight="1" x14ac:dyDescent="0.25">
      <c r="A35" s="285"/>
      <c r="B35" s="198" t="s">
        <v>27</v>
      </c>
      <c r="C35" s="198" t="s">
        <v>28</v>
      </c>
      <c r="D35" s="201" t="s">
        <v>44</v>
      </c>
      <c r="E35" s="201" t="s">
        <v>37</v>
      </c>
      <c r="F35" s="201" t="s">
        <v>11</v>
      </c>
      <c r="G35" s="202">
        <f t="shared" si="2"/>
        <v>1593.8</v>
      </c>
      <c r="H35" s="202">
        <f t="shared" si="2"/>
        <v>0</v>
      </c>
      <c r="I35" s="202">
        <f t="shared" si="2"/>
        <v>1593.8</v>
      </c>
      <c r="J35" s="202">
        <f t="shared" si="2"/>
        <v>0</v>
      </c>
      <c r="K35" s="202">
        <f>K36</f>
        <v>0</v>
      </c>
      <c r="L35" s="202">
        <f t="shared" si="2"/>
        <v>0</v>
      </c>
      <c r="M35" s="202">
        <f t="shared" si="2"/>
        <v>1593.8</v>
      </c>
      <c r="N35" s="202">
        <f t="shared" si="2"/>
        <v>0</v>
      </c>
      <c r="O35" s="226">
        <f t="shared" si="2"/>
        <v>1593.8</v>
      </c>
      <c r="P35" s="226">
        <f t="shared" si="2"/>
        <v>1593.8</v>
      </c>
      <c r="Q35" s="199">
        <f>SUM(P35/O35*100)</f>
        <v>100</v>
      </c>
      <c r="R35" s="200"/>
      <c r="S35" s="200"/>
    </row>
    <row r="36" spans="1:19" s="197" customFormat="1" ht="121.5" customHeight="1" x14ac:dyDescent="0.25">
      <c r="A36" s="285"/>
      <c r="B36" s="198" t="s">
        <v>45</v>
      </c>
      <c r="C36" s="198" t="s">
        <v>28</v>
      </c>
      <c r="D36" s="201" t="s">
        <v>44</v>
      </c>
      <c r="E36" s="201" t="s">
        <v>46</v>
      </c>
      <c r="F36" s="201" t="s">
        <v>11</v>
      </c>
      <c r="G36" s="202">
        <f>G37</f>
        <v>1593.8</v>
      </c>
      <c r="H36" s="202">
        <f>SUM(H37)</f>
        <v>0</v>
      </c>
      <c r="I36" s="202">
        <f>I37</f>
        <v>1593.8</v>
      </c>
      <c r="J36" s="202">
        <f t="shared" si="2"/>
        <v>0</v>
      </c>
      <c r="K36" s="202"/>
      <c r="L36" s="202">
        <f t="shared" si="2"/>
        <v>0</v>
      </c>
      <c r="M36" s="202">
        <f t="shared" si="2"/>
        <v>1593.8</v>
      </c>
      <c r="N36" s="202">
        <f t="shared" si="2"/>
        <v>0</v>
      </c>
      <c r="O36" s="226">
        <f t="shared" si="2"/>
        <v>1593.8</v>
      </c>
      <c r="P36" s="226">
        <f t="shared" si="2"/>
        <v>1593.8</v>
      </c>
      <c r="Q36" s="199">
        <f>SUM(P36/O36*100)</f>
        <v>100</v>
      </c>
      <c r="R36" s="200"/>
      <c r="S36" s="200"/>
    </row>
    <row r="37" spans="1:19" s="197" customFormat="1" ht="22.5" customHeight="1" x14ac:dyDescent="0.25">
      <c r="A37" s="286"/>
      <c r="B37" s="198" t="s">
        <v>47</v>
      </c>
      <c r="C37" s="198" t="s">
        <v>28</v>
      </c>
      <c r="D37" s="201" t="s">
        <v>44</v>
      </c>
      <c r="E37" s="201" t="s">
        <v>46</v>
      </c>
      <c r="F37" s="201" t="s">
        <v>48</v>
      </c>
      <c r="G37" s="202">
        <v>1593.8</v>
      </c>
      <c r="H37" s="202"/>
      <c r="I37" s="202">
        <f>SUM(G37)</f>
        <v>1593.8</v>
      </c>
      <c r="J37" s="206">
        <v>0</v>
      </c>
      <c r="K37" s="202"/>
      <c r="L37" s="206">
        <v>0</v>
      </c>
      <c r="M37" s="202">
        <f>SUM(G37)</f>
        <v>1593.8</v>
      </c>
      <c r="N37" s="202">
        <f>SUM(H37)</f>
        <v>0</v>
      </c>
      <c r="O37" s="226">
        <f>SUM(I37)</f>
        <v>1593.8</v>
      </c>
      <c r="P37" s="226">
        <v>1593.8</v>
      </c>
      <c r="Q37" s="199">
        <f>P26/O26*100</f>
        <v>100</v>
      </c>
      <c r="R37" s="200"/>
      <c r="S37" s="200"/>
    </row>
    <row r="38" spans="1:19" s="197" customFormat="1" ht="60.75" customHeight="1" x14ac:dyDescent="0.25">
      <c r="A38" s="284" t="s">
        <v>49</v>
      </c>
      <c r="B38" s="198" t="s">
        <v>50</v>
      </c>
      <c r="C38" s="198" t="s">
        <v>51</v>
      </c>
      <c r="D38" s="201" t="s">
        <v>11</v>
      </c>
      <c r="E38" s="201" t="s">
        <v>11</v>
      </c>
      <c r="F38" s="201" t="s">
        <v>11</v>
      </c>
      <c r="G38" s="202">
        <f t="shared" ref="G38:P38" si="3">G39+G127+G180+G265+G410+G433+G461+G472</f>
        <v>586432.20000000019</v>
      </c>
      <c r="H38" s="202">
        <f t="shared" si="3"/>
        <v>-895.30000000000109</v>
      </c>
      <c r="I38" s="202">
        <f t="shared" si="3"/>
        <v>585536.90000000014</v>
      </c>
      <c r="J38" s="202">
        <f t="shared" si="3"/>
        <v>1989859.9999999998</v>
      </c>
      <c r="K38" s="202">
        <f t="shared" si="3"/>
        <v>4903.2000000000007</v>
      </c>
      <c r="L38" s="202">
        <f t="shared" si="3"/>
        <v>2001508.7999999998</v>
      </c>
      <c r="M38" s="202">
        <f t="shared" si="3"/>
        <v>2576004</v>
      </c>
      <c r="N38" s="202">
        <f t="shared" si="3"/>
        <v>4007.8999999999996</v>
      </c>
      <c r="O38" s="226">
        <f t="shared" si="3"/>
        <v>2580012</v>
      </c>
      <c r="P38" s="226">
        <f t="shared" si="3"/>
        <v>883561.79999999993</v>
      </c>
      <c r="Q38" s="199">
        <f>SUM(P38/O38*100)</f>
        <v>34.246422109664607</v>
      </c>
      <c r="R38" s="200"/>
      <c r="S38" s="200"/>
    </row>
    <row r="39" spans="1:19" s="197" customFormat="1" ht="37.5" x14ac:dyDescent="0.25">
      <c r="A39" s="285"/>
      <c r="B39" s="198" t="s">
        <v>30</v>
      </c>
      <c r="C39" s="198" t="s">
        <v>51</v>
      </c>
      <c r="D39" s="201" t="s">
        <v>31</v>
      </c>
      <c r="E39" s="201" t="s">
        <v>11</v>
      </c>
      <c r="F39" s="201" t="s">
        <v>11</v>
      </c>
      <c r="G39" s="202">
        <f t="shared" ref="G39:P39" si="4">G40+G47+G65+G70</f>
        <v>120477.5</v>
      </c>
      <c r="H39" s="202">
        <f>H40+H47+H65+H70</f>
        <v>1255.7</v>
      </c>
      <c r="I39" s="202">
        <f t="shared" si="4"/>
        <v>121733.2</v>
      </c>
      <c r="J39" s="202">
        <f t="shared" si="4"/>
        <v>868.1</v>
      </c>
      <c r="K39" s="202">
        <f t="shared" si="4"/>
        <v>0</v>
      </c>
      <c r="L39" s="202">
        <f t="shared" si="4"/>
        <v>868.1</v>
      </c>
      <c r="M39" s="202">
        <f t="shared" si="4"/>
        <v>121345.59999999999</v>
      </c>
      <c r="N39" s="202">
        <f t="shared" si="4"/>
        <v>1255.7</v>
      </c>
      <c r="O39" s="226">
        <f t="shared" si="4"/>
        <v>122601.4</v>
      </c>
      <c r="P39" s="226">
        <f t="shared" si="4"/>
        <v>118098.5</v>
      </c>
      <c r="Q39" s="199">
        <f>SUM(P39/O39*100)</f>
        <v>96.327203441396264</v>
      </c>
      <c r="R39" s="200"/>
      <c r="S39" s="200"/>
    </row>
    <row r="40" spans="1:19" s="197" customFormat="1" ht="78.75" customHeight="1" x14ac:dyDescent="0.25">
      <c r="A40" s="285"/>
      <c r="B40" s="198" t="s">
        <v>54</v>
      </c>
      <c r="C40" s="203" t="s">
        <v>51</v>
      </c>
      <c r="D40" s="204" t="s">
        <v>55</v>
      </c>
      <c r="E40" s="204" t="s">
        <v>11</v>
      </c>
      <c r="F40" s="204" t="s">
        <v>11</v>
      </c>
      <c r="G40" s="205">
        <f t="shared" ref="G40:P43" si="5">G41</f>
        <v>2524.6999999999998</v>
      </c>
      <c r="H40" s="202">
        <f t="shared" si="5"/>
        <v>69.400000000000006</v>
      </c>
      <c r="I40" s="205">
        <f t="shared" si="5"/>
        <v>2594.1</v>
      </c>
      <c r="J40" s="205">
        <f t="shared" si="5"/>
        <v>0</v>
      </c>
      <c r="K40" s="202">
        <f>K41</f>
        <v>0</v>
      </c>
      <c r="L40" s="205">
        <f t="shared" si="5"/>
        <v>0</v>
      </c>
      <c r="M40" s="205">
        <f t="shared" si="5"/>
        <v>2524.6999999999998</v>
      </c>
      <c r="N40" s="205">
        <f t="shared" si="5"/>
        <v>69.400000000000006</v>
      </c>
      <c r="O40" s="227">
        <f t="shared" si="5"/>
        <v>2594.1</v>
      </c>
      <c r="P40" s="227">
        <f t="shared" si="5"/>
        <v>2588.9</v>
      </c>
      <c r="Q40" s="199">
        <f t="shared" ref="Q40:Q99" si="6">P29/O29*100</f>
        <v>100</v>
      </c>
      <c r="R40" s="200"/>
      <c r="S40" s="200"/>
    </row>
    <row r="41" spans="1:19" s="197" customFormat="1" ht="60.75" customHeight="1" x14ac:dyDescent="0.25">
      <c r="A41" s="285"/>
      <c r="B41" s="198" t="s">
        <v>56</v>
      </c>
      <c r="C41" s="198" t="s">
        <v>51</v>
      </c>
      <c r="D41" s="201" t="s">
        <v>55</v>
      </c>
      <c r="E41" s="201" t="s">
        <v>57</v>
      </c>
      <c r="F41" s="201" t="s">
        <v>11</v>
      </c>
      <c r="G41" s="202">
        <f t="shared" si="5"/>
        <v>2524.6999999999998</v>
      </c>
      <c r="H41" s="202">
        <f t="shared" si="5"/>
        <v>69.400000000000006</v>
      </c>
      <c r="I41" s="202">
        <f t="shared" si="5"/>
        <v>2594.1</v>
      </c>
      <c r="J41" s="202">
        <f t="shared" si="5"/>
        <v>0</v>
      </c>
      <c r="K41" s="202">
        <f>K42</f>
        <v>0</v>
      </c>
      <c r="L41" s="202">
        <f t="shared" si="5"/>
        <v>0</v>
      </c>
      <c r="M41" s="202">
        <f t="shared" si="5"/>
        <v>2524.6999999999998</v>
      </c>
      <c r="N41" s="202">
        <f t="shared" si="5"/>
        <v>69.400000000000006</v>
      </c>
      <c r="O41" s="226">
        <f t="shared" si="5"/>
        <v>2594.1</v>
      </c>
      <c r="P41" s="226">
        <f t="shared" si="5"/>
        <v>2588.9</v>
      </c>
      <c r="Q41" s="199">
        <f t="shared" si="6"/>
        <v>100</v>
      </c>
      <c r="R41" s="200"/>
      <c r="S41" s="200"/>
    </row>
    <row r="42" spans="1:19" s="197" customFormat="1" ht="39" customHeight="1" x14ac:dyDescent="0.25">
      <c r="A42" s="285"/>
      <c r="B42" s="198" t="s">
        <v>58</v>
      </c>
      <c r="C42" s="198" t="s">
        <v>51</v>
      </c>
      <c r="D42" s="201" t="s">
        <v>55</v>
      </c>
      <c r="E42" s="201" t="s">
        <v>59</v>
      </c>
      <c r="F42" s="201" t="s">
        <v>11</v>
      </c>
      <c r="G42" s="202">
        <f>G43+G45</f>
        <v>2524.6999999999998</v>
      </c>
      <c r="H42" s="202">
        <f>H43+H45</f>
        <v>69.400000000000006</v>
      </c>
      <c r="I42" s="202">
        <f>I43+I45</f>
        <v>2594.1</v>
      </c>
      <c r="J42" s="202">
        <f t="shared" si="5"/>
        <v>0</v>
      </c>
      <c r="K42" s="202">
        <f>K43</f>
        <v>0</v>
      </c>
      <c r="L42" s="202">
        <f t="shared" si="5"/>
        <v>0</v>
      </c>
      <c r="M42" s="202">
        <f>M43+M45</f>
        <v>2524.6999999999998</v>
      </c>
      <c r="N42" s="202">
        <f t="shared" si="5"/>
        <v>69.400000000000006</v>
      </c>
      <c r="O42" s="226">
        <f>O43+O45</f>
        <v>2594.1</v>
      </c>
      <c r="P42" s="226">
        <f>P43+P45</f>
        <v>2588.9</v>
      </c>
      <c r="Q42" s="199">
        <f t="shared" si="6"/>
        <v>100</v>
      </c>
      <c r="R42" s="200"/>
      <c r="S42" s="200"/>
    </row>
    <row r="43" spans="1:19" s="197" customFormat="1" ht="54.75" customHeight="1" x14ac:dyDescent="0.25">
      <c r="A43" s="285"/>
      <c r="B43" s="198" t="s">
        <v>38</v>
      </c>
      <c r="C43" s="198" t="s">
        <v>51</v>
      </c>
      <c r="D43" s="201" t="s">
        <v>55</v>
      </c>
      <c r="E43" s="201" t="s">
        <v>60</v>
      </c>
      <c r="F43" s="201" t="s">
        <v>11</v>
      </c>
      <c r="G43" s="202">
        <f>G44</f>
        <v>2268.1</v>
      </c>
      <c r="H43" s="205">
        <v>69.400000000000006</v>
      </c>
      <c r="I43" s="202">
        <f>I44</f>
        <v>2337.5</v>
      </c>
      <c r="J43" s="202">
        <f t="shared" si="5"/>
        <v>0</v>
      </c>
      <c r="K43" s="202"/>
      <c r="L43" s="202">
        <f t="shared" si="5"/>
        <v>0</v>
      </c>
      <c r="M43" s="202">
        <f t="shared" si="5"/>
        <v>2268.1</v>
      </c>
      <c r="N43" s="202">
        <f t="shared" si="5"/>
        <v>69.400000000000006</v>
      </c>
      <c r="O43" s="226">
        <f t="shared" si="5"/>
        <v>2337.5</v>
      </c>
      <c r="P43" s="238">
        <v>2337.4</v>
      </c>
      <c r="Q43" s="199">
        <f t="shared" si="6"/>
        <v>100</v>
      </c>
      <c r="R43" s="200"/>
      <c r="S43" s="200"/>
    </row>
    <row r="44" spans="1:19" s="197" customFormat="1" ht="155.25" customHeight="1" x14ac:dyDescent="0.25">
      <c r="A44" s="285"/>
      <c r="B44" s="198" t="s">
        <v>61</v>
      </c>
      <c r="C44" s="198" t="s">
        <v>51</v>
      </c>
      <c r="D44" s="201" t="s">
        <v>55</v>
      </c>
      <c r="E44" s="201" t="s">
        <v>60</v>
      </c>
      <c r="F44" s="201" t="s">
        <v>62</v>
      </c>
      <c r="G44" s="202">
        <v>2268.1</v>
      </c>
      <c r="H44" s="205">
        <v>69.400000000000006</v>
      </c>
      <c r="I44" s="202">
        <f>SUM(G44)+H44</f>
        <v>2337.5</v>
      </c>
      <c r="J44" s="206">
        <v>0</v>
      </c>
      <c r="K44" s="205"/>
      <c r="L44" s="206">
        <v>0</v>
      </c>
      <c r="M44" s="202">
        <f t="shared" ref="M44:O46" si="7">SUM(G44)</f>
        <v>2268.1</v>
      </c>
      <c r="N44" s="202">
        <f t="shared" si="7"/>
        <v>69.400000000000006</v>
      </c>
      <c r="O44" s="226">
        <f t="shared" si="7"/>
        <v>2337.5</v>
      </c>
      <c r="P44" s="238">
        <v>2337.4</v>
      </c>
      <c r="Q44" s="199">
        <f>SUM(P44/O44*100)</f>
        <v>99.995721925133694</v>
      </c>
      <c r="R44" s="200"/>
      <c r="S44" s="200"/>
    </row>
    <row r="45" spans="1:19" s="197" customFormat="1" ht="177" customHeight="1" x14ac:dyDescent="0.25">
      <c r="A45" s="285"/>
      <c r="B45" s="207" t="s">
        <v>607</v>
      </c>
      <c r="C45" s="198">
        <v>992</v>
      </c>
      <c r="D45" s="201" t="s">
        <v>55</v>
      </c>
      <c r="E45" s="201">
        <v>5010000390</v>
      </c>
      <c r="F45" s="201"/>
      <c r="G45" s="202">
        <f>SUM(G46)</f>
        <v>256.60000000000002</v>
      </c>
      <c r="H45" s="205">
        <f>SUM(H46)</f>
        <v>0</v>
      </c>
      <c r="I45" s="202">
        <f>SUM(H45)+G45</f>
        <v>256.60000000000002</v>
      </c>
      <c r="J45" s="206"/>
      <c r="K45" s="205"/>
      <c r="L45" s="206"/>
      <c r="M45" s="202">
        <f t="shared" si="7"/>
        <v>256.60000000000002</v>
      </c>
      <c r="N45" s="202">
        <f t="shared" si="7"/>
        <v>0</v>
      </c>
      <c r="O45" s="226">
        <f t="shared" si="7"/>
        <v>256.60000000000002</v>
      </c>
      <c r="P45" s="226">
        <v>251.5</v>
      </c>
      <c r="Q45" s="199">
        <f>SUM(P45/O45*100)</f>
        <v>98.012470771628983</v>
      </c>
      <c r="R45" s="200"/>
      <c r="S45" s="200"/>
    </row>
    <row r="46" spans="1:19" s="197" customFormat="1" ht="159" customHeight="1" x14ac:dyDescent="0.25">
      <c r="A46" s="285"/>
      <c r="B46" s="198" t="s">
        <v>61</v>
      </c>
      <c r="C46" s="198">
        <v>992</v>
      </c>
      <c r="D46" s="201" t="s">
        <v>55</v>
      </c>
      <c r="E46" s="201">
        <v>5010000390</v>
      </c>
      <c r="F46" s="201">
        <v>100</v>
      </c>
      <c r="G46" s="202">
        <v>256.60000000000002</v>
      </c>
      <c r="H46" s="205"/>
      <c r="I46" s="202">
        <f>SUM(H46)+G46</f>
        <v>256.60000000000002</v>
      </c>
      <c r="J46" s="206"/>
      <c r="K46" s="205"/>
      <c r="L46" s="206"/>
      <c r="M46" s="202">
        <f t="shared" si="7"/>
        <v>256.60000000000002</v>
      </c>
      <c r="N46" s="202">
        <f t="shared" si="7"/>
        <v>0</v>
      </c>
      <c r="O46" s="226">
        <f t="shared" si="7"/>
        <v>256.60000000000002</v>
      </c>
      <c r="P46" s="226">
        <v>251.5</v>
      </c>
      <c r="Q46" s="199">
        <f>SUM(P46/O46*100)</f>
        <v>98.012470771628983</v>
      </c>
      <c r="R46" s="200"/>
      <c r="S46" s="200"/>
    </row>
    <row r="47" spans="1:19" s="197" customFormat="1" ht="150" customHeight="1" x14ac:dyDescent="0.25">
      <c r="A47" s="285"/>
      <c r="B47" s="198" t="s">
        <v>64</v>
      </c>
      <c r="C47" s="203" t="s">
        <v>51</v>
      </c>
      <c r="D47" s="204" t="s">
        <v>65</v>
      </c>
      <c r="E47" s="204" t="s">
        <v>11</v>
      </c>
      <c r="F47" s="204" t="s">
        <v>11</v>
      </c>
      <c r="G47" s="205">
        <f>G48</f>
        <v>46417.399999999994</v>
      </c>
      <c r="H47" s="202">
        <f>H48</f>
        <v>357</v>
      </c>
      <c r="I47" s="205">
        <f>I48</f>
        <v>46774.400000000001</v>
      </c>
      <c r="J47" s="205">
        <f>J48</f>
        <v>768.1</v>
      </c>
      <c r="K47" s="202">
        <f>K48+K55</f>
        <v>0</v>
      </c>
      <c r="L47" s="205">
        <f>L48</f>
        <v>768.1</v>
      </c>
      <c r="M47" s="202">
        <f>SUM(G47+J47)</f>
        <v>47185.499999999993</v>
      </c>
      <c r="N47" s="202">
        <f>N48</f>
        <v>357</v>
      </c>
      <c r="O47" s="227">
        <f>O48</f>
        <v>47542.5</v>
      </c>
      <c r="P47" s="227">
        <f>P48</f>
        <v>47266.1</v>
      </c>
      <c r="Q47" s="199">
        <f>SUM(P47/O47*100)</f>
        <v>99.418625440395431</v>
      </c>
      <c r="R47" s="200"/>
      <c r="S47" s="200"/>
    </row>
    <row r="48" spans="1:19" s="197" customFormat="1" ht="64.5" customHeight="1" x14ac:dyDescent="0.25">
      <c r="A48" s="285"/>
      <c r="B48" s="198" t="s">
        <v>66</v>
      </c>
      <c r="C48" s="198" t="s">
        <v>51</v>
      </c>
      <c r="D48" s="201" t="s">
        <v>65</v>
      </c>
      <c r="E48" s="201" t="s">
        <v>67</v>
      </c>
      <c r="F48" s="201" t="s">
        <v>11</v>
      </c>
      <c r="G48" s="202">
        <f>G49+G58</f>
        <v>46417.399999999994</v>
      </c>
      <c r="H48" s="202">
        <f>H49</f>
        <v>357</v>
      </c>
      <c r="I48" s="202">
        <f>I49+I58</f>
        <v>46774.400000000001</v>
      </c>
      <c r="J48" s="202">
        <f>J49+J58</f>
        <v>768.1</v>
      </c>
      <c r="K48" s="202">
        <f>K49</f>
        <v>0</v>
      </c>
      <c r="L48" s="202">
        <f>L49+L58</f>
        <v>768.1</v>
      </c>
      <c r="M48" s="202">
        <f>SUM(G48+J48)</f>
        <v>47185.499999999993</v>
      </c>
      <c r="N48" s="202">
        <f>N49+N58</f>
        <v>357</v>
      </c>
      <c r="O48" s="226">
        <f>O49+O58</f>
        <v>47542.5</v>
      </c>
      <c r="P48" s="226">
        <f>P49+P58</f>
        <v>47266.1</v>
      </c>
      <c r="Q48" s="199">
        <f>SUM(P48/O48*100)</f>
        <v>99.418625440395431</v>
      </c>
      <c r="R48" s="200"/>
      <c r="S48" s="200"/>
    </row>
    <row r="49" spans="1:19" s="197" customFormat="1" ht="56.25" x14ac:dyDescent="0.25">
      <c r="A49" s="285"/>
      <c r="B49" s="198" t="s">
        <v>50</v>
      </c>
      <c r="C49" s="198" t="s">
        <v>51</v>
      </c>
      <c r="D49" s="201" t="s">
        <v>65</v>
      </c>
      <c r="E49" s="201" t="s">
        <v>68</v>
      </c>
      <c r="F49" s="201" t="s">
        <v>11</v>
      </c>
      <c r="G49" s="202">
        <f>G50+G52+G56</f>
        <v>46417.399999999994</v>
      </c>
      <c r="H49" s="202">
        <f>H50+H52+H56</f>
        <v>357</v>
      </c>
      <c r="I49" s="202">
        <f>I50+I52+I56</f>
        <v>46774.400000000001</v>
      </c>
      <c r="J49" s="202">
        <f>J50</f>
        <v>0</v>
      </c>
      <c r="K49" s="202">
        <f>K50+K51+K54</f>
        <v>0</v>
      </c>
      <c r="L49" s="202">
        <f>L50</f>
        <v>0</v>
      </c>
      <c r="M49" s="202">
        <f>M50+M52+M56</f>
        <v>46417.399999999994</v>
      </c>
      <c r="N49" s="202">
        <f>SUM(H49)</f>
        <v>357</v>
      </c>
      <c r="O49" s="226">
        <f>O50+O52+O56</f>
        <v>46774.400000000001</v>
      </c>
      <c r="P49" s="226">
        <f>P50+P52+P56</f>
        <v>46498</v>
      </c>
      <c r="Q49" s="199">
        <f>SUM(P48/O48*100)</f>
        <v>99.418625440395431</v>
      </c>
      <c r="R49" s="200"/>
      <c r="S49" s="200"/>
    </row>
    <row r="50" spans="1:19" s="197" customFormat="1" ht="57.75" customHeight="1" x14ac:dyDescent="0.25">
      <c r="A50" s="285"/>
      <c r="B50" s="198" t="s">
        <v>38</v>
      </c>
      <c r="C50" s="198" t="s">
        <v>51</v>
      </c>
      <c r="D50" s="201" t="s">
        <v>65</v>
      </c>
      <c r="E50" s="201" t="s">
        <v>69</v>
      </c>
      <c r="F50" s="201" t="s">
        <v>11</v>
      </c>
      <c r="G50" s="202">
        <f>G51+G54+G55</f>
        <v>38089.299999999996</v>
      </c>
      <c r="H50" s="202">
        <f>SUM(H51)+H54+H55</f>
        <v>-69.400000000000006</v>
      </c>
      <c r="I50" s="202">
        <f>I51+I54+I55</f>
        <v>38019.9</v>
      </c>
      <c r="J50" s="202">
        <f>J51+J54+J55</f>
        <v>0</v>
      </c>
      <c r="K50" s="202"/>
      <c r="L50" s="202">
        <f>L51+L54+L55</f>
        <v>0</v>
      </c>
      <c r="M50" s="202">
        <f>M51+M54+M55</f>
        <v>38089.299999999996</v>
      </c>
      <c r="N50" s="202">
        <f>N51+N54+N55</f>
        <v>-69.400000000000006</v>
      </c>
      <c r="O50" s="226">
        <f>O51+O54+O55</f>
        <v>38019.9</v>
      </c>
      <c r="P50" s="226">
        <f>P51+P54+P55</f>
        <v>37930.699999999997</v>
      </c>
      <c r="Q50" s="199">
        <f t="shared" si="6"/>
        <v>96.327203441396264</v>
      </c>
      <c r="R50" s="200"/>
      <c r="S50" s="200"/>
    </row>
    <row r="51" spans="1:19" s="197" customFormat="1" ht="75.75" customHeight="1" x14ac:dyDescent="0.25">
      <c r="A51" s="285"/>
      <c r="B51" s="198" t="s">
        <v>61</v>
      </c>
      <c r="C51" s="198" t="s">
        <v>51</v>
      </c>
      <c r="D51" s="201" t="s">
        <v>65</v>
      </c>
      <c r="E51" s="201" t="s">
        <v>69</v>
      </c>
      <c r="F51" s="201" t="s">
        <v>62</v>
      </c>
      <c r="G51" s="202">
        <v>37600.5</v>
      </c>
      <c r="H51" s="202">
        <f>124.7+188.1-10</f>
        <v>302.8</v>
      </c>
      <c r="I51" s="202">
        <f>SUM(G51)+H51</f>
        <v>37903.300000000003</v>
      </c>
      <c r="J51" s="206">
        <v>0</v>
      </c>
      <c r="K51" s="202"/>
      <c r="L51" s="206">
        <v>0</v>
      </c>
      <c r="M51" s="202">
        <f t="shared" ref="M51:N55" si="8">SUM(G51)</f>
        <v>37600.5</v>
      </c>
      <c r="N51" s="202">
        <f t="shared" si="8"/>
        <v>302.8</v>
      </c>
      <c r="O51" s="226">
        <f>SUM(N51)+M51</f>
        <v>37903.300000000003</v>
      </c>
      <c r="P51" s="226">
        <v>37824.699999999997</v>
      </c>
      <c r="Q51" s="199">
        <f>SUM(P51/O51*100)</f>
        <v>99.792630193149392</v>
      </c>
      <c r="R51" s="200"/>
      <c r="S51" s="200"/>
    </row>
    <row r="52" spans="1:19" s="197" customFormat="1" ht="187.5" hidden="1" customHeight="1" x14ac:dyDescent="0.25">
      <c r="A52" s="285"/>
      <c r="B52" s="207" t="s">
        <v>607</v>
      </c>
      <c r="C52" s="198">
        <v>992</v>
      </c>
      <c r="D52" s="201" t="s">
        <v>65</v>
      </c>
      <c r="E52" s="201">
        <v>5210000390</v>
      </c>
      <c r="F52" s="201"/>
      <c r="G52" s="202"/>
      <c r="H52" s="202">
        <f>SUM(H53)</f>
        <v>0</v>
      </c>
      <c r="I52" s="202">
        <f>SUM(H52)</f>
        <v>0</v>
      </c>
      <c r="J52" s="206"/>
      <c r="K52" s="202"/>
      <c r="L52" s="206"/>
      <c r="M52" s="202"/>
      <c r="N52" s="202">
        <f>SUM(H52)</f>
        <v>0</v>
      </c>
      <c r="O52" s="226">
        <f>SUM(I52)</f>
        <v>0</v>
      </c>
      <c r="P52" s="226"/>
      <c r="Q52" s="199">
        <f t="shared" si="6"/>
        <v>99.799545121622145</v>
      </c>
      <c r="R52" s="200"/>
      <c r="S52" s="200"/>
    </row>
    <row r="53" spans="1:19" s="197" customFormat="1" ht="168.75" hidden="1" customHeight="1" x14ac:dyDescent="0.25">
      <c r="A53" s="285"/>
      <c r="B53" s="198" t="s">
        <v>61</v>
      </c>
      <c r="C53" s="198">
        <v>992</v>
      </c>
      <c r="D53" s="201" t="s">
        <v>65</v>
      </c>
      <c r="E53" s="201">
        <v>5210000390</v>
      </c>
      <c r="F53" s="201">
        <v>100</v>
      </c>
      <c r="G53" s="202"/>
      <c r="H53" s="202"/>
      <c r="I53" s="202">
        <f>SUM(H53)</f>
        <v>0</v>
      </c>
      <c r="J53" s="206"/>
      <c r="K53" s="202"/>
      <c r="L53" s="206"/>
      <c r="M53" s="202"/>
      <c r="N53" s="202">
        <f>SUM(H53)</f>
        <v>0</v>
      </c>
      <c r="O53" s="226">
        <f>SUM(I53)</f>
        <v>0</v>
      </c>
      <c r="P53" s="226"/>
      <c r="Q53" s="199">
        <f t="shared" si="6"/>
        <v>99.799545121622145</v>
      </c>
      <c r="R53" s="200"/>
      <c r="S53" s="200"/>
    </row>
    <row r="54" spans="1:19" s="197" customFormat="1" ht="75" x14ac:dyDescent="0.25">
      <c r="A54" s="285"/>
      <c r="B54" s="198" t="s">
        <v>40</v>
      </c>
      <c r="C54" s="198" t="s">
        <v>51</v>
      </c>
      <c r="D54" s="201" t="s">
        <v>65</v>
      </c>
      <c r="E54" s="201" t="s">
        <v>69</v>
      </c>
      <c r="F54" s="201" t="s">
        <v>41</v>
      </c>
      <c r="G54" s="202">
        <v>260.7</v>
      </c>
      <c r="H54" s="202">
        <f>-69.4-124.7+10</f>
        <v>-184.10000000000002</v>
      </c>
      <c r="I54" s="202">
        <f>260.7+H54</f>
        <v>76.599999999999966</v>
      </c>
      <c r="J54" s="206">
        <v>0</v>
      </c>
      <c r="K54" s="202"/>
      <c r="L54" s="206">
        <v>0</v>
      </c>
      <c r="M54" s="202">
        <f t="shared" si="8"/>
        <v>260.7</v>
      </c>
      <c r="N54" s="202">
        <f t="shared" si="8"/>
        <v>-184.10000000000002</v>
      </c>
      <c r="O54" s="226">
        <f>SUM(I54)</f>
        <v>76.599999999999966</v>
      </c>
      <c r="P54" s="226">
        <v>66.599999999999994</v>
      </c>
      <c r="Q54" s="199">
        <f t="shared" si="6"/>
        <v>99.995721925133694</v>
      </c>
      <c r="R54" s="200"/>
      <c r="S54" s="200"/>
    </row>
    <row r="55" spans="1:19" s="197" customFormat="1" ht="23.25" customHeight="1" x14ac:dyDescent="0.25">
      <c r="A55" s="285"/>
      <c r="B55" s="198" t="s">
        <v>70</v>
      </c>
      <c r="C55" s="198" t="s">
        <v>51</v>
      </c>
      <c r="D55" s="201" t="s">
        <v>65</v>
      </c>
      <c r="E55" s="201" t="s">
        <v>69</v>
      </c>
      <c r="F55" s="201" t="s">
        <v>71</v>
      </c>
      <c r="G55" s="202">
        <v>228.1</v>
      </c>
      <c r="H55" s="202">
        <v>-188.1</v>
      </c>
      <c r="I55" s="202">
        <f>SUM(G55)+H55</f>
        <v>40</v>
      </c>
      <c r="J55" s="206">
        <v>0</v>
      </c>
      <c r="K55" s="202">
        <f>K62</f>
        <v>0</v>
      </c>
      <c r="L55" s="206">
        <v>0</v>
      </c>
      <c r="M55" s="202">
        <f t="shared" si="8"/>
        <v>228.1</v>
      </c>
      <c r="N55" s="202">
        <f t="shared" si="8"/>
        <v>-188.1</v>
      </c>
      <c r="O55" s="226">
        <f>SUM(I55)</f>
        <v>40</v>
      </c>
      <c r="P55" s="226">
        <v>39.4</v>
      </c>
      <c r="Q55" s="199">
        <f t="shared" si="6"/>
        <v>99.995721925133694</v>
      </c>
      <c r="R55" s="200"/>
      <c r="S55" s="200"/>
    </row>
    <row r="56" spans="1:19" s="197" customFormat="1" ht="193.5" customHeight="1" x14ac:dyDescent="0.25">
      <c r="A56" s="285"/>
      <c r="B56" s="207" t="s">
        <v>607</v>
      </c>
      <c r="C56" s="208">
        <v>992</v>
      </c>
      <c r="D56" s="201" t="s">
        <v>65</v>
      </c>
      <c r="E56" s="201">
        <v>5210000390</v>
      </c>
      <c r="F56" s="201"/>
      <c r="G56" s="202">
        <f>SUM(G57)</f>
        <v>8328.1</v>
      </c>
      <c r="H56" s="202">
        <f>SUM(H57)</f>
        <v>426.4</v>
      </c>
      <c r="I56" s="202">
        <f>SUM(I57)</f>
        <v>8754.5</v>
      </c>
      <c r="J56" s="206"/>
      <c r="K56" s="202"/>
      <c r="L56" s="206"/>
      <c r="M56" s="202">
        <f>SUM(G56)</f>
        <v>8328.1</v>
      </c>
      <c r="N56" s="202">
        <f>SUM(H56)</f>
        <v>426.4</v>
      </c>
      <c r="O56" s="226">
        <f>SUM(I56)</f>
        <v>8754.5</v>
      </c>
      <c r="P56" s="226">
        <v>8567.2999999999993</v>
      </c>
      <c r="Q56" s="199">
        <f t="shared" si="6"/>
        <v>98.012470771628983</v>
      </c>
      <c r="R56" s="200"/>
      <c r="S56" s="200"/>
    </row>
    <row r="57" spans="1:19" s="197" customFormat="1" ht="154.5" customHeight="1" x14ac:dyDescent="0.25">
      <c r="A57" s="285"/>
      <c r="B57" s="198" t="s">
        <v>61</v>
      </c>
      <c r="C57" s="208">
        <v>992</v>
      </c>
      <c r="D57" s="201" t="s">
        <v>65</v>
      </c>
      <c r="E57" s="201">
        <v>5210000390</v>
      </c>
      <c r="F57" s="201">
        <v>100</v>
      </c>
      <c r="G57" s="202">
        <v>8328.1</v>
      </c>
      <c r="H57" s="202">
        <v>426.4</v>
      </c>
      <c r="I57" s="202">
        <f>SUM(H57)+G57</f>
        <v>8754.5</v>
      </c>
      <c r="J57" s="206"/>
      <c r="K57" s="202"/>
      <c r="L57" s="206"/>
      <c r="M57" s="202">
        <f>SUM(G57)</f>
        <v>8328.1</v>
      </c>
      <c r="N57" s="202">
        <f>SUM(H57)</f>
        <v>426.4</v>
      </c>
      <c r="O57" s="226">
        <f>SUM(I57)</f>
        <v>8754.5</v>
      </c>
      <c r="P57" s="226">
        <v>8567.2999999999993</v>
      </c>
      <c r="Q57" s="199">
        <f t="shared" si="6"/>
        <v>98.012470771628983</v>
      </c>
      <c r="R57" s="200"/>
      <c r="S57" s="200"/>
    </row>
    <row r="58" spans="1:19" s="197" customFormat="1" ht="56.25" x14ac:dyDescent="0.25">
      <c r="A58" s="285"/>
      <c r="B58" s="198" t="s">
        <v>72</v>
      </c>
      <c r="C58" s="198" t="s">
        <v>51</v>
      </c>
      <c r="D58" s="201" t="s">
        <v>65</v>
      </c>
      <c r="E58" s="201" t="s">
        <v>73</v>
      </c>
      <c r="F58" s="201" t="s">
        <v>11</v>
      </c>
      <c r="G58" s="202">
        <f>G63</f>
        <v>0</v>
      </c>
      <c r="H58" s="202">
        <f>H59</f>
        <v>0</v>
      </c>
      <c r="I58" s="202">
        <f>I63</f>
        <v>0</v>
      </c>
      <c r="J58" s="206">
        <f>J63+J59</f>
        <v>768.1</v>
      </c>
      <c r="K58" s="202">
        <f>K59</f>
        <v>0</v>
      </c>
      <c r="L58" s="206">
        <f>L63+L59</f>
        <v>768.1</v>
      </c>
      <c r="M58" s="202">
        <f>M63+M59</f>
        <v>768.1</v>
      </c>
      <c r="N58" s="202">
        <f>N63</f>
        <v>0</v>
      </c>
      <c r="O58" s="226">
        <f>O63+O59</f>
        <v>768.1</v>
      </c>
      <c r="P58" s="226">
        <f>P63+P59</f>
        <v>768.1</v>
      </c>
      <c r="Q58" s="199">
        <v>100</v>
      </c>
      <c r="R58" s="200"/>
      <c r="S58" s="200"/>
    </row>
    <row r="59" spans="1:19" s="197" customFormat="1" ht="177.75" customHeight="1" x14ac:dyDescent="0.25">
      <c r="A59" s="285"/>
      <c r="B59" s="207" t="s">
        <v>624</v>
      </c>
      <c r="C59" s="198">
        <v>992</v>
      </c>
      <c r="D59" s="201" t="s">
        <v>65</v>
      </c>
      <c r="E59" s="201">
        <v>5220060140</v>
      </c>
      <c r="F59" s="201"/>
      <c r="G59" s="202">
        <f>G60</f>
        <v>0</v>
      </c>
      <c r="H59" s="202">
        <v>0</v>
      </c>
      <c r="I59" s="202">
        <f>I60</f>
        <v>0</v>
      </c>
      <c r="J59" s="206">
        <f>SUM(J61+J60)</f>
        <v>755.7</v>
      </c>
      <c r="K59" s="202">
        <v>0</v>
      </c>
      <c r="L59" s="206">
        <f>SUM(L61+L60)</f>
        <v>755.7</v>
      </c>
      <c r="M59" s="202">
        <f>M60+M61</f>
        <v>755.7</v>
      </c>
      <c r="N59" s="202"/>
      <c r="O59" s="226">
        <f>O60+O61</f>
        <v>755.7</v>
      </c>
      <c r="P59" s="226">
        <f>P60+P61</f>
        <v>755.7</v>
      </c>
      <c r="Q59" s="199">
        <v>100</v>
      </c>
      <c r="R59" s="200"/>
      <c r="S59" s="200"/>
    </row>
    <row r="60" spans="1:19" s="197" customFormat="1" ht="154.5" customHeight="1" x14ac:dyDescent="0.25">
      <c r="A60" s="285"/>
      <c r="B60" s="198" t="s">
        <v>61</v>
      </c>
      <c r="C60" s="198">
        <v>992</v>
      </c>
      <c r="D60" s="201" t="s">
        <v>65</v>
      </c>
      <c r="E60" s="201">
        <v>5220060140</v>
      </c>
      <c r="F60" s="201">
        <v>100</v>
      </c>
      <c r="G60" s="202">
        <v>0</v>
      </c>
      <c r="H60" s="202">
        <v>0</v>
      </c>
      <c r="I60" s="202">
        <v>0</v>
      </c>
      <c r="J60" s="206">
        <v>755.7</v>
      </c>
      <c r="K60" s="202">
        <v>0</v>
      </c>
      <c r="L60" s="206">
        <f>J60+K60</f>
        <v>755.7</v>
      </c>
      <c r="M60" s="202">
        <f>G60+J60</f>
        <v>755.7</v>
      </c>
      <c r="N60" s="202">
        <f>SUM(K60)</f>
        <v>0</v>
      </c>
      <c r="O60" s="226">
        <f>M60+N60</f>
        <v>755.7</v>
      </c>
      <c r="P60" s="226">
        <v>755.7</v>
      </c>
      <c r="Q60" s="199">
        <v>100</v>
      </c>
      <c r="R60" s="200"/>
      <c r="S60" s="200"/>
    </row>
    <row r="61" spans="1:19" s="197" customFormat="1" ht="75" hidden="1" customHeight="1" x14ac:dyDescent="0.25">
      <c r="A61" s="285"/>
      <c r="B61" s="198" t="s">
        <v>40</v>
      </c>
      <c r="C61" s="198">
        <v>992</v>
      </c>
      <c r="D61" s="201" t="s">
        <v>65</v>
      </c>
      <c r="E61" s="201">
        <v>5220060140</v>
      </c>
      <c r="F61" s="201">
        <v>200</v>
      </c>
      <c r="G61" s="202">
        <v>0</v>
      </c>
      <c r="H61" s="202"/>
      <c r="I61" s="202">
        <v>0</v>
      </c>
      <c r="J61" s="206">
        <v>0</v>
      </c>
      <c r="K61" s="202">
        <v>0</v>
      </c>
      <c r="L61" s="206">
        <f>J61+K61</f>
        <v>0</v>
      </c>
      <c r="M61" s="202">
        <f>G61+J61</f>
        <v>0</v>
      </c>
      <c r="N61" s="202">
        <f>SUM(K61)</f>
        <v>0</v>
      </c>
      <c r="O61" s="226">
        <v>0</v>
      </c>
      <c r="P61" s="226">
        <v>0</v>
      </c>
      <c r="Q61" s="199">
        <f t="shared" si="6"/>
        <v>99.765386021530816</v>
      </c>
      <c r="R61" s="200"/>
      <c r="S61" s="200"/>
    </row>
    <row r="62" spans="1:19" s="197" customFormat="1" ht="18.75" hidden="1" customHeight="1" x14ac:dyDescent="0.25">
      <c r="A62" s="285"/>
      <c r="B62" s="198"/>
      <c r="C62" s="198"/>
      <c r="D62" s="201"/>
      <c r="E62" s="201"/>
      <c r="F62" s="201"/>
      <c r="G62" s="202"/>
      <c r="H62" s="202">
        <f t="shared" ref="G62:P63" si="9">H63</f>
        <v>0</v>
      </c>
      <c r="I62" s="202"/>
      <c r="J62" s="206"/>
      <c r="K62" s="202">
        <f t="shared" si="9"/>
        <v>0</v>
      </c>
      <c r="L62" s="206"/>
      <c r="M62" s="202"/>
      <c r="N62" s="202"/>
      <c r="O62" s="226"/>
      <c r="P62" s="226"/>
      <c r="Q62" s="199">
        <f t="shared" si="6"/>
        <v>99.792630193149392</v>
      </c>
      <c r="R62" s="200"/>
      <c r="S62" s="200"/>
    </row>
    <row r="63" spans="1:19" s="197" customFormat="1" ht="93.75" customHeight="1" x14ac:dyDescent="0.25">
      <c r="A63" s="285"/>
      <c r="B63" s="198" t="s">
        <v>75</v>
      </c>
      <c r="C63" s="198" t="s">
        <v>51</v>
      </c>
      <c r="D63" s="201" t="s">
        <v>65</v>
      </c>
      <c r="E63" s="201" t="s">
        <v>76</v>
      </c>
      <c r="F63" s="201" t="s">
        <v>11</v>
      </c>
      <c r="G63" s="202">
        <f t="shared" si="9"/>
        <v>0</v>
      </c>
      <c r="H63" s="202">
        <v>0</v>
      </c>
      <c r="I63" s="202">
        <f t="shared" si="9"/>
        <v>0</v>
      </c>
      <c r="J63" s="206">
        <f t="shared" si="9"/>
        <v>12.4</v>
      </c>
      <c r="K63" s="202">
        <v>0</v>
      </c>
      <c r="L63" s="206">
        <f t="shared" si="9"/>
        <v>12.4</v>
      </c>
      <c r="M63" s="202">
        <f t="shared" si="9"/>
        <v>12.4</v>
      </c>
      <c r="N63" s="202">
        <f t="shared" si="9"/>
        <v>0</v>
      </c>
      <c r="O63" s="226">
        <f t="shared" si="9"/>
        <v>12.4</v>
      </c>
      <c r="P63" s="226">
        <f t="shared" si="9"/>
        <v>12.4</v>
      </c>
      <c r="Q63" s="199">
        <v>100</v>
      </c>
      <c r="R63" s="200"/>
      <c r="S63" s="200"/>
    </row>
    <row r="64" spans="1:19" s="197" customFormat="1" ht="74.25" customHeight="1" x14ac:dyDescent="0.25">
      <c r="A64" s="285"/>
      <c r="B64" s="198" t="s">
        <v>40</v>
      </c>
      <c r="C64" s="198" t="s">
        <v>51</v>
      </c>
      <c r="D64" s="201" t="s">
        <v>65</v>
      </c>
      <c r="E64" s="201" t="s">
        <v>76</v>
      </c>
      <c r="F64" s="201" t="s">
        <v>41</v>
      </c>
      <c r="G64" s="202">
        <v>0</v>
      </c>
      <c r="H64" s="205"/>
      <c r="I64" s="202">
        <v>0</v>
      </c>
      <c r="J64" s="206">
        <v>12.4</v>
      </c>
      <c r="K64" s="205"/>
      <c r="L64" s="206">
        <v>12.4</v>
      </c>
      <c r="M64" s="202">
        <v>12.4</v>
      </c>
      <c r="N64" s="202">
        <v>0</v>
      </c>
      <c r="O64" s="226">
        <v>12.4</v>
      </c>
      <c r="P64" s="226">
        <v>12.4</v>
      </c>
      <c r="Q64" s="199">
        <v>100</v>
      </c>
      <c r="R64" s="200"/>
      <c r="S64" s="200"/>
    </row>
    <row r="65" spans="1:19" s="197" customFormat="1" ht="18.75" x14ac:dyDescent="0.25">
      <c r="A65" s="285"/>
      <c r="B65" s="198" t="s">
        <v>78</v>
      </c>
      <c r="C65" s="198" t="s">
        <v>51</v>
      </c>
      <c r="D65" s="201" t="s">
        <v>79</v>
      </c>
      <c r="E65" s="204" t="s">
        <v>11</v>
      </c>
      <c r="F65" s="204" t="s">
        <v>11</v>
      </c>
      <c r="G65" s="205">
        <f t="shared" ref="G65:O68" si="10">G66</f>
        <v>1700.1</v>
      </c>
      <c r="H65" s="202">
        <f t="shared" si="10"/>
        <v>-111.9</v>
      </c>
      <c r="I65" s="205">
        <f t="shared" si="10"/>
        <v>1588.1999999999998</v>
      </c>
      <c r="J65" s="205">
        <f t="shared" si="10"/>
        <v>0</v>
      </c>
      <c r="K65" s="202">
        <f>K66</f>
        <v>0</v>
      </c>
      <c r="L65" s="205">
        <f t="shared" si="10"/>
        <v>0</v>
      </c>
      <c r="M65" s="205">
        <f t="shared" si="10"/>
        <v>1700.1</v>
      </c>
      <c r="N65" s="205">
        <f t="shared" si="10"/>
        <v>-111.9</v>
      </c>
      <c r="O65" s="226">
        <f t="shared" si="10"/>
        <v>1535.7</v>
      </c>
      <c r="P65" s="237">
        <v>0</v>
      </c>
      <c r="Q65" s="209">
        <v>0</v>
      </c>
      <c r="R65" s="200"/>
      <c r="S65" s="200"/>
    </row>
    <row r="66" spans="1:19" s="197" customFormat="1" ht="81.75" customHeight="1" x14ac:dyDescent="0.25">
      <c r="A66" s="285"/>
      <c r="B66" s="198" t="s">
        <v>66</v>
      </c>
      <c r="C66" s="198" t="s">
        <v>51</v>
      </c>
      <c r="D66" s="201" t="s">
        <v>79</v>
      </c>
      <c r="E66" s="201" t="s">
        <v>67</v>
      </c>
      <c r="F66" s="201" t="s">
        <v>11</v>
      </c>
      <c r="G66" s="202">
        <f t="shared" si="10"/>
        <v>1700.1</v>
      </c>
      <c r="H66" s="202">
        <f t="shared" si="10"/>
        <v>-111.9</v>
      </c>
      <c r="I66" s="202">
        <f t="shared" si="10"/>
        <v>1588.1999999999998</v>
      </c>
      <c r="J66" s="202">
        <f t="shared" si="10"/>
        <v>0</v>
      </c>
      <c r="K66" s="202">
        <f>K67</f>
        <v>0</v>
      </c>
      <c r="L66" s="202">
        <f t="shared" si="10"/>
        <v>0</v>
      </c>
      <c r="M66" s="202">
        <f t="shared" si="10"/>
        <v>1700.1</v>
      </c>
      <c r="N66" s="202">
        <f t="shared" si="10"/>
        <v>-111.9</v>
      </c>
      <c r="O66" s="226">
        <f t="shared" si="10"/>
        <v>1535.7</v>
      </c>
      <c r="P66" s="237">
        <v>0</v>
      </c>
      <c r="Q66" s="209">
        <v>0</v>
      </c>
      <c r="R66" s="200"/>
      <c r="S66" s="200"/>
    </row>
    <row r="67" spans="1:19" s="197" customFormat="1" ht="39" customHeight="1" x14ac:dyDescent="0.25">
      <c r="A67" s="285"/>
      <c r="B67" s="198" t="s">
        <v>80</v>
      </c>
      <c r="C67" s="198" t="s">
        <v>51</v>
      </c>
      <c r="D67" s="201" t="s">
        <v>79</v>
      </c>
      <c r="E67" s="201" t="s">
        <v>81</v>
      </c>
      <c r="F67" s="201" t="s">
        <v>11</v>
      </c>
      <c r="G67" s="202">
        <f t="shared" si="10"/>
        <v>1700.1</v>
      </c>
      <c r="H67" s="202">
        <f t="shared" si="10"/>
        <v>-111.9</v>
      </c>
      <c r="I67" s="202">
        <f t="shared" si="10"/>
        <v>1588.1999999999998</v>
      </c>
      <c r="J67" s="202">
        <f t="shared" si="10"/>
        <v>0</v>
      </c>
      <c r="K67" s="202">
        <f>K68</f>
        <v>0</v>
      </c>
      <c r="L67" s="202">
        <f t="shared" si="10"/>
        <v>0</v>
      </c>
      <c r="M67" s="202">
        <f t="shared" si="10"/>
        <v>1700.1</v>
      </c>
      <c r="N67" s="202">
        <f t="shared" si="10"/>
        <v>-111.9</v>
      </c>
      <c r="O67" s="226">
        <f t="shared" si="10"/>
        <v>1535.7</v>
      </c>
      <c r="P67" s="228">
        <v>0</v>
      </c>
      <c r="Q67" s="209">
        <v>0</v>
      </c>
      <c r="R67" s="200"/>
      <c r="S67" s="200"/>
    </row>
    <row r="68" spans="1:19" s="197" customFormat="1" ht="53.25" customHeight="1" x14ac:dyDescent="0.25">
      <c r="A68" s="285"/>
      <c r="B68" s="198" t="s">
        <v>82</v>
      </c>
      <c r="C68" s="198" t="s">
        <v>51</v>
      </c>
      <c r="D68" s="201" t="s">
        <v>79</v>
      </c>
      <c r="E68" s="201" t="s">
        <v>83</v>
      </c>
      <c r="F68" s="201" t="s">
        <v>11</v>
      </c>
      <c r="G68" s="202">
        <f>G69</f>
        <v>1700.1</v>
      </c>
      <c r="H68" s="205">
        <f>H69</f>
        <v>-111.9</v>
      </c>
      <c r="I68" s="202">
        <f>I69</f>
        <v>1588.1999999999998</v>
      </c>
      <c r="J68" s="202">
        <f t="shared" si="10"/>
        <v>0</v>
      </c>
      <c r="K68" s="202"/>
      <c r="L68" s="202">
        <f t="shared" si="10"/>
        <v>0</v>
      </c>
      <c r="M68" s="202">
        <f t="shared" si="10"/>
        <v>1700.1</v>
      </c>
      <c r="N68" s="202">
        <f t="shared" si="10"/>
        <v>-111.9</v>
      </c>
      <c r="O68" s="226">
        <f t="shared" si="10"/>
        <v>1535.7</v>
      </c>
      <c r="P68" s="237">
        <v>0</v>
      </c>
      <c r="Q68" s="209">
        <v>0</v>
      </c>
      <c r="R68" s="200"/>
      <c r="S68" s="200"/>
    </row>
    <row r="69" spans="1:19" s="197" customFormat="1" ht="24" customHeight="1" x14ac:dyDescent="0.25">
      <c r="A69" s="285"/>
      <c r="B69" s="198" t="s">
        <v>70</v>
      </c>
      <c r="C69" s="198" t="s">
        <v>51</v>
      </c>
      <c r="D69" s="201" t="s">
        <v>79</v>
      </c>
      <c r="E69" s="201" t="s">
        <v>83</v>
      </c>
      <c r="F69" s="201" t="s">
        <v>71</v>
      </c>
      <c r="G69" s="202">
        <v>1700.1</v>
      </c>
      <c r="H69" s="205">
        <f>-40.8+0.1-43.7-27.5</f>
        <v>-111.9</v>
      </c>
      <c r="I69" s="202">
        <f>SUM(G69)+H69</f>
        <v>1588.1999999999998</v>
      </c>
      <c r="J69" s="206">
        <v>0</v>
      </c>
      <c r="K69" s="205"/>
      <c r="L69" s="206">
        <v>0</v>
      </c>
      <c r="M69" s="202">
        <f>SUM(G69)</f>
        <v>1700.1</v>
      </c>
      <c r="N69" s="202">
        <f>SUM(H69)</f>
        <v>-111.9</v>
      </c>
      <c r="O69" s="226">
        <v>1535.7</v>
      </c>
      <c r="P69" s="226">
        <v>0</v>
      </c>
      <c r="Q69" s="209">
        <v>0</v>
      </c>
      <c r="R69" s="200"/>
      <c r="S69" s="200"/>
    </row>
    <row r="70" spans="1:19" s="197" customFormat="1" ht="42" customHeight="1" x14ac:dyDescent="0.25">
      <c r="A70" s="285"/>
      <c r="B70" s="198" t="s">
        <v>85</v>
      </c>
      <c r="C70" s="203" t="s">
        <v>51</v>
      </c>
      <c r="D70" s="204" t="s">
        <v>86</v>
      </c>
      <c r="E70" s="204" t="s">
        <v>11</v>
      </c>
      <c r="F70" s="204" t="s">
        <v>11</v>
      </c>
      <c r="G70" s="205">
        <f>G71+G76+G81+G101+G123+G119</f>
        <v>69835.3</v>
      </c>
      <c r="H70" s="205">
        <f>H71+H76+H81+H101+H124+H119</f>
        <v>941.2</v>
      </c>
      <c r="I70" s="205">
        <f>I71+I76+I81+I101+I123+I119</f>
        <v>70776.5</v>
      </c>
      <c r="J70" s="205">
        <f>J71+J76+J81+J101+J123</f>
        <v>100</v>
      </c>
      <c r="K70" s="202">
        <f>K71+K81</f>
        <v>0</v>
      </c>
      <c r="L70" s="205">
        <f>L71+L76+L81+L101+L123</f>
        <v>100</v>
      </c>
      <c r="M70" s="205">
        <f>M71+M76+M81+M101+M123+M119</f>
        <v>69935.3</v>
      </c>
      <c r="N70" s="205">
        <f>N71+N76+N81+N101+N123+N119</f>
        <v>941.2</v>
      </c>
      <c r="O70" s="227">
        <f>O71+O76+O81+O101+O123+O119</f>
        <v>70929.100000000006</v>
      </c>
      <c r="P70" s="227">
        <f>P71+P76+P81+P101+P123+P119</f>
        <v>68243.5</v>
      </c>
      <c r="Q70" s="199">
        <f>P70/O70*100</f>
        <v>96.213683805377471</v>
      </c>
      <c r="R70" s="200"/>
      <c r="S70" s="200"/>
    </row>
    <row r="71" spans="1:19" s="197" customFormat="1" ht="60.75" customHeight="1" x14ac:dyDescent="0.25">
      <c r="A71" s="285"/>
      <c r="B71" s="198" t="s">
        <v>87</v>
      </c>
      <c r="C71" s="198" t="s">
        <v>51</v>
      </c>
      <c r="D71" s="201" t="s">
        <v>86</v>
      </c>
      <c r="E71" s="201" t="s">
        <v>88</v>
      </c>
      <c r="F71" s="201" t="s">
        <v>11</v>
      </c>
      <c r="G71" s="202">
        <f t="shared" ref="G71:P74" si="11">G72</f>
        <v>330</v>
      </c>
      <c r="H71" s="202">
        <f t="shared" si="11"/>
        <v>0</v>
      </c>
      <c r="I71" s="202">
        <f t="shared" si="11"/>
        <v>330</v>
      </c>
      <c r="J71" s="202">
        <f t="shared" si="11"/>
        <v>0</v>
      </c>
      <c r="K71" s="202">
        <f>K72</f>
        <v>0</v>
      </c>
      <c r="L71" s="202">
        <f t="shared" si="11"/>
        <v>0</v>
      </c>
      <c r="M71" s="202">
        <f t="shared" si="11"/>
        <v>330</v>
      </c>
      <c r="N71" s="202">
        <f t="shared" si="11"/>
        <v>0</v>
      </c>
      <c r="O71" s="226">
        <f t="shared" si="11"/>
        <v>330</v>
      </c>
      <c r="P71" s="226">
        <f t="shared" si="11"/>
        <v>330</v>
      </c>
      <c r="Q71" s="199">
        <f t="shared" si="6"/>
        <v>100</v>
      </c>
      <c r="R71" s="200"/>
      <c r="S71" s="200"/>
    </row>
    <row r="72" spans="1:19" s="197" customFormat="1" ht="101.25" customHeight="1" x14ac:dyDescent="0.25">
      <c r="A72" s="285"/>
      <c r="B72" s="198" t="s">
        <v>89</v>
      </c>
      <c r="C72" s="198" t="s">
        <v>51</v>
      </c>
      <c r="D72" s="201" t="s">
        <v>86</v>
      </c>
      <c r="E72" s="201" t="s">
        <v>90</v>
      </c>
      <c r="F72" s="201" t="s">
        <v>11</v>
      </c>
      <c r="G72" s="202">
        <f t="shared" si="11"/>
        <v>330</v>
      </c>
      <c r="H72" s="202">
        <f t="shared" si="11"/>
        <v>0</v>
      </c>
      <c r="I72" s="202">
        <f t="shared" si="11"/>
        <v>330</v>
      </c>
      <c r="J72" s="202">
        <f t="shared" si="11"/>
        <v>0</v>
      </c>
      <c r="K72" s="202">
        <f>K73</f>
        <v>0</v>
      </c>
      <c r="L72" s="202">
        <f t="shared" si="11"/>
        <v>0</v>
      </c>
      <c r="M72" s="202">
        <f t="shared" si="11"/>
        <v>330</v>
      </c>
      <c r="N72" s="202">
        <f t="shared" si="11"/>
        <v>0</v>
      </c>
      <c r="O72" s="226">
        <f t="shared" si="11"/>
        <v>330</v>
      </c>
      <c r="P72" s="226">
        <f t="shared" si="11"/>
        <v>330</v>
      </c>
      <c r="Q72" s="199">
        <v>100</v>
      </c>
      <c r="R72" s="200"/>
      <c r="S72" s="200"/>
    </row>
    <row r="73" spans="1:19" s="197" customFormat="1" ht="140.25" customHeight="1" x14ac:dyDescent="0.25">
      <c r="A73" s="285"/>
      <c r="B73" s="198" t="s">
        <v>91</v>
      </c>
      <c r="C73" s="198" t="s">
        <v>51</v>
      </c>
      <c r="D73" s="201" t="s">
        <v>86</v>
      </c>
      <c r="E73" s="201" t="s">
        <v>92</v>
      </c>
      <c r="F73" s="201" t="s">
        <v>11</v>
      </c>
      <c r="G73" s="202">
        <f t="shared" si="11"/>
        <v>330</v>
      </c>
      <c r="H73" s="202">
        <f t="shared" si="11"/>
        <v>0</v>
      </c>
      <c r="I73" s="202">
        <f t="shared" si="11"/>
        <v>330</v>
      </c>
      <c r="J73" s="202">
        <f t="shared" si="11"/>
        <v>0</v>
      </c>
      <c r="K73" s="202">
        <f>K74</f>
        <v>0</v>
      </c>
      <c r="L73" s="202">
        <f t="shared" si="11"/>
        <v>0</v>
      </c>
      <c r="M73" s="202">
        <f t="shared" si="11"/>
        <v>330</v>
      </c>
      <c r="N73" s="202">
        <f t="shared" si="11"/>
        <v>0</v>
      </c>
      <c r="O73" s="226">
        <f t="shared" si="11"/>
        <v>330</v>
      </c>
      <c r="P73" s="226">
        <f t="shared" si="11"/>
        <v>330</v>
      </c>
      <c r="Q73" s="199">
        <v>100</v>
      </c>
      <c r="R73" s="200"/>
      <c r="S73" s="200"/>
    </row>
    <row r="74" spans="1:19" s="197" customFormat="1" ht="93" customHeight="1" x14ac:dyDescent="0.25">
      <c r="A74" s="285"/>
      <c r="B74" s="198" t="s">
        <v>93</v>
      </c>
      <c r="C74" s="198" t="s">
        <v>51</v>
      </c>
      <c r="D74" s="201" t="s">
        <v>86</v>
      </c>
      <c r="E74" s="201" t="s">
        <v>94</v>
      </c>
      <c r="F74" s="201" t="s">
        <v>11</v>
      </c>
      <c r="G74" s="202">
        <f>G75</f>
        <v>330</v>
      </c>
      <c r="H74" s="202">
        <f>H75</f>
        <v>0</v>
      </c>
      <c r="I74" s="202">
        <f>I75</f>
        <v>330</v>
      </c>
      <c r="J74" s="202">
        <f t="shared" si="11"/>
        <v>0</v>
      </c>
      <c r="K74" s="202"/>
      <c r="L74" s="202">
        <f t="shared" si="11"/>
        <v>0</v>
      </c>
      <c r="M74" s="202">
        <f t="shared" si="11"/>
        <v>330</v>
      </c>
      <c r="N74" s="202">
        <f t="shared" si="11"/>
        <v>0</v>
      </c>
      <c r="O74" s="226">
        <f t="shared" si="11"/>
        <v>330</v>
      </c>
      <c r="P74" s="226">
        <f t="shared" si="11"/>
        <v>330</v>
      </c>
      <c r="Q74" s="199">
        <f t="shared" si="6"/>
        <v>100</v>
      </c>
      <c r="R74" s="200"/>
      <c r="S74" s="200"/>
    </row>
    <row r="75" spans="1:19" s="197" customFormat="1" ht="78" customHeight="1" x14ac:dyDescent="0.25">
      <c r="A75" s="285"/>
      <c r="B75" s="198" t="s">
        <v>95</v>
      </c>
      <c r="C75" s="198" t="s">
        <v>51</v>
      </c>
      <c r="D75" s="201" t="s">
        <v>86</v>
      </c>
      <c r="E75" s="201" t="s">
        <v>94</v>
      </c>
      <c r="F75" s="201" t="s">
        <v>96</v>
      </c>
      <c r="G75" s="202">
        <v>330</v>
      </c>
      <c r="H75" s="202"/>
      <c r="I75" s="202">
        <f>G75+H75</f>
        <v>330</v>
      </c>
      <c r="J75" s="206"/>
      <c r="K75" s="202"/>
      <c r="L75" s="206"/>
      <c r="M75" s="202">
        <f>G75+J75</f>
        <v>330</v>
      </c>
      <c r="N75" s="202">
        <f>H75+K75</f>
        <v>0</v>
      </c>
      <c r="O75" s="226">
        <f>I75+L75</f>
        <v>330</v>
      </c>
      <c r="P75" s="226">
        <v>330</v>
      </c>
      <c r="Q75" s="199">
        <f t="shared" si="6"/>
        <v>100</v>
      </c>
      <c r="R75" s="200"/>
      <c r="S75" s="200"/>
    </row>
    <row r="76" spans="1:19" s="197" customFormat="1" ht="56.25" x14ac:dyDescent="0.25">
      <c r="A76" s="285"/>
      <c r="B76" s="198" t="s">
        <v>97</v>
      </c>
      <c r="C76" s="198" t="s">
        <v>51</v>
      </c>
      <c r="D76" s="201" t="s">
        <v>86</v>
      </c>
      <c r="E76" s="201" t="s">
        <v>98</v>
      </c>
      <c r="F76" s="201" t="s">
        <v>11</v>
      </c>
      <c r="G76" s="202">
        <f t="shared" ref="G76:O79" si="12">G77</f>
        <v>3500</v>
      </c>
      <c r="H76" s="202">
        <f t="shared" si="12"/>
        <v>0</v>
      </c>
      <c r="I76" s="202">
        <f t="shared" si="12"/>
        <v>3500</v>
      </c>
      <c r="J76" s="202">
        <f t="shared" si="12"/>
        <v>0</v>
      </c>
      <c r="K76" s="202">
        <f>K77</f>
        <v>0</v>
      </c>
      <c r="L76" s="202">
        <f t="shared" si="12"/>
        <v>0</v>
      </c>
      <c r="M76" s="202">
        <f t="shared" si="12"/>
        <v>3500</v>
      </c>
      <c r="N76" s="202">
        <f t="shared" si="12"/>
        <v>0</v>
      </c>
      <c r="O76" s="226">
        <f t="shared" si="12"/>
        <v>3500</v>
      </c>
      <c r="P76" s="226">
        <v>3107</v>
      </c>
      <c r="Q76" s="199">
        <f>SUM(P76/O76*100)</f>
        <v>88.771428571428572</v>
      </c>
      <c r="R76" s="200"/>
      <c r="S76" s="200"/>
    </row>
    <row r="77" spans="1:19" s="197" customFormat="1" ht="37.5" x14ac:dyDescent="0.25">
      <c r="A77" s="285"/>
      <c r="B77" s="198" t="s">
        <v>99</v>
      </c>
      <c r="C77" s="198" t="s">
        <v>51</v>
      </c>
      <c r="D77" s="201" t="s">
        <v>86</v>
      </c>
      <c r="E77" s="201" t="s">
        <v>100</v>
      </c>
      <c r="F77" s="201" t="s">
        <v>11</v>
      </c>
      <c r="G77" s="202">
        <f t="shared" si="12"/>
        <v>3500</v>
      </c>
      <c r="H77" s="202">
        <f t="shared" si="12"/>
        <v>0</v>
      </c>
      <c r="I77" s="202">
        <f t="shared" si="12"/>
        <v>3500</v>
      </c>
      <c r="J77" s="202">
        <f t="shared" si="12"/>
        <v>0</v>
      </c>
      <c r="K77" s="202">
        <f>K78</f>
        <v>0</v>
      </c>
      <c r="L77" s="202">
        <f t="shared" si="12"/>
        <v>0</v>
      </c>
      <c r="M77" s="202">
        <f t="shared" si="12"/>
        <v>3500</v>
      </c>
      <c r="N77" s="202">
        <f t="shared" si="12"/>
        <v>0</v>
      </c>
      <c r="O77" s="226">
        <f t="shared" si="12"/>
        <v>3500</v>
      </c>
      <c r="P77" s="226">
        <v>3107</v>
      </c>
      <c r="Q77" s="199">
        <f>SUM(P77/O77*100)</f>
        <v>88.771428571428572</v>
      </c>
      <c r="R77" s="200"/>
      <c r="S77" s="200"/>
    </row>
    <row r="78" spans="1:19" s="197" customFormat="1" ht="79.5" customHeight="1" x14ac:dyDescent="0.25">
      <c r="A78" s="285"/>
      <c r="B78" s="198" t="s">
        <v>101</v>
      </c>
      <c r="C78" s="198" t="s">
        <v>51</v>
      </c>
      <c r="D78" s="201" t="s">
        <v>86</v>
      </c>
      <c r="E78" s="201" t="s">
        <v>102</v>
      </c>
      <c r="F78" s="201" t="s">
        <v>11</v>
      </c>
      <c r="G78" s="202">
        <f t="shared" si="12"/>
        <v>3500</v>
      </c>
      <c r="H78" s="202">
        <f t="shared" si="12"/>
        <v>0</v>
      </c>
      <c r="I78" s="202">
        <f t="shared" si="12"/>
        <v>3500</v>
      </c>
      <c r="J78" s="202">
        <f t="shared" si="12"/>
        <v>0</v>
      </c>
      <c r="K78" s="202">
        <f>K79</f>
        <v>0</v>
      </c>
      <c r="L78" s="202">
        <f t="shared" si="12"/>
        <v>0</v>
      </c>
      <c r="M78" s="202">
        <f t="shared" si="12"/>
        <v>3500</v>
      </c>
      <c r="N78" s="202">
        <f t="shared" si="12"/>
        <v>0</v>
      </c>
      <c r="O78" s="226">
        <f t="shared" si="12"/>
        <v>3500</v>
      </c>
      <c r="P78" s="226">
        <v>3107</v>
      </c>
      <c r="Q78" s="199">
        <f>SUM(P78/O78*100)</f>
        <v>88.771428571428572</v>
      </c>
      <c r="R78" s="200"/>
      <c r="S78" s="200"/>
    </row>
    <row r="79" spans="1:19" s="197" customFormat="1" ht="36.6" customHeight="1" x14ac:dyDescent="0.25">
      <c r="A79" s="285"/>
      <c r="B79" s="198" t="s">
        <v>103</v>
      </c>
      <c r="C79" s="198" t="s">
        <v>51</v>
      </c>
      <c r="D79" s="201" t="s">
        <v>86</v>
      </c>
      <c r="E79" s="201" t="s">
        <v>104</v>
      </c>
      <c r="F79" s="201" t="s">
        <v>11</v>
      </c>
      <c r="G79" s="202">
        <f>G80</f>
        <v>3500</v>
      </c>
      <c r="H79" s="202"/>
      <c r="I79" s="202">
        <f>I80</f>
        <v>3500</v>
      </c>
      <c r="J79" s="202">
        <f t="shared" si="12"/>
        <v>0</v>
      </c>
      <c r="K79" s="202"/>
      <c r="L79" s="202">
        <f t="shared" si="12"/>
        <v>0</v>
      </c>
      <c r="M79" s="202">
        <f t="shared" si="12"/>
        <v>3500</v>
      </c>
      <c r="N79" s="202">
        <f t="shared" si="12"/>
        <v>0</v>
      </c>
      <c r="O79" s="226">
        <f t="shared" si="12"/>
        <v>3500</v>
      </c>
      <c r="P79" s="226">
        <v>3107</v>
      </c>
      <c r="Q79" s="199">
        <f>SUM(P79/O79*100)</f>
        <v>88.771428571428572</v>
      </c>
      <c r="R79" s="200"/>
      <c r="S79" s="200"/>
    </row>
    <row r="80" spans="1:19" s="197" customFormat="1" ht="75" x14ac:dyDescent="0.25">
      <c r="A80" s="285"/>
      <c r="B80" s="198" t="s">
        <v>40</v>
      </c>
      <c r="C80" s="198" t="s">
        <v>51</v>
      </c>
      <c r="D80" s="201" t="s">
        <v>86</v>
      </c>
      <c r="E80" s="201" t="s">
        <v>104</v>
      </c>
      <c r="F80" s="201" t="s">
        <v>41</v>
      </c>
      <c r="G80" s="202">
        <v>3500</v>
      </c>
      <c r="H80" s="202"/>
      <c r="I80" s="202">
        <v>3500</v>
      </c>
      <c r="J80" s="206">
        <v>0</v>
      </c>
      <c r="K80" s="202"/>
      <c r="L80" s="206">
        <v>0</v>
      </c>
      <c r="M80" s="202">
        <v>3500</v>
      </c>
      <c r="N80" s="202"/>
      <c r="O80" s="226">
        <v>3500</v>
      </c>
      <c r="P80" s="226">
        <v>3107</v>
      </c>
      <c r="Q80" s="199">
        <f>SUM(P80/O80*100)</f>
        <v>88.771428571428572</v>
      </c>
      <c r="R80" s="200"/>
      <c r="S80" s="200"/>
    </row>
    <row r="81" spans="1:19" s="197" customFormat="1" ht="98.25" customHeight="1" x14ac:dyDescent="0.25">
      <c r="A81" s="285"/>
      <c r="B81" s="198" t="s">
        <v>105</v>
      </c>
      <c r="C81" s="198" t="s">
        <v>51</v>
      </c>
      <c r="D81" s="201" t="s">
        <v>86</v>
      </c>
      <c r="E81" s="201" t="s">
        <v>106</v>
      </c>
      <c r="F81" s="201" t="s">
        <v>11</v>
      </c>
      <c r="G81" s="202">
        <f>G82+G89+G93</f>
        <v>7238.6</v>
      </c>
      <c r="H81" s="202">
        <f>H82+H93+H89</f>
        <v>2.3092638912203256E-14</v>
      </c>
      <c r="I81" s="202">
        <f>I82+I89+I93</f>
        <v>7238.6</v>
      </c>
      <c r="J81" s="202">
        <f>J82+J89+J93</f>
        <v>100</v>
      </c>
      <c r="K81" s="202">
        <f>K82+K93</f>
        <v>0</v>
      </c>
      <c r="L81" s="202">
        <f>L82+L89+L93</f>
        <v>100</v>
      </c>
      <c r="M81" s="202">
        <f>M82+M89+M93</f>
        <v>7338.6</v>
      </c>
      <c r="N81" s="202">
        <f>N82+N89+N93</f>
        <v>2.3092638912203256E-14</v>
      </c>
      <c r="O81" s="226">
        <f>O82+O89+O93</f>
        <v>7338.6</v>
      </c>
      <c r="P81" s="226">
        <f>P82+P89+P93</f>
        <v>7287.8000000000011</v>
      </c>
      <c r="Q81" s="199">
        <f t="shared" si="6"/>
        <v>96.213683805377471</v>
      </c>
      <c r="R81" s="200"/>
      <c r="S81" s="200"/>
    </row>
    <row r="82" spans="1:19" s="197" customFormat="1" ht="59.25" customHeight="1" x14ac:dyDescent="0.25">
      <c r="A82" s="285"/>
      <c r="B82" s="198" t="s">
        <v>107</v>
      </c>
      <c r="C82" s="198" t="s">
        <v>51</v>
      </c>
      <c r="D82" s="201" t="s">
        <v>86</v>
      </c>
      <c r="E82" s="201" t="s">
        <v>108</v>
      </c>
      <c r="F82" s="201" t="s">
        <v>11</v>
      </c>
      <c r="G82" s="202">
        <f>G83</f>
        <v>1978.6</v>
      </c>
      <c r="H82" s="202">
        <f>H83</f>
        <v>0</v>
      </c>
      <c r="I82" s="202">
        <f>I83</f>
        <v>1978.6</v>
      </c>
      <c r="J82" s="202">
        <f>J83</f>
        <v>0</v>
      </c>
      <c r="K82" s="202">
        <f>K83+K86</f>
        <v>0</v>
      </c>
      <c r="L82" s="202">
        <f>L83</f>
        <v>0</v>
      </c>
      <c r="M82" s="202">
        <f>M83</f>
        <v>1978.6</v>
      </c>
      <c r="N82" s="202">
        <f>N83</f>
        <v>0</v>
      </c>
      <c r="O82" s="226">
        <f>O83</f>
        <v>1978.6</v>
      </c>
      <c r="P82" s="226">
        <f>P83</f>
        <v>1978.6</v>
      </c>
      <c r="Q82" s="199">
        <f t="shared" si="6"/>
        <v>100</v>
      </c>
      <c r="R82" s="200"/>
      <c r="S82" s="200"/>
    </row>
    <row r="83" spans="1:19" s="197" customFormat="1" ht="75.75" customHeight="1" x14ac:dyDescent="0.25">
      <c r="A83" s="285"/>
      <c r="B83" s="198" t="s">
        <v>109</v>
      </c>
      <c r="C83" s="198" t="s">
        <v>51</v>
      </c>
      <c r="D83" s="201" t="s">
        <v>86</v>
      </c>
      <c r="E83" s="201" t="s">
        <v>110</v>
      </c>
      <c r="F83" s="201" t="s">
        <v>11</v>
      </c>
      <c r="G83" s="202">
        <f>G84+G87</f>
        <v>1978.6</v>
      </c>
      <c r="H83" s="202">
        <f>H84</f>
        <v>0</v>
      </c>
      <c r="I83" s="202">
        <f>I84+I87</f>
        <v>1978.6</v>
      </c>
      <c r="J83" s="202">
        <f>J84+J87</f>
        <v>0</v>
      </c>
      <c r="K83" s="202">
        <f>K84</f>
        <v>0</v>
      </c>
      <c r="L83" s="202">
        <f>L84+L87</f>
        <v>0</v>
      </c>
      <c r="M83" s="202">
        <f>M84+M87</f>
        <v>1978.6</v>
      </c>
      <c r="N83" s="202">
        <f>N84+N87</f>
        <v>0</v>
      </c>
      <c r="O83" s="226">
        <f>O84+O87</f>
        <v>1978.6</v>
      </c>
      <c r="P83" s="226">
        <f>P84+P87</f>
        <v>1978.6</v>
      </c>
      <c r="Q83" s="199">
        <f t="shared" si="6"/>
        <v>100</v>
      </c>
      <c r="R83" s="200"/>
      <c r="S83" s="200"/>
    </row>
    <row r="84" spans="1:19" s="197" customFormat="1" ht="58.5" customHeight="1" x14ac:dyDescent="0.25">
      <c r="A84" s="285"/>
      <c r="B84" s="198" t="s">
        <v>107</v>
      </c>
      <c r="C84" s="198" t="s">
        <v>51</v>
      </c>
      <c r="D84" s="201" t="s">
        <v>86</v>
      </c>
      <c r="E84" s="201" t="s">
        <v>111</v>
      </c>
      <c r="F84" s="201" t="s">
        <v>11</v>
      </c>
      <c r="G84" s="202">
        <f>G86+G85</f>
        <v>1968.6</v>
      </c>
      <c r="H84" s="202">
        <f>H86+H85</f>
        <v>0</v>
      </c>
      <c r="I84" s="202">
        <f>I86+I85</f>
        <v>1968.6</v>
      </c>
      <c r="J84" s="202">
        <f>J86</f>
        <v>0</v>
      </c>
      <c r="K84" s="202"/>
      <c r="L84" s="202">
        <f>L86</f>
        <v>0</v>
      </c>
      <c r="M84" s="202">
        <f>M86+M85</f>
        <v>1968.6</v>
      </c>
      <c r="N84" s="202">
        <f>N86+N85</f>
        <v>0</v>
      </c>
      <c r="O84" s="226">
        <f>O86+O85</f>
        <v>1968.6</v>
      </c>
      <c r="P84" s="226">
        <f>P86+P85</f>
        <v>1968.6</v>
      </c>
      <c r="Q84" s="199">
        <f t="shared" si="6"/>
        <v>100</v>
      </c>
      <c r="R84" s="200"/>
      <c r="S84" s="200"/>
    </row>
    <row r="85" spans="1:19" s="197" customFormat="1" ht="75" x14ac:dyDescent="0.25">
      <c r="A85" s="285"/>
      <c r="B85" s="198" t="s">
        <v>40</v>
      </c>
      <c r="C85" s="198" t="s">
        <v>51</v>
      </c>
      <c r="D85" s="201" t="s">
        <v>86</v>
      </c>
      <c r="E85" s="201" t="s">
        <v>111</v>
      </c>
      <c r="F85" s="201">
        <v>200</v>
      </c>
      <c r="G85" s="202">
        <v>348.6</v>
      </c>
      <c r="H85" s="202"/>
      <c r="I85" s="202">
        <f>SUM(G85)+H85</f>
        <v>348.6</v>
      </c>
      <c r="J85" s="202"/>
      <c r="K85" s="202"/>
      <c r="L85" s="202"/>
      <c r="M85" s="202">
        <f>SUM(G85)</f>
        <v>348.6</v>
      </c>
      <c r="N85" s="202">
        <f>SUM(H85)</f>
        <v>0</v>
      </c>
      <c r="O85" s="226">
        <f>SUM(I85)</f>
        <v>348.6</v>
      </c>
      <c r="P85" s="226">
        <v>348.6</v>
      </c>
      <c r="Q85" s="199">
        <f t="shared" si="6"/>
        <v>100</v>
      </c>
      <c r="R85" s="200"/>
      <c r="S85" s="200"/>
    </row>
    <row r="86" spans="1:19" s="197" customFormat="1" ht="40.5" customHeight="1" x14ac:dyDescent="0.25">
      <c r="A86" s="285"/>
      <c r="B86" s="198" t="s">
        <v>112</v>
      </c>
      <c r="C86" s="198" t="s">
        <v>51</v>
      </c>
      <c r="D86" s="201" t="s">
        <v>86</v>
      </c>
      <c r="E86" s="201" t="s">
        <v>111</v>
      </c>
      <c r="F86" s="201" t="s">
        <v>113</v>
      </c>
      <c r="G86" s="202">
        <v>1620</v>
      </c>
      <c r="H86" s="202"/>
      <c r="I86" s="202">
        <f>SUM(G86:H86)</f>
        <v>1620</v>
      </c>
      <c r="J86" s="206">
        <v>0</v>
      </c>
      <c r="K86" s="202"/>
      <c r="L86" s="206">
        <v>0</v>
      </c>
      <c r="M86" s="202">
        <f>SUM(G86)</f>
        <v>1620</v>
      </c>
      <c r="N86" s="202">
        <f>H86+K86</f>
        <v>0</v>
      </c>
      <c r="O86" s="226">
        <f>SUM(M86:N86)</f>
        <v>1620</v>
      </c>
      <c r="P86" s="226">
        <v>1620</v>
      </c>
      <c r="Q86" s="199">
        <f t="shared" si="6"/>
        <v>100</v>
      </c>
      <c r="R86" s="200"/>
      <c r="S86" s="200"/>
    </row>
    <row r="87" spans="1:19" s="197" customFormat="1" ht="79.5" customHeight="1" x14ac:dyDescent="0.25">
      <c r="A87" s="285"/>
      <c r="B87" s="198" t="s">
        <v>114</v>
      </c>
      <c r="C87" s="198" t="s">
        <v>51</v>
      </c>
      <c r="D87" s="201" t="s">
        <v>86</v>
      </c>
      <c r="E87" s="201" t="s">
        <v>115</v>
      </c>
      <c r="F87" s="201" t="s">
        <v>11</v>
      </c>
      <c r="G87" s="202">
        <f>G88</f>
        <v>10</v>
      </c>
      <c r="H87" s="202"/>
      <c r="I87" s="202">
        <f>I88</f>
        <v>10</v>
      </c>
      <c r="J87" s="202">
        <f>J88</f>
        <v>0</v>
      </c>
      <c r="K87" s="202"/>
      <c r="L87" s="202">
        <f>L88</f>
        <v>0</v>
      </c>
      <c r="M87" s="202">
        <f>M88</f>
        <v>10</v>
      </c>
      <c r="N87" s="202">
        <f>N88</f>
        <v>0</v>
      </c>
      <c r="O87" s="226">
        <f>O88</f>
        <v>10</v>
      </c>
      <c r="P87" s="226">
        <f>P88</f>
        <v>10</v>
      </c>
      <c r="Q87" s="199">
        <v>100</v>
      </c>
      <c r="R87" s="200"/>
      <c r="S87" s="200"/>
    </row>
    <row r="88" spans="1:19" s="197" customFormat="1" ht="40.5" customHeight="1" x14ac:dyDescent="0.25">
      <c r="A88" s="285"/>
      <c r="B88" s="198" t="s">
        <v>112</v>
      </c>
      <c r="C88" s="198" t="s">
        <v>51</v>
      </c>
      <c r="D88" s="201" t="s">
        <v>86</v>
      </c>
      <c r="E88" s="201" t="s">
        <v>115</v>
      </c>
      <c r="F88" s="201" t="s">
        <v>113</v>
      </c>
      <c r="G88" s="202">
        <v>10</v>
      </c>
      <c r="H88" s="202"/>
      <c r="I88" s="202">
        <v>10</v>
      </c>
      <c r="J88" s="206">
        <v>0</v>
      </c>
      <c r="K88" s="202"/>
      <c r="L88" s="206">
        <v>0</v>
      </c>
      <c r="M88" s="202">
        <v>10</v>
      </c>
      <c r="N88" s="202"/>
      <c r="O88" s="226">
        <v>10</v>
      </c>
      <c r="P88" s="226">
        <v>10</v>
      </c>
      <c r="Q88" s="199">
        <v>100</v>
      </c>
      <c r="R88" s="200"/>
      <c r="S88" s="200"/>
    </row>
    <row r="89" spans="1:19" s="197" customFormat="1" ht="75" x14ac:dyDescent="0.25">
      <c r="A89" s="285"/>
      <c r="B89" s="198" t="s">
        <v>116</v>
      </c>
      <c r="C89" s="198" t="s">
        <v>51</v>
      </c>
      <c r="D89" s="201" t="s">
        <v>86</v>
      </c>
      <c r="E89" s="201" t="s">
        <v>117</v>
      </c>
      <c r="F89" s="201" t="s">
        <v>11</v>
      </c>
      <c r="G89" s="202">
        <f t="shared" ref="G89:P91" si="13">G90</f>
        <v>150</v>
      </c>
      <c r="H89" s="202">
        <f t="shared" si="13"/>
        <v>0</v>
      </c>
      <c r="I89" s="202">
        <f t="shared" si="13"/>
        <v>150</v>
      </c>
      <c r="J89" s="202">
        <f t="shared" si="13"/>
        <v>0</v>
      </c>
      <c r="K89" s="202">
        <f>K90</f>
        <v>0</v>
      </c>
      <c r="L89" s="202">
        <f t="shared" si="13"/>
        <v>0</v>
      </c>
      <c r="M89" s="202">
        <f t="shared" si="13"/>
        <v>150</v>
      </c>
      <c r="N89" s="202">
        <f t="shared" si="13"/>
        <v>0</v>
      </c>
      <c r="O89" s="226">
        <f t="shared" si="13"/>
        <v>150</v>
      </c>
      <c r="P89" s="226">
        <f t="shared" si="13"/>
        <v>100</v>
      </c>
      <c r="Q89" s="199">
        <f>P89/O89*100</f>
        <v>66.666666666666657</v>
      </c>
      <c r="R89" s="200"/>
      <c r="S89" s="200"/>
    </row>
    <row r="90" spans="1:19" s="197" customFormat="1" ht="116.25" customHeight="1" x14ac:dyDescent="0.25">
      <c r="A90" s="285"/>
      <c r="B90" s="198" t="s">
        <v>118</v>
      </c>
      <c r="C90" s="198" t="s">
        <v>51</v>
      </c>
      <c r="D90" s="201" t="s">
        <v>86</v>
      </c>
      <c r="E90" s="201" t="s">
        <v>119</v>
      </c>
      <c r="F90" s="201" t="s">
        <v>11</v>
      </c>
      <c r="G90" s="202">
        <f t="shared" si="13"/>
        <v>150</v>
      </c>
      <c r="H90" s="202">
        <f t="shared" si="13"/>
        <v>0</v>
      </c>
      <c r="I90" s="202">
        <f t="shared" si="13"/>
        <v>150</v>
      </c>
      <c r="J90" s="202">
        <f t="shared" si="13"/>
        <v>0</v>
      </c>
      <c r="K90" s="202">
        <f>K91</f>
        <v>0</v>
      </c>
      <c r="L90" s="202">
        <f t="shared" si="13"/>
        <v>0</v>
      </c>
      <c r="M90" s="202">
        <f t="shared" si="13"/>
        <v>150</v>
      </c>
      <c r="N90" s="202">
        <f t="shared" si="13"/>
        <v>0</v>
      </c>
      <c r="O90" s="226">
        <f t="shared" si="13"/>
        <v>150</v>
      </c>
      <c r="P90" s="226">
        <f t="shared" si="13"/>
        <v>100</v>
      </c>
      <c r="Q90" s="199">
        <f t="shared" ref="Q90:Q92" si="14">P90/O90*100</f>
        <v>66.666666666666657</v>
      </c>
      <c r="R90" s="200"/>
      <c r="S90" s="200"/>
    </row>
    <row r="91" spans="1:19" s="197" customFormat="1" ht="93.75" x14ac:dyDescent="0.25">
      <c r="A91" s="285"/>
      <c r="B91" s="198" t="s">
        <v>120</v>
      </c>
      <c r="C91" s="198" t="s">
        <v>51</v>
      </c>
      <c r="D91" s="201" t="s">
        <v>86</v>
      </c>
      <c r="E91" s="201" t="s">
        <v>121</v>
      </c>
      <c r="F91" s="201" t="s">
        <v>11</v>
      </c>
      <c r="G91" s="202">
        <f>G92</f>
        <v>150</v>
      </c>
      <c r="H91" s="202"/>
      <c r="I91" s="202">
        <f>I92</f>
        <v>150</v>
      </c>
      <c r="J91" s="202">
        <f t="shared" si="13"/>
        <v>0</v>
      </c>
      <c r="K91" s="202"/>
      <c r="L91" s="202">
        <f t="shared" si="13"/>
        <v>0</v>
      </c>
      <c r="M91" s="202">
        <f t="shared" si="13"/>
        <v>150</v>
      </c>
      <c r="N91" s="202">
        <f t="shared" si="13"/>
        <v>0</v>
      </c>
      <c r="O91" s="226">
        <f t="shared" si="13"/>
        <v>150</v>
      </c>
      <c r="P91" s="226">
        <f t="shared" si="13"/>
        <v>100</v>
      </c>
      <c r="Q91" s="199">
        <f t="shared" si="14"/>
        <v>66.666666666666657</v>
      </c>
      <c r="R91" s="200"/>
      <c r="S91" s="200"/>
    </row>
    <row r="92" spans="1:19" s="197" customFormat="1" ht="75" x14ac:dyDescent="0.25">
      <c r="A92" s="285"/>
      <c r="B92" s="198" t="s">
        <v>40</v>
      </c>
      <c r="C92" s="198" t="s">
        <v>51</v>
      </c>
      <c r="D92" s="201" t="s">
        <v>86</v>
      </c>
      <c r="E92" s="201" t="s">
        <v>121</v>
      </c>
      <c r="F92" s="201" t="s">
        <v>41</v>
      </c>
      <c r="G92" s="202">
        <v>150</v>
      </c>
      <c r="H92" s="202"/>
      <c r="I92" s="202">
        <v>150</v>
      </c>
      <c r="J92" s="206">
        <v>0</v>
      </c>
      <c r="K92" s="202"/>
      <c r="L92" s="206">
        <v>0</v>
      </c>
      <c r="M92" s="202">
        <v>150</v>
      </c>
      <c r="N92" s="202"/>
      <c r="O92" s="226">
        <v>150</v>
      </c>
      <c r="P92" s="226">
        <v>100</v>
      </c>
      <c r="Q92" s="199">
        <f t="shared" si="14"/>
        <v>66.666666666666657</v>
      </c>
      <c r="R92" s="200"/>
      <c r="S92" s="200"/>
    </row>
    <row r="93" spans="1:19" s="197" customFormat="1" ht="60" customHeight="1" x14ac:dyDescent="0.25">
      <c r="A93" s="285"/>
      <c r="B93" s="198" t="s">
        <v>122</v>
      </c>
      <c r="C93" s="198" t="s">
        <v>51</v>
      </c>
      <c r="D93" s="201" t="s">
        <v>86</v>
      </c>
      <c r="E93" s="201" t="s">
        <v>123</v>
      </c>
      <c r="F93" s="201" t="s">
        <v>11</v>
      </c>
      <c r="G93" s="202">
        <f t="shared" ref="G93:P94" si="15">G94</f>
        <v>5110</v>
      </c>
      <c r="H93" s="202">
        <f t="shared" si="15"/>
        <v>2.3092638912203256E-14</v>
      </c>
      <c r="I93" s="202">
        <f t="shared" si="15"/>
        <v>5110.0000000000009</v>
      </c>
      <c r="J93" s="202">
        <f t="shared" ref="J93:P93" si="16">J94+J98</f>
        <v>100</v>
      </c>
      <c r="K93" s="202">
        <f t="shared" si="16"/>
        <v>0</v>
      </c>
      <c r="L93" s="202">
        <f t="shared" si="16"/>
        <v>100</v>
      </c>
      <c r="M93" s="202">
        <f t="shared" si="16"/>
        <v>5210</v>
      </c>
      <c r="N93" s="202">
        <f t="shared" si="16"/>
        <v>2.3092638912203256E-14</v>
      </c>
      <c r="O93" s="226">
        <f t="shared" si="16"/>
        <v>5210.0000000000009</v>
      </c>
      <c r="P93" s="226">
        <f t="shared" si="16"/>
        <v>5209.2000000000007</v>
      </c>
      <c r="Q93" s="199">
        <f t="shared" si="6"/>
        <v>100</v>
      </c>
      <c r="R93" s="200"/>
      <c r="S93" s="200"/>
    </row>
    <row r="94" spans="1:19" s="197" customFormat="1" ht="210.75" customHeight="1" x14ac:dyDescent="0.25">
      <c r="A94" s="285"/>
      <c r="B94" s="198" t="s">
        <v>124</v>
      </c>
      <c r="C94" s="198" t="s">
        <v>51</v>
      </c>
      <c r="D94" s="201" t="s">
        <v>86</v>
      </c>
      <c r="E94" s="201" t="s">
        <v>125</v>
      </c>
      <c r="F94" s="201" t="s">
        <v>11</v>
      </c>
      <c r="G94" s="202">
        <f t="shared" si="15"/>
        <v>5110</v>
      </c>
      <c r="H94" s="202">
        <f>H95</f>
        <v>2.3092638912203256E-14</v>
      </c>
      <c r="I94" s="202">
        <f t="shared" si="15"/>
        <v>5110.0000000000009</v>
      </c>
      <c r="J94" s="202">
        <f t="shared" si="15"/>
        <v>0</v>
      </c>
      <c r="K94" s="202">
        <f>K95+K96</f>
        <v>0</v>
      </c>
      <c r="L94" s="202">
        <f t="shared" si="15"/>
        <v>0</v>
      </c>
      <c r="M94" s="202">
        <f t="shared" si="15"/>
        <v>5110</v>
      </c>
      <c r="N94" s="202">
        <f t="shared" si="15"/>
        <v>2.3092638912203256E-14</v>
      </c>
      <c r="O94" s="226">
        <f t="shared" si="15"/>
        <v>5110.0000000000009</v>
      </c>
      <c r="P94" s="226">
        <f t="shared" si="15"/>
        <v>5109.2000000000007</v>
      </c>
      <c r="Q94" s="199">
        <f t="shared" si="6"/>
        <v>100</v>
      </c>
      <c r="R94" s="200"/>
      <c r="S94" s="200"/>
    </row>
    <row r="95" spans="1:19" s="197" customFormat="1" ht="78" customHeight="1" x14ac:dyDescent="0.25">
      <c r="A95" s="285"/>
      <c r="B95" s="198" t="s">
        <v>126</v>
      </c>
      <c r="C95" s="198" t="s">
        <v>51</v>
      </c>
      <c r="D95" s="201" t="s">
        <v>86</v>
      </c>
      <c r="E95" s="201" t="s">
        <v>127</v>
      </c>
      <c r="F95" s="201" t="s">
        <v>11</v>
      </c>
      <c r="G95" s="202">
        <f>G96+G97</f>
        <v>5110</v>
      </c>
      <c r="H95" s="202">
        <f>H96+H97</f>
        <v>2.3092638912203256E-14</v>
      </c>
      <c r="I95" s="202">
        <f>I96+I97</f>
        <v>5110.0000000000009</v>
      </c>
      <c r="J95" s="202">
        <f>J96+J97</f>
        <v>0</v>
      </c>
      <c r="K95" s="202"/>
      <c r="L95" s="202">
        <f>L96+L97</f>
        <v>0</v>
      </c>
      <c r="M95" s="202">
        <f>M96+M97</f>
        <v>5110</v>
      </c>
      <c r="N95" s="202">
        <f>N96+N97</f>
        <v>2.3092638912203256E-14</v>
      </c>
      <c r="O95" s="226">
        <f>O96+O97</f>
        <v>5110.0000000000009</v>
      </c>
      <c r="P95" s="226">
        <f>P96+P97</f>
        <v>5109.2000000000007</v>
      </c>
      <c r="Q95" s="199">
        <f t="shared" si="6"/>
        <v>100</v>
      </c>
      <c r="R95" s="200"/>
      <c r="S95" s="200"/>
    </row>
    <row r="96" spans="1:19" s="197" customFormat="1" ht="75" x14ac:dyDescent="0.25">
      <c r="A96" s="285"/>
      <c r="B96" s="198" t="s">
        <v>40</v>
      </c>
      <c r="C96" s="198" t="s">
        <v>51</v>
      </c>
      <c r="D96" s="201" t="s">
        <v>86</v>
      </c>
      <c r="E96" s="201" t="s">
        <v>127</v>
      </c>
      <c r="F96" s="201" t="s">
        <v>41</v>
      </c>
      <c r="G96" s="202">
        <v>5046.8</v>
      </c>
      <c r="H96" s="202">
        <f>13.6-500+50+450</f>
        <v>13.600000000000023</v>
      </c>
      <c r="I96" s="202">
        <f>SUM(G96:H96)</f>
        <v>5060.4000000000005</v>
      </c>
      <c r="J96" s="206">
        <v>0</v>
      </c>
      <c r="K96" s="202"/>
      <c r="L96" s="206">
        <v>0</v>
      </c>
      <c r="M96" s="202">
        <f>SUM(G96)</f>
        <v>5046.8</v>
      </c>
      <c r="N96" s="202">
        <f>SUM(H96)</f>
        <v>13.600000000000023</v>
      </c>
      <c r="O96" s="226">
        <f>SUM(I96)</f>
        <v>5060.4000000000005</v>
      </c>
      <c r="P96" s="226">
        <v>5059.6000000000004</v>
      </c>
      <c r="Q96" s="199">
        <f t="shared" si="6"/>
        <v>100</v>
      </c>
      <c r="R96" s="200"/>
      <c r="S96" s="200"/>
    </row>
    <row r="97" spans="1:19" s="197" customFormat="1" ht="22.5" customHeight="1" x14ac:dyDescent="0.25">
      <c r="A97" s="285"/>
      <c r="B97" s="198" t="s">
        <v>70</v>
      </c>
      <c r="C97" s="198" t="s">
        <v>51</v>
      </c>
      <c r="D97" s="201" t="s">
        <v>86</v>
      </c>
      <c r="E97" s="201" t="s">
        <v>127</v>
      </c>
      <c r="F97" s="201" t="s">
        <v>71</v>
      </c>
      <c r="G97" s="202">
        <v>63.2</v>
      </c>
      <c r="H97" s="202">
        <v>-13.6</v>
      </c>
      <c r="I97" s="202">
        <f>63.2+H97</f>
        <v>49.6</v>
      </c>
      <c r="J97" s="206">
        <v>0</v>
      </c>
      <c r="K97" s="202"/>
      <c r="L97" s="206">
        <v>0</v>
      </c>
      <c r="M97" s="202">
        <v>63.2</v>
      </c>
      <c r="N97" s="202">
        <f>SUM(H97)</f>
        <v>-13.6</v>
      </c>
      <c r="O97" s="226">
        <f>63.2+N97</f>
        <v>49.6</v>
      </c>
      <c r="P97" s="226">
        <v>49.6</v>
      </c>
      <c r="Q97" s="199">
        <f t="shared" si="6"/>
        <v>100</v>
      </c>
      <c r="R97" s="200"/>
      <c r="S97" s="200"/>
    </row>
    <row r="98" spans="1:19" s="197" customFormat="1" ht="94.5" customHeight="1" x14ac:dyDescent="0.25">
      <c r="A98" s="285"/>
      <c r="B98" s="198" t="s">
        <v>564</v>
      </c>
      <c r="C98" s="208">
        <v>992</v>
      </c>
      <c r="D98" s="201" t="s">
        <v>86</v>
      </c>
      <c r="E98" s="201">
        <v>1030200000</v>
      </c>
      <c r="F98" s="201"/>
      <c r="G98" s="202"/>
      <c r="H98" s="202"/>
      <c r="I98" s="202"/>
      <c r="J98" s="206">
        <f t="shared" ref="J98:L99" si="17">SUM(J99)</f>
        <v>100</v>
      </c>
      <c r="K98" s="202">
        <f t="shared" si="17"/>
        <v>0</v>
      </c>
      <c r="L98" s="202">
        <f t="shared" si="17"/>
        <v>100</v>
      </c>
      <c r="M98" s="202">
        <f>SUM(J98)</f>
        <v>100</v>
      </c>
      <c r="N98" s="202">
        <f t="shared" ref="N98:P100" si="18">SUM(K98)</f>
        <v>0</v>
      </c>
      <c r="O98" s="226">
        <f t="shared" si="18"/>
        <v>100</v>
      </c>
      <c r="P98" s="226">
        <f t="shared" si="18"/>
        <v>100</v>
      </c>
      <c r="Q98" s="199">
        <f t="shared" si="6"/>
        <v>100</v>
      </c>
      <c r="R98" s="200"/>
      <c r="S98" s="200"/>
    </row>
    <row r="99" spans="1:19" s="197" customFormat="1" ht="95.25" customHeight="1" x14ac:dyDescent="0.25">
      <c r="A99" s="285"/>
      <c r="B99" s="198" t="s">
        <v>565</v>
      </c>
      <c r="C99" s="208">
        <v>992</v>
      </c>
      <c r="D99" s="201" t="s">
        <v>86</v>
      </c>
      <c r="E99" s="201">
        <v>1030222500</v>
      </c>
      <c r="F99" s="201"/>
      <c r="G99" s="202"/>
      <c r="H99" s="202"/>
      <c r="I99" s="202"/>
      <c r="J99" s="206">
        <f t="shared" si="17"/>
        <v>100</v>
      </c>
      <c r="K99" s="202">
        <f t="shared" si="17"/>
        <v>0</v>
      </c>
      <c r="L99" s="202">
        <f t="shared" si="17"/>
        <v>100</v>
      </c>
      <c r="M99" s="202">
        <f>SUM(J99)</f>
        <v>100</v>
      </c>
      <c r="N99" s="202">
        <f t="shared" si="18"/>
        <v>0</v>
      </c>
      <c r="O99" s="226">
        <f t="shared" si="18"/>
        <v>100</v>
      </c>
      <c r="P99" s="226">
        <f t="shared" si="18"/>
        <v>100</v>
      </c>
      <c r="Q99" s="199">
        <f t="shared" si="6"/>
        <v>100</v>
      </c>
      <c r="R99" s="200"/>
      <c r="S99" s="200"/>
    </row>
    <row r="100" spans="1:19" s="197" customFormat="1" ht="75" x14ac:dyDescent="0.25">
      <c r="A100" s="285"/>
      <c r="B100" s="198" t="s">
        <v>40</v>
      </c>
      <c r="C100" s="208">
        <v>992</v>
      </c>
      <c r="D100" s="201" t="s">
        <v>86</v>
      </c>
      <c r="E100" s="201">
        <v>1030222500</v>
      </c>
      <c r="F100" s="201">
        <v>200</v>
      </c>
      <c r="G100" s="202"/>
      <c r="H100" s="202"/>
      <c r="I100" s="202"/>
      <c r="J100" s="206">
        <v>100</v>
      </c>
      <c r="K100" s="202"/>
      <c r="L100" s="206">
        <f>SUM(J100)</f>
        <v>100</v>
      </c>
      <c r="M100" s="202">
        <f>SUM(J100)</f>
        <v>100</v>
      </c>
      <c r="N100" s="202">
        <f t="shared" si="18"/>
        <v>0</v>
      </c>
      <c r="O100" s="226">
        <f t="shared" si="18"/>
        <v>100</v>
      </c>
      <c r="P100" s="226">
        <v>100</v>
      </c>
      <c r="Q100" s="199">
        <f>P100/106*100</f>
        <v>94.339622641509436</v>
      </c>
      <c r="R100" s="200"/>
      <c r="S100" s="200"/>
    </row>
    <row r="101" spans="1:19" s="197" customFormat="1" ht="61.5" customHeight="1" x14ac:dyDescent="0.25">
      <c r="A101" s="285"/>
      <c r="B101" s="198" t="s">
        <v>128</v>
      </c>
      <c r="C101" s="198" t="s">
        <v>51</v>
      </c>
      <c r="D101" s="201" t="s">
        <v>86</v>
      </c>
      <c r="E101" s="201" t="s">
        <v>129</v>
      </c>
      <c r="F101" s="201" t="s">
        <v>11</v>
      </c>
      <c r="G101" s="202">
        <f>G102+G115</f>
        <v>56516.799999999996</v>
      </c>
      <c r="H101" s="202">
        <f>H102+H115</f>
        <v>372</v>
      </c>
      <c r="I101" s="202">
        <f>I102+I115</f>
        <v>56888.799999999996</v>
      </c>
      <c r="J101" s="202">
        <f>J102+J115</f>
        <v>0</v>
      </c>
      <c r="K101" s="202">
        <f>K102+K107</f>
        <v>0</v>
      </c>
      <c r="L101" s="202">
        <f>L102+L115</f>
        <v>0</v>
      </c>
      <c r="M101" s="202">
        <f>M102+M115</f>
        <v>56516.799999999996</v>
      </c>
      <c r="N101" s="202">
        <f>N102+N115</f>
        <v>372</v>
      </c>
      <c r="O101" s="226">
        <f>O102+O115</f>
        <v>56888.799999999996</v>
      </c>
      <c r="P101" s="226">
        <f>P102+P115</f>
        <v>54652.099999999991</v>
      </c>
      <c r="Q101" s="199">
        <f>P101/O101*100</f>
        <v>96.068294637960364</v>
      </c>
      <c r="R101" s="200"/>
      <c r="S101" s="200"/>
    </row>
    <row r="102" spans="1:19" s="197" customFormat="1" ht="40.5" customHeight="1" x14ac:dyDescent="0.25">
      <c r="A102" s="285"/>
      <c r="B102" s="198" t="s">
        <v>130</v>
      </c>
      <c r="C102" s="198" t="s">
        <v>51</v>
      </c>
      <c r="D102" s="201" t="s">
        <v>86</v>
      </c>
      <c r="E102" s="201" t="s">
        <v>131</v>
      </c>
      <c r="F102" s="201" t="s">
        <v>11</v>
      </c>
      <c r="G102" s="202">
        <f>G103+G108</f>
        <v>56502.1</v>
      </c>
      <c r="H102" s="202">
        <f>H103+H108</f>
        <v>372</v>
      </c>
      <c r="I102" s="202">
        <f>I103+I108</f>
        <v>56874.1</v>
      </c>
      <c r="J102" s="202">
        <f>J103+J108</f>
        <v>0</v>
      </c>
      <c r="K102" s="202">
        <f>K103</f>
        <v>0</v>
      </c>
      <c r="L102" s="202">
        <f>L103+L108</f>
        <v>0</v>
      </c>
      <c r="M102" s="202">
        <f>M103+M108</f>
        <v>56502.1</v>
      </c>
      <c r="N102" s="202">
        <f>N103+N108</f>
        <v>372</v>
      </c>
      <c r="O102" s="226">
        <f>O103+O108</f>
        <v>56874.1</v>
      </c>
      <c r="P102" s="226">
        <f>P103+P108</f>
        <v>54637.399999999994</v>
      </c>
      <c r="Q102" s="199">
        <f>P102/O102*100</f>
        <v>96.06727842726302</v>
      </c>
      <c r="R102" s="200"/>
      <c r="S102" s="200"/>
    </row>
    <row r="103" spans="1:19" s="197" customFormat="1" ht="37.5" customHeight="1" x14ac:dyDescent="0.25">
      <c r="A103" s="285"/>
      <c r="B103" s="198" t="s">
        <v>132</v>
      </c>
      <c r="C103" s="198" t="s">
        <v>51</v>
      </c>
      <c r="D103" s="201" t="s">
        <v>86</v>
      </c>
      <c r="E103" s="201" t="s">
        <v>133</v>
      </c>
      <c r="F103" s="201" t="s">
        <v>11</v>
      </c>
      <c r="G103" s="202">
        <f>G104</f>
        <v>42575.5</v>
      </c>
      <c r="H103" s="202">
        <f>SUM(H104)</f>
        <v>0</v>
      </c>
      <c r="I103" s="202">
        <f>I104</f>
        <v>42575.5</v>
      </c>
      <c r="J103" s="202">
        <f>J104</f>
        <v>0</v>
      </c>
      <c r="K103" s="202">
        <f>K104+K105+K106</f>
        <v>0</v>
      </c>
      <c r="L103" s="202">
        <f>L104</f>
        <v>0</v>
      </c>
      <c r="M103" s="202">
        <f>M104</f>
        <v>42575.5</v>
      </c>
      <c r="N103" s="202">
        <f>N104</f>
        <v>0</v>
      </c>
      <c r="O103" s="226">
        <f>O104</f>
        <v>42575.5</v>
      </c>
      <c r="P103" s="226">
        <f>P104</f>
        <v>40443.699999999997</v>
      </c>
      <c r="Q103" s="199">
        <f>P103/O103*100</f>
        <v>94.992894974809445</v>
      </c>
      <c r="R103" s="200"/>
      <c r="S103" s="200"/>
    </row>
    <row r="104" spans="1:19" s="197" customFormat="1" ht="56.25" x14ac:dyDescent="0.25">
      <c r="A104" s="285"/>
      <c r="B104" s="198" t="s">
        <v>134</v>
      </c>
      <c r="C104" s="198" t="s">
        <v>51</v>
      </c>
      <c r="D104" s="201" t="s">
        <v>86</v>
      </c>
      <c r="E104" s="201" t="s">
        <v>135</v>
      </c>
      <c r="F104" s="201" t="s">
        <v>11</v>
      </c>
      <c r="G104" s="202">
        <f>G105+G106+G107</f>
        <v>42575.5</v>
      </c>
      <c r="H104" s="202">
        <f>SUM(H105:H107)</f>
        <v>0</v>
      </c>
      <c r="I104" s="202">
        <f>I105+I106+I107</f>
        <v>42575.5</v>
      </c>
      <c r="J104" s="202">
        <f>J105+J106+J107</f>
        <v>0</v>
      </c>
      <c r="K104" s="202"/>
      <c r="L104" s="202">
        <f>L105+L106+L107</f>
        <v>0</v>
      </c>
      <c r="M104" s="202">
        <f>M105+M106+M107</f>
        <v>42575.5</v>
      </c>
      <c r="N104" s="202">
        <f>N105+N106+N107</f>
        <v>0</v>
      </c>
      <c r="O104" s="226">
        <f>O105+O106+O107</f>
        <v>42575.5</v>
      </c>
      <c r="P104" s="226">
        <f>P105+P106+P107</f>
        <v>40443.699999999997</v>
      </c>
      <c r="Q104" s="199">
        <f t="shared" ref="Q104:Q137" si="19">P104/O104*100</f>
        <v>94.992894974809445</v>
      </c>
      <c r="R104" s="200"/>
      <c r="S104" s="200"/>
    </row>
    <row r="105" spans="1:19" s="197" customFormat="1" ht="37.9" customHeight="1" x14ac:dyDescent="0.25">
      <c r="A105" s="285"/>
      <c r="B105" s="198" t="s">
        <v>61</v>
      </c>
      <c r="C105" s="198" t="s">
        <v>51</v>
      </c>
      <c r="D105" s="201" t="s">
        <v>86</v>
      </c>
      <c r="E105" s="201" t="s">
        <v>135</v>
      </c>
      <c r="F105" s="201" t="s">
        <v>62</v>
      </c>
      <c r="G105" s="202">
        <v>27844.5</v>
      </c>
      <c r="H105" s="202"/>
      <c r="I105" s="202">
        <f>SUM(G105)+H105</f>
        <v>27844.5</v>
      </c>
      <c r="J105" s="206">
        <v>0</v>
      </c>
      <c r="K105" s="202"/>
      <c r="L105" s="206">
        <v>0</v>
      </c>
      <c r="M105" s="202">
        <f t="shared" ref="M105:O106" si="20">SUM(G105)</f>
        <v>27844.5</v>
      </c>
      <c r="N105" s="202">
        <f t="shared" si="20"/>
        <v>0</v>
      </c>
      <c r="O105" s="226">
        <f t="shared" si="20"/>
        <v>27844.5</v>
      </c>
      <c r="P105" s="226">
        <v>27862.3</v>
      </c>
      <c r="Q105" s="199">
        <f t="shared" si="19"/>
        <v>100.06392644867029</v>
      </c>
      <c r="R105" s="200"/>
      <c r="S105" s="200"/>
    </row>
    <row r="106" spans="1:19" s="197" customFormat="1" ht="75" x14ac:dyDescent="0.25">
      <c r="A106" s="285"/>
      <c r="B106" s="198" t="s">
        <v>40</v>
      </c>
      <c r="C106" s="198" t="s">
        <v>51</v>
      </c>
      <c r="D106" s="201" t="s">
        <v>86</v>
      </c>
      <c r="E106" s="201" t="s">
        <v>135</v>
      </c>
      <c r="F106" s="201" t="s">
        <v>41</v>
      </c>
      <c r="G106" s="202">
        <v>14653.6</v>
      </c>
      <c r="H106" s="202"/>
      <c r="I106" s="202">
        <f>SUM(G106)+H106</f>
        <v>14653.6</v>
      </c>
      <c r="J106" s="206">
        <v>0</v>
      </c>
      <c r="K106" s="202"/>
      <c r="L106" s="206">
        <v>0</v>
      </c>
      <c r="M106" s="202">
        <f t="shared" si="20"/>
        <v>14653.6</v>
      </c>
      <c r="N106" s="202">
        <f t="shared" si="20"/>
        <v>0</v>
      </c>
      <c r="O106" s="226">
        <f t="shared" si="20"/>
        <v>14653.6</v>
      </c>
      <c r="P106" s="226">
        <v>12533.8</v>
      </c>
      <c r="Q106" s="199">
        <f t="shared" si="19"/>
        <v>85.533930228749242</v>
      </c>
      <c r="R106" s="200"/>
      <c r="S106" s="200"/>
    </row>
    <row r="107" spans="1:19" s="197" customFormat="1" ht="24.75" customHeight="1" x14ac:dyDescent="0.25">
      <c r="A107" s="285"/>
      <c r="B107" s="198" t="s">
        <v>70</v>
      </c>
      <c r="C107" s="198" t="s">
        <v>51</v>
      </c>
      <c r="D107" s="201" t="s">
        <v>86</v>
      </c>
      <c r="E107" s="201" t="s">
        <v>135</v>
      </c>
      <c r="F107" s="201" t="s">
        <v>71</v>
      </c>
      <c r="G107" s="202">
        <v>77.400000000000006</v>
      </c>
      <c r="H107" s="202"/>
      <c r="I107" s="202">
        <v>77.400000000000006</v>
      </c>
      <c r="J107" s="206">
        <v>0</v>
      </c>
      <c r="K107" s="202"/>
      <c r="L107" s="206">
        <v>0</v>
      </c>
      <c r="M107" s="202">
        <v>77.400000000000006</v>
      </c>
      <c r="N107" s="202"/>
      <c r="O107" s="226">
        <v>77.400000000000006</v>
      </c>
      <c r="P107" s="226">
        <v>47.6</v>
      </c>
      <c r="Q107" s="199">
        <f t="shared" si="19"/>
        <v>61.498708010335911</v>
      </c>
      <c r="R107" s="200"/>
      <c r="S107" s="200"/>
    </row>
    <row r="108" spans="1:19" s="197" customFormat="1" ht="75.75" customHeight="1" x14ac:dyDescent="0.25">
      <c r="A108" s="285"/>
      <c r="B108" s="198" t="s">
        <v>136</v>
      </c>
      <c r="C108" s="198" t="s">
        <v>51</v>
      </c>
      <c r="D108" s="201" t="s">
        <v>86</v>
      </c>
      <c r="E108" s="201" t="s">
        <v>137</v>
      </c>
      <c r="F108" s="201" t="s">
        <v>11</v>
      </c>
      <c r="G108" s="202">
        <f>G109+G112</f>
        <v>13926.6</v>
      </c>
      <c r="H108" s="202">
        <f>H109+H112</f>
        <v>372</v>
      </c>
      <c r="I108" s="202">
        <f>I109+I112</f>
        <v>14298.6</v>
      </c>
      <c r="J108" s="202">
        <f>J109+J112</f>
        <v>0</v>
      </c>
      <c r="K108" s="202">
        <f>K109+K110</f>
        <v>0</v>
      </c>
      <c r="L108" s="202">
        <f>L109+L112</f>
        <v>0</v>
      </c>
      <c r="M108" s="202">
        <f>M109+M112</f>
        <v>13926.6</v>
      </c>
      <c r="N108" s="202">
        <f>N109+N112</f>
        <v>372</v>
      </c>
      <c r="O108" s="226">
        <f>O109+O112</f>
        <v>14298.6</v>
      </c>
      <c r="P108" s="226">
        <f>P109+P112</f>
        <v>14193.7</v>
      </c>
      <c r="Q108" s="199">
        <f t="shared" si="19"/>
        <v>99.266361741708991</v>
      </c>
      <c r="R108" s="200"/>
      <c r="S108" s="200"/>
    </row>
    <row r="109" spans="1:19" s="197" customFormat="1" ht="56.25" x14ac:dyDescent="0.25">
      <c r="A109" s="285"/>
      <c r="B109" s="198" t="s">
        <v>134</v>
      </c>
      <c r="C109" s="198" t="s">
        <v>51</v>
      </c>
      <c r="D109" s="201" t="s">
        <v>86</v>
      </c>
      <c r="E109" s="201" t="s">
        <v>138</v>
      </c>
      <c r="F109" s="201" t="s">
        <v>11</v>
      </c>
      <c r="G109" s="202">
        <f>G110+G111</f>
        <v>10245</v>
      </c>
      <c r="H109" s="202">
        <f>SUM(H110)+H111</f>
        <v>170.6</v>
      </c>
      <c r="I109" s="202">
        <f>I110+I111</f>
        <v>10415.6</v>
      </c>
      <c r="J109" s="202">
        <f>J110+J111</f>
        <v>0</v>
      </c>
      <c r="K109" s="202"/>
      <c r="L109" s="202">
        <f>L110+L111</f>
        <v>0</v>
      </c>
      <c r="M109" s="202">
        <f>M110+M111</f>
        <v>10245</v>
      </c>
      <c r="N109" s="202">
        <f>SUM(N110)+N111</f>
        <v>170.6</v>
      </c>
      <c r="O109" s="226">
        <f>O110+O111</f>
        <v>10415.6</v>
      </c>
      <c r="P109" s="226">
        <f>P110+P111</f>
        <v>10384</v>
      </c>
      <c r="Q109" s="199">
        <f t="shared" si="19"/>
        <v>99.696608932754714</v>
      </c>
      <c r="R109" s="200"/>
      <c r="S109" s="200"/>
    </row>
    <row r="110" spans="1:19" s="197" customFormat="1" ht="151.5" customHeight="1" x14ac:dyDescent="0.25">
      <c r="A110" s="285"/>
      <c r="B110" s="198" t="s">
        <v>61</v>
      </c>
      <c r="C110" s="198" t="s">
        <v>51</v>
      </c>
      <c r="D110" s="201" t="s">
        <v>86</v>
      </c>
      <c r="E110" s="201" t="s">
        <v>138</v>
      </c>
      <c r="F110" s="201" t="s">
        <v>62</v>
      </c>
      <c r="G110" s="202">
        <v>9545</v>
      </c>
      <c r="H110" s="202">
        <v>-10.1</v>
      </c>
      <c r="I110" s="202">
        <f>SUM(G110)+H110</f>
        <v>9534.9</v>
      </c>
      <c r="J110" s="206">
        <v>0</v>
      </c>
      <c r="K110" s="202"/>
      <c r="L110" s="206">
        <v>0</v>
      </c>
      <c r="M110" s="202">
        <f>SUM(G110)</f>
        <v>9545</v>
      </c>
      <c r="N110" s="202">
        <f>SUM(H110)</f>
        <v>-10.1</v>
      </c>
      <c r="O110" s="226">
        <f>SUM(I110)</f>
        <v>9534.9</v>
      </c>
      <c r="P110" s="226">
        <v>9504</v>
      </c>
      <c r="Q110" s="199">
        <f t="shared" si="19"/>
        <v>99.675927382563017</v>
      </c>
      <c r="R110" s="200"/>
      <c r="S110" s="200"/>
    </row>
    <row r="111" spans="1:19" s="197" customFormat="1" ht="75" x14ac:dyDescent="0.25">
      <c r="A111" s="285"/>
      <c r="B111" s="198" t="s">
        <v>40</v>
      </c>
      <c r="C111" s="198" t="s">
        <v>51</v>
      </c>
      <c r="D111" s="201" t="s">
        <v>86</v>
      </c>
      <c r="E111" s="201" t="s">
        <v>138</v>
      </c>
      <c r="F111" s="201" t="s">
        <v>41</v>
      </c>
      <c r="G111" s="202">
        <v>700</v>
      </c>
      <c r="H111" s="202">
        <f>10.1+120.6+50</f>
        <v>180.7</v>
      </c>
      <c r="I111" s="202">
        <f>700+H111</f>
        <v>880.7</v>
      </c>
      <c r="J111" s="206">
        <v>0</v>
      </c>
      <c r="K111" s="202"/>
      <c r="L111" s="206">
        <v>0</v>
      </c>
      <c r="M111" s="202">
        <v>700</v>
      </c>
      <c r="N111" s="202">
        <f>SUM(H111)</f>
        <v>180.7</v>
      </c>
      <c r="O111" s="226">
        <f>SUM(I111)</f>
        <v>880.7</v>
      </c>
      <c r="P111" s="226">
        <v>880</v>
      </c>
      <c r="Q111" s="199">
        <f t="shared" si="19"/>
        <v>99.920517769955708</v>
      </c>
      <c r="R111" s="200"/>
      <c r="S111" s="200"/>
    </row>
    <row r="112" spans="1:19" s="197" customFormat="1" ht="91.5" customHeight="1" x14ac:dyDescent="0.25">
      <c r="A112" s="285"/>
      <c r="B112" s="198" t="s">
        <v>139</v>
      </c>
      <c r="C112" s="198" t="s">
        <v>51</v>
      </c>
      <c r="D112" s="201" t="s">
        <v>86</v>
      </c>
      <c r="E112" s="201" t="s">
        <v>140</v>
      </c>
      <c r="F112" s="201" t="s">
        <v>11</v>
      </c>
      <c r="G112" s="202">
        <f>G113+G114</f>
        <v>3681.6000000000004</v>
      </c>
      <c r="H112" s="202">
        <f>124.7+76.7</f>
        <v>201.4</v>
      </c>
      <c r="I112" s="202">
        <f>I113+I114</f>
        <v>3883</v>
      </c>
      <c r="J112" s="202">
        <f>J113+J114</f>
        <v>0</v>
      </c>
      <c r="K112" s="202"/>
      <c r="L112" s="202">
        <f>L113+L114</f>
        <v>0</v>
      </c>
      <c r="M112" s="202">
        <f>M113+M114</f>
        <v>3681.6000000000004</v>
      </c>
      <c r="N112" s="202">
        <f>N113+N114</f>
        <v>201.4</v>
      </c>
      <c r="O112" s="226">
        <f>O113+O114</f>
        <v>3883</v>
      </c>
      <c r="P112" s="226">
        <f>P113+P114</f>
        <v>3809.7</v>
      </c>
      <c r="Q112" s="199">
        <f t="shared" si="19"/>
        <v>98.112284316250324</v>
      </c>
      <c r="R112" s="200"/>
      <c r="S112" s="200"/>
    </row>
    <row r="113" spans="1:19" s="197" customFormat="1" ht="75" x14ac:dyDescent="0.25">
      <c r="A113" s="285"/>
      <c r="B113" s="198" t="s">
        <v>40</v>
      </c>
      <c r="C113" s="198" t="s">
        <v>51</v>
      </c>
      <c r="D113" s="201" t="s">
        <v>86</v>
      </c>
      <c r="E113" s="201" t="s">
        <v>140</v>
      </c>
      <c r="F113" s="201" t="s">
        <v>41</v>
      </c>
      <c r="G113" s="202">
        <v>2360.9</v>
      </c>
      <c r="H113" s="202">
        <f>124.7+76.7</f>
        <v>201.4</v>
      </c>
      <c r="I113" s="202">
        <f>SUM(G113)+H113</f>
        <v>2562.3000000000002</v>
      </c>
      <c r="J113" s="206">
        <v>0</v>
      </c>
      <c r="K113" s="202"/>
      <c r="L113" s="206">
        <v>0</v>
      </c>
      <c r="M113" s="202">
        <f t="shared" ref="M113:O114" si="21">SUM(G113)</f>
        <v>2360.9</v>
      </c>
      <c r="N113" s="202">
        <f t="shared" si="21"/>
        <v>201.4</v>
      </c>
      <c r="O113" s="226">
        <f t="shared" si="21"/>
        <v>2562.3000000000002</v>
      </c>
      <c r="P113" s="226">
        <v>2489.1</v>
      </c>
      <c r="Q113" s="199">
        <f t="shared" si="19"/>
        <v>97.1431916637396</v>
      </c>
      <c r="R113" s="200"/>
      <c r="S113" s="200"/>
    </row>
    <row r="114" spans="1:19" s="197" customFormat="1" ht="27" customHeight="1" x14ac:dyDescent="0.25">
      <c r="A114" s="285"/>
      <c r="B114" s="198" t="s">
        <v>70</v>
      </c>
      <c r="C114" s="198" t="s">
        <v>51</v>
      </c>
      <c r="D114" s="201" t="s">
        <v>86</v>
      </c>
      <c r="E114" s="201" t="s">
        <v>140</v>
      </c>
      <c r="F114" s="201" t="s">
        <v>71</v>
      </c>
      <c r="G114" s="202">
        <v>1320.7</v>
      </c>
      <c r="H114" s="202"/>
      <c r="I114" s="202">
        <f>SUM(G114:H114)</f>
        <v>1320.7</v>
      </c>
      <c r="J114" s="206">
        <v>0</v>
      </c>
      <c r="K114" s="202"/>
      <c r="L114" s="206">
        <v>0</v>
      </c>
      <c r="M114" s="202">
        <f t="shared" si="21"/>
        <v>1320.7</v>
      </c>
      <c r="N114" s="202">
        <f t="shared" si="21"/>
        <v>0</v>
      </c>
      <c r="O114" s="226">
        <f t="shared" si="21"/>
        <v>1320.7</v>
      </c>
      <c r="P114" s="226">
        <v>1320.6</v>
      </c>
      <c r="Q114" s="199">
        <f t="shared" si="19"/>
        <v>99.992428257742091</v>
      </c>
      <c r="R114" s="200"/>
      <c r="S114" s="200"/>
    </row>
    <row r="115" spans="1:19" s="197" customFormat="1" ht="20.25" customHeight="1" x14ac:dyDescent="0.25">
      <c r="A115" s="285"/>
      <c r="B115" s="198" t="s">
        <v>141</v>
      </c>
      <c r="C115" s="198" t="s">
        <v>51</v>
      </c>
      <c r="D115" s="201" t="s">
        <v>86</v>
      </c>
      <c r="E115" s="201" t="s">
        <v>142</v>
      </c>
      <c r="F115" s="201" t="s">
        <v>11</v>
      </c>
      <c r="G115" s="202">
        <f t="shared" ref="G115:P117" si="22">G116</f>
        <v>14.7</v>
      </c>
      <c r="H115" s="202">
        <f t="shared" si="22"/>
        <v>0</v>
      </c>
      <c r="I115" s="202">
        <f t="shared" si="22"/>
        <v>14.7</v>
      </c>
      <c r="J115" s="202">
        <f t="shared" si="22"/>
        <v>0</v>
      </c>
      <c r="K115" s="202">
        <f>K116</f>
        <v>0</v>
      </c>
      <c r="L115" s="202">
        <f t="shared" si="22"/>
        <v>0</v>
      </c>
      <c r="M115" s="202">
        <f t="shared" si="22"/>
        <v>14.7</v>
      </c>
      <c r="N115" s="202">
        <f t="shared" si="22"/>
        <v>0</v>
      </c>
      <c r="O115" s="226">
        <f t="shared" si="22"/>
        <v>14.7</v>
      </c>
      <c r="P115" s="226">
        <f t="shared" si="22"/>
        <v>14.7</v>
      </c>
      <c r="Q115" s="199">
        <f t="shared" si="19"/>
        <v>100</v>
      </c>
      <c r="R115" s="200"/>
      <c r="S115" s="200"/>
    </row>
    <row r="116" spans="1:19" s="197" customFormat="1" ht="78.75" customHeight="1" x14ac:dyDescent="0.25">
      <c r="A116" s="285"/>
      <c r="B116" s="198" t="s">
        <v>143</v>
      </c>
      <c r="C116" s="198" t="s">
        <v>51</v>
      </c>
      <c r="D116" s="201" t="s">
        <v>86</v>
      </c>
      <c r="E116" s="201" t="s">
        <v>144</v>
      </c>
      <c r="F116" s="201" t="s">
        <v>11</v>
      </c>
      <c r="G116" s="202">
        <f t="shared" si="22"/>
        <v>14.7</v>
      </c>
      <c r="H116" s="202">
        <f t="shared" si="22"/>
        <v>0</v>
      </c>
      <c r="I116" s="202">
        <f t="shared" si="22"/>
        <v>14.7</v>
      </c>
      <c r="J116" s="202">
        <f t="shared" si="22"/>
        <v>0</v>
      </c>
      <c r="K116" s="202">
        <f>K117</f>
        <v>0</v>
      </c>
      <c r="L116" s="202">
        <f t="shared" si="22"/>
        <v>0</v>
      </c>
      <c r="M116" s="202">
        <f t="shared" si="22"/>
        <v>14.7</v>
      </c>
      <c r="N116" s="202">
        <f t="shared" si="22"/>
        <v>0</v>
      </c>
      <c r="O116" s="226">
        <f t="shared" si="22"/>
        <v>14.7</v>
      </c>
      <c r="P116" s="226">
        <f t="shared" si="22"/>
        <v>14.7</v>
      </c>
      <c r="Q116" s="199">
        <f t="shared" si="19"/>
        <v>100</v>
      </c>
      <c r="R116" s="200"/>
      <c r="S116" s="200"/>
    </row>
    <row r="117" spans="1:19" s="197" customFormat="1" ht="54.75" customHeight="1" x14ac:dyDescent="0.25">
      <c r="A117" s="285"/>
      <c r="B117" s="198" t="s">
        <v>145</v>
      </c>
      <c r="C117" s="198" t="s">
        <v>51</v>
      </c>
      <c r="D117" s="201" t="s">
        <v>86</v>
      </c>
      <c r="E117" s="201" t="s">
        <v>146</v>
      </c>
      <c r="F117" s="201" t="s">
        <v>11</v>
      </c>
      <c r="G117" s="202">
        <f>G118</f>
        <v>14.7</v>
      </c>
      <c r="H117" s="202"/>
      <c r="I117" s="202">
        <f>I118</f>
        <v>14.7</v>
      </c>
      <c r="J117" s="202">
        <f t="shared" si="22"/>
        <v>0</v>
      </c>
      <c r="K117" s="202"/>
      <c r="L117" s="202">
        <f t="shared" si="22"/>
        <v>0</v>
      </c>
      <c r="M117" s="202">
        <f t="shared" si="22"/>
        <v>14.7</v>
      </c>
      <c r="N117" s="202">
        <f t="shared" si="22"/>
        <v>0</v>
      </c>
      <c r="O117" s="226">
        <f t="shared" si="22"/>
        <v>14.7</v>
      </c>
      <c r="P117" s="226">
        <f t="shared" si="22"/>
        <v>14.7</v>
      </c>
      <c r="Q117" s="199">
        <f t="shared" si="19"/>
        <v>100</v>
      </c>
      <c r="R117" s="200"/>
      <c r="S117" s="200"/>
    </row>
    <row r="118" spans="1:19" s="197" customFormat="1" ht="75" x14ac:dyDescent="0.25">
      <c r="A118" s="285"/>
      <c r="B118" s="198" t="s">
        <v>40</v>
      </c>
      <c r="C118" s="198" t="s">
        <v>51</v>
      </c>
      <c r="D118" s="201" t="s">
        <v>86</v>
      </c>
      <c r="E118" s="201" t="s">
        <v>146</v>
      </c>
      <c r="F118" s="201" t="s">
        <v>41</v>
      </c>
      <c r="G118" s="202">
        <v>14.7</v>
      </c>
      <c r="H118" s="202"/>
      <c r="I118" s="202">
        <f>SUM(G118)</f>
        <v>14.7</v>
      </c>
      <c r="J118" s="206">
        <v>0</v>
      </c>
      <c r="K118" s="202">
        <f>K123</f>
        <v>0</v>
      </c>
      <c r="L118" s="206">
        <v>0</v>
      </c>
      <c r="M118" s="202">
        <f>SUM(G118)</f>
        <v>14.7</v>
      </c>
      <c r="N118" s="202">
        <f>SUM(H118)</f>
        <v>0</v>
      </c>
      <c r="O118" s="226">
        <f>SUM(I118)</f>
        <v>14.7</v>
      </c>
      <c r="P118" s="226">
        <v>14.7</v>
      </c>
      <c r="Q118" s="199">
        <f t="shared" si="19"/>
        <v>100</v>
      </c>
      <c r="R118" s="200"/>
      <c r="S118" s="200"/>
    </row>
    <row r="119" spans="1:19" s="197" customFormat="1" ht="61.5" customHeight="1" x14ac:dyDescent="0.25">
      <c r="A119" s="285"/>
      <c r="B119" s="210" t="s">
        <v>66</v>
      </c>
      <c r="C119" s="210" t="s">
        <v>51</v>
      </c>
      <c r="D119" s="211" t="s">
        <v>86</v>
      </c>
      <c r="E119" s="211" t="s">
        <v>67</v>
      </c>
      <c r="F119" s="201"/>
      <c r="G119" s="202">
        <f t="shared" ref="G119:P121" si="23">G120</f>
        <v>314.10000000000002</v>
      </c>
      <c r="H119" s="202">
        <f t="shared" si="23"/>
        <v>112</v>
      </c>
      <c r="I119" s="202">
        <f t="shared" si="23"/>
        <v>426.1</v>
      </c>
      <c r="J119" s="202">
        <f t="shared" si="23"/>
        <v>0</v>
      </c>
      <c r="K119" s="202">
        <f t="shared" si="23"/>
        <v>0</v>
      </c>
      <c r="L119" s="202">
        <f t="shared" si="23"/>
        <v>0</v>
      </c>
      <c r="M119" s="202">
        <f t="shared" si="23"/>
        <v>314.10000000000002</v>
      </c>
      <c r="N119" s="202">
        <f t="shared" si="23"/>
        <v>112</v>
      </c>
      <c r="O119" s="226">
        <f t="shared" si="23"/>
        <v>478.6</v>
      </c>
      <c r="P119" s="226">
        <f t="shared" si="23"/>
        <v>473.5</v>
      </c>
      <c r="Q119" s="199">
        <f t="shared" si="19"/>
        <v>98.93439197659842</v>
      </c>
      <c r="R119" s="200"/>
      <c r="S119" s="200"/>
    </row>
    <row r="120" spans="1:19" s="197" customFormat="1" ht="39.75" customHeight="1" x14ac:dyDescent="0.25">
      <c r="A120" s="285"/>
      <c r="B120" s="210" t="s">
        <v>80</v>
      </c>
      <c r="C120" s="210" t="s">
        <v>51</v>
      </c>
      <c r="D120" s="211" t="s">
        <v>86</v>
      </c>
      <c r="E120" s="211" t="s">
        <v>81</v>
      </c>
      <c r="F120" s="201"/>
      <c r="G120" s="202">
        <f t="shared" si="23"/>
        <v>314.10000000000002</v>
      </c>
      <c r="H120" s="202">
        <f t="shared" si="23"/>
        <v>112</v>
      </c>
      <c r="I120" s="202">
        <f t="shared" si="23"/>
        <v>426.1</v>
      </c>
      <c r="J120" s="202">
        <f t="shared" si="23"/>
        <v>0</v>
      </c>
      <c r="K120" s="202">
        <f t="shared" si="23"/>
        <v>0</v>
      </c>
      <c r="L120" s="202">
        <f t="shared" si="23"/>
        <v>0</v>
      </c>
      <c r="M120" s="202">
        <f t="shared" si="23"/>
        <v>314.10000000000002</v>
      </c>
      <c r="N120" s="202">
        <f t="shared" si="23"/>
        <v>112</v>
      </c>
      <c r="O120" s="226">
        <f t="shared" si="23"/>
        <v>478.6</v>
      </c>
      <c r="P120" s="226">
        <f t="shared" si="23"/>
        <v>473.5</v>
      </c>
      <c r="Q120" s="199">
        <f t="shared" si="19"/>
        <v>98.93439197659842</v>
      </c>
      <c r="R120" s="200"/>
      <c r="S120" s="200"/>
    </row>
    <row r="121" spans="1:19" s="197" customFormat="1" ht="59.25" customHeight="1" x14ac:dyDescent="0.25">
      <c r="A121" s="285"/>
      <c r="B121" s="210" t="s">
        <v>82</v>
      </c>
      <c r="C121" s="210" t="s">
        <v>51</v>
      </c>
      <c r="D121" s="211" t="s">
        <v>86</v>
      </c>
      <c r="E121" s="211" t="s">
        <v>83</v>
      </c>
      <c r="F121" s="201"/>
      <c r="G121" s="202">
        <f t="shared" si="23"/>
        <v>314.10000000000002</v>
      </c>
      <c r="H121" s="202">
        <f t="shared" si="23"/>
        <v>112</v>
      </c>
      <c r="I121" s="202">
        <f t="shared" si="23"/>
        <v>426.1</v>
      </c>
      <c r="J121" s="202">
        <f t="shared" si="23"/>
        <v>0</v>
      </c>
      <c r="K121" s="202">
        <f t="shared" si="23"/>
        <v>0</v>
      </c>
      <c r="L121" s="202">
        <f t="shared" si="23"/>
        <v>0</v>
      </c>
      <c r="M121" s="202">
        <f t="shared" si="23"/>
        <v>314.10000000000002</v>
      </c>
      <c r="N121" s="202">
        <f t="shared" si="23"/>
        <v>112</v>
      </c>
      <c r="O121" s="226">
        <f t="shared" si="23"/>
        <v>478.6</v>
      </c>
      <c r="P121" s="226">
        <f t="shared" si="23"/>
        <v>473.5</v>
      </c>
      <c r="Q121" s="199">
        <f t="shared" si="19"/>
        <v>98.93439197659842</v>
      </c>
      <c r="R121" s="200"/>
      <c r="S121" s="200"/>
    </row>
    <row r="122" spans="1:19" s="197" customFormat="1" ht="75" x14ac:dyDescent="0.25">
      <c r="A122" s="285"/>
      <c r="B122" s="198" t="s">
        <v>40</v>
      </c>
      <c r="C122" s="210" t="s">
        <v>51</v>
      </c>
      <c r="D122" s="211" t="s">
        <v>86</v>
      </c>
      <c r="E122" s="211" t="s">
        <v>83</v>
      </c>
      <c r="F122" s="201">
        <v>200</v>
      </c>
      <c r="G122" s="202">
        <v>314.10000000000002</v>
      </c>
      <c r="H122" s="202">
        <f>40.8+43.7+27.5</f>
        <v>112</v>
      </c>
      <c r="I122" s="202">
        <f>SUM(G122:H122)</f>
        <v>426.1</v>
      </c>
      <c r="J122" s="206"/>
      <c r="K122" s="202"/>
      <c r="L122" s="206"/>
      <c r="M122" s="202">
        <f>G122+J122</f>
        <v>314.10000000000002</v>
      </c>
      <c r="N122" s="202">
        <f>H122+K122</f>
        <v>112</v>
      </c>
      <c r="O122" s="226">
        <v>478.6</v>
      </c>
      <c r="P122" s="226">
        <v>473.5</v>
      </c>
      <c r="Q122" s="199">
        <f t="shared" si="19"/>
        <v>98.93439197659842</v>
      </c>
      <c r="R122" s="200"/>
      <c r="S122" s="200"/>
    </row>
    <row r="123" spans="1:19" s="197" customFormat="1" ht="34.9" customHeight="1" x14ac:dyDescent="0.25">
      <c r="A123" s="285"/>
      <c r="B123" s="198" t="s">
        <v>147</v>
      </c>
      <c r="C123" s="198" t="s">
        <v>51</v>
      </c>
      <c r="D123" s="201" t="s">
        <v>86</v>
      </c>
      <c r="E123" s="201" t="s">
        <v>148</v>
      </c>
      <c r="F123" s="201" t="s">
        <v>11</v>
      </c>
      <c r="G123" s="202">
        <f t="shared" ref="G123:P125" si="24">G124</f>
        <v>1935.8</v>
      </c>
      <c r="H123" s="202">
        <f t="shared" si="24"/>
        <v>457.20000000000005</v>
      </c>
      <c r="I123" s="202">
        <f t="shared" si="24"/>
        <v>2393</v>
      </c>
      <c r="J123" s="202">
        <f t="shared" si="24"/>
        <v>0</v>
      </c>
      <c r="K123" s="202">
        <f>K124</f>
        <v>0</v>
      </c>
      <c r="L123" s="202">
        <f t="shared" si="24"/>
        <v>0</v>
      </c>
      <c r="M123" s="202">
        <f t="shared" si="24"/>
        <v>1935.8</v>
      </c>
      <c r="N123" s="202">
        <f t="shared" si="24"/>
        <v>457.20000000000005</v>
      </c>
      <c r="O123" s="226">
        <f t="shared" si="24"/>
        <v>2393.1</v>
      </c>
      <c r="P123" s="226">
        <f t="shared" si="24"/>
        <v>2393.1</v>
      </c>
      <c r="Q123" s="199">
        <f t="shared" si="19"/>
        <v>100</v>
      </c>
      <c r="R123" s="200"/>
      <c r="S123" s="200"/>
    </row>
    <row r="124" spans="1:19" s="197" customFormat="1" ht="57.75" customHeight="1" x14ac:dyDescent="0.25">
      <c r="A124" s="285"/>
      <c r="B124" s="198" t="s">
        <v>149</v>
      </c>
      <c r="C124" s="198" t="s">
        <v>51</v>
      </c>
      <c r="D124" s="201" t="s">
        <v>86</v>
      </c>
      <c r="E124" s="201" t="s">
        <v>150</v>
      </c>
      <c r="F124" s="201" t="s">
        <v>11</v>
      </c>
      <c r="G124" s="202">
        <f t="shared" si="24"/>
        <v>1935.8</v>
      </c>
      <c r="H124" s="202">
        <f t="shared" si="24"/>
        <v>457.20000000000005</v>
      </c>
      <c r="I124" s="202">
        <f t="shared" si="24"/>
        <v>2393</v>
      </c>
      <c r="J124" s="202">
        <f t="shared" si="24"/>
        <v>0</v>
      </c>
      <c r="K124" s="202">
        <f>K125</f>
        <v>0</v>
      </c>
      <c r="L124" s="202">
        <f t="shared" si="24"/>
        <v>0</v>
      </c>
      <c r="M124" s="202">
        <f t="shared" si="24"/>
        <v>1935.8</v>
      </c>
      <c r="N124" s="202">
        <f t="shared" si="24"/>
        <v>457.20000000000005</v>
      </c>
      <c r="O124" s="226">
        <f t="shared" si="24"/>
        <v>2393.1</v>
      </c>
      <c r="P124" s="226">
        <f t="shared" si="24"/>
        <v>2393.1</v>
      </c>
      <c r="Q124" s="199">
        <f t="shared" si="19"/>
        <v>100</v>
      </c>
      <c r="R124" s="200"/>
      <c r="S124" s="200"/>
    </row>
    <row r="125" spans="1:19" s="197" customFormat="1" ht="57" customHeight="1" x14ac:dyDescent="0.25">
      <c r="A125" s="285"/>
      <c r="B125" s="198" t="s">
        <v>151</v>
      </c>
      <c r="C125" s="198" t="s">
        <v>51</v>
      </c>
      <c r="D125" s="201" t="s">
        <v>86</v>
      </c>
      <c r="E125" s="201" t="s">
        <v>152</v>
      </c>
      <c r="F125" s="201" t="s">
        <v>11</v>
      </c>
      <c r="G125" s="202">
        <f>G126</f>
        <v>1935.8</v>
      </c>
      <c r="H125" s="202">
        <f>SUM(H126)</f>
        <v>457.20000000000005</v>
      </c>
      <c r="I125" s="202">
        <f>I126</f>
        <v>2393</v>
      </c>
      <c r="J125" s="202">
        <f t="shared" si="24"/>
        <v>0</v>
      </c>
      <c r="K125" s="202"/>
      <c r="L125" s="202">
        <f t="shared" si="24"/>
        <v>0</v>
      </c>
      <c r="M125" s="202">
        <f t="shared" si="24"/>
        <v>1935.8</v>
      </c>
      <c r="N125" s="202">
        <f t="shared" si="24"/>
        <v>457.20000000000005</v>
      </c>
      <c r="O125" s="226">
        <f t="shared" si="24"/>
        <v>2393.1</v>
      </c>
      <c r="P125" s="226">
        <f t="shared" si="24"/>
        <v>2393.1</v>
      </c>
      <c r="Q125" s="199">
        <f t="shared" si="19"/>
        <v>100</v>
      </c>
      <c r="R125" s="200"/>
      <c r="S125" s="200"/>
    </row>
    <row r="126" spans="1:19" s="197" customFormat="1" ht="22.5" customHeight="1" x14ac:dyDescent="0.25">
      <c r="A126" s="285"/>
      <c r="B126" s="198" t="s">
        <v>70</v>
      </c>
      <c r="C126" s="198" t="s">
        <v>51</v>
      </c>
      <c r="D126" s="201" t="s">
        <v>86</v>
      </c>
      <c r="E126" s="201" t="s">
        <v>152</v>
      </c>
      <c r="F126" s="201" t="s">
        <v>71</v>
      </c>
      <c r="G126" s="202">
        <v>1935.8</v>
      </c>
      <c r="H126" s="202">
        <f>80+85+20-0.1+20.3+63.9+188.1</f>
        <v>457.20000000000005</v>
      </c>
      <c r="I126" s="202">
        <f>SUM(G126)+H126</f>
        <v>2393</v>
      </c>
      <c r="J126" s="206">
        <v>0</v>
      </c>
      <c r="K126" s="202">
        <f>K127+K163</f>
        <v>0</v>
      </c>
      <c r="L126" s="206">
        <v>0</v>
      </c>
      <c r="M126" s="202">
        <f>SUM(G126)</f>
        <v>1935.8</v>
      </c>
      <c r="N126" s="202">
        <f>SUM(H126)</f>
        <v>457.20000000000005</v>
      </c>
      <c r="O126" s="226">
        <f>SUM(I126)+0.1</f>
        <v>2393.1</v>
      </c>
      <c r="P126" s="226">
        <v>2393.1</v>
      </c>
      <c r="Q126" s="199">
        <f t="shared" si="19"/>
        <v>100</v>
      </c>
      <c r="R126" s="200"/>
      <c r="S126" s="200"/>
    </row>
    <row r="127" spans="1:19" s="197" customFormat="1" ht="75" x14ac:dyDescent="0.25">
      <c r="A127" s="285"/>
      <c r="B127" s="198" t="s">
        <v>154</v>
      </c>
      <c r="C127" s="198" t="s">
        <v>51</v>
      </c>
      <c r="D127" s="201" t="s">
        <v>155</v>
      </c>
      <c r="E127" s="201" t="s">
        <v>11</v>
      </c>
      <c r="F127" s="201" t="s">
        <v>11</v>
      </c>
      <c r="G127" s="202">
        <f>G134+G164+G128</f>
        <v>48762.1</v>
      </c>
      <c r="H127" s="205">
        <f>SUM(H128)+H134+H164</f>
        <v>0</v>
      </c>
      <c r="I127" s="202">
        <f>I134+I164+I128</f>
        <v>48762.1</v>
      </c>
      <c r="J127" s="202">
        <f>J134+J164</f>
        <v>0</v>
      </c>
      <c r="K127" s="205">
        <f>K134</f>
        <v>0</v>
      </c>
      <c r="L127" s="202">
        <f>L134+L164</f>
        <v>0</v>
      </c>
      <c r="M127" s="202">
        <f>M134+M164+M128</f>
        <v>48762.1</v>
      </c>
      <c r="N127" s="202">
        <f t="shared" ref="N127:N133" si="25">SUM(H127)</f>
        <v>0</v>
      </c>
      <c r="O127" s="226">
        <f>O134+O164+O128</f>
        <v>48762.1</v>
      </c>
      <c r="P127" s="226">
        <f>P134+P164+P128</f>
        <v>48375.6</v>
      </c>
      <c r="Q127" s="199">
        <f t="shared" si="19"/>
        <v>99.207376220466301</v>
      </c>
      <c r="R127" s="200"/>
      <c r="S127" s="200"/>
    </row>
    <row r="128" spans="1:19" s="197" customFormat="1" ht="18.75" x14ac:dyDescent="0.25">
      <c r="A128" s="285"/>
      <c r="B128" s="210" t="s">
        <v>556</v>
      </c>
      <c r="C128" s="198">
        <v>992</v>
      </c>
      <c r="D128" s="211" t="s">
        <v>555</v>
      </c>
      <c r="E128" s="201"/>
      <c r="F128" s="201"/>
      <c r="G128" s="202">
        <f>G129</f>
        <v>1084.9000000000001</v>
      </c>
      <c r="H128" s="202">
        <f>H129</f>
        <v>0</v>
      </c>
      <c r="I128" s="202">
        <f>SUM(I132)</f>
        <v>1084.9000000000001</v>
      </c>
      <c r="J128" s="202"/>
      <c r="K128" s="202"/>
      <c r="L128" s="202"/>
      <c r="M128" s="202">
        <f>SUM(G128)</f>
        <v>1084.9000000000001</v>
      </c>
      <c r="N128" s="202">
        <f t="shared" si="25"/>
        <v>0</v>
      </c>
      <c r="O128" s="226">
        <f>SUM(I128)</f>
        <v>1084.9000000000001</v>
      </c>
      <c r="P128" s="226">
        <f t="shared" ref="J128:P129" si="26">P129</f>
        <v>1084.9000000000001</v>
      </c>
      <c r="Q128" s="199">
        <f t="shared" si="19"/>
        <v>100</v>
      </c>
      <c r="R128" s="200"/>
      <c r="S128" s="200"/>
    </row>
    <row r="129" spans="1:20" s="197" customFormat="1" ht="54.75" customHeight="1" x14ac:dyDescent="0.25">
      <c r="A129" s="285"/>
      <c r="B129" s="198" t="s">
        <v>159</v>
      </c>
      <c r="C129" s="198" t="s">
        <v>51</v>
      </c>
      <c r="D129" s="211" t="s">
        <v>555</v>
      </c>
      <c r="E129" s="201" t="s">
        <v>160</v>
      </c>
      <c r="F129" s="201"/>
      <c r="G129" s="202">
        <f>G130</f>
        <v>1084.9000000000001</v>
      </c>
      <c r="H129" s="202">
        <f>H130</f>
        <v>0</v>
      </c>
      <c r="I129" s="202">
        <f>I130</f>
        <v>1084.9000000000001</v>
      </c>
      <c r="J129" s="202">
        <f t="shared" si="26"/>
        <v>0</v>
      </c>
      <c r="K129" s="202">
        <f t="shared" si="26"/>
        <v>0</v>
      </c>
      <c r="L129" s="202">
        <f t="shared" si="26"/>
        <v>0</v>
      </c>
      <c r="M129" s="202">
        <f t="shared" si="26"/>
        <v>1084.9000000000001</v>
      </c>
      <c r="N129" s="202">
        <f t="shared" si="26"/>
        <v>0</v>
      </c>
      <c r="O129" s="226">
        <f t="shared" si="26"/>
        <v>1084.9000000000001</v>
      </c>
      <c r="P129" s="226">
        <f t="shared" si="26"/>
        <v>1084.9000000000001</v>
      </c>
      <c r="Q129" s="199">
        <f t="shared" si="19"/>
        <v>100</v>
      </c>
      <c r="R129" s="200"/>
      <c r="S129" s="200"/>
    </row>
    <row r="130" spans="1:20" s="197" customFormat="1" ht="56.25" customHeight="1" x14ac:dyDescent="0.25">
      <c r="A130" s="285"/>
      <c r="B130" s="210" t="s">
        <v>159</v>
      </c>
      <c r="C130" s="198">
        <v>992</v>
      </c>
      <c r="D130" s="212" t="s">
        <v>555</v>
      </c>
      <c r="E130" s="211" t="s">
        <v>162</v>
      </c>
      <c r="F130" s="201"/>
      <c r="G130" s="202">
        <v>1084.9000000000001</v>
      </c>
      <c r="H130" s="205">
        <f>H131</f>
        <v>0</v>
      </c>
      <c r="I130" s="205">
        <f>SUM(I132)</f>
        <v>1084.9000000000001</v>
      </c>
      <c r="J130" s="202"/>
      <c r="K130" s="205"/>
      <c r="L130" s="202"/>
      <c r="M130" s="202">
        <f>SUM(G130)</f>
        <v>1084.9000000000001</v>
      </c>
      <c r="N130" s="202">
        <f t="shared" si="25"/>
        <v>0</v>
      </c>
      <c r="O130" s="226">
        <f>SUM(I130)</f>
        <v>1084.9000000000001</v>
      </c>
      <c r="P130" s="226">
        <f>SUM(J130)+P131</f>
        <v>1084.9000000000001</v>
      </c>
      <c r="Q130" s="199">
        <f t="shared" si="19"/>
        <v>100</v>
      </c>
      <c r="R130" s="200"/>
      <c r="S130" s="200"/>
    </row>
    <row r="131" spans="1:20" s="197" customFormat="1" ht="93.75" customHeight="1" x14ac:dyDescent="0.25">
      <c r="A131" s="285"/>
      <c r="B131" s="210" t="s">
        <v>161</v>
      </c>
      <c r="C131" s="198">
        <v>992</v>
      </c>
      <c r="D131" s="212" t="s">
        <v>555</v>
      </c>
      <c r="E131" s="211" t="s">
        <v>558</v>
      </c>
      <c r="F131" s="201"/>
      <c r="G131" s="202">
        <v>1084.9000000000001</v>
      </c>
      <c r="H131" s="205">
        <f>SUM(H133)</f>
        <v>0</v>
      </c>
      <c r="I131" s="205">
        <f>SUM(I133)</f>
        <v>1084.9000000000001</v>
      </c>
      <c r="J131" s="202"/>
      <c r="K131" s="205"/>
      <c r="L131" s="202"/>
      <c r="M131" s="202">
        <f>SUM(G131)</f>
        <v>1084.9000000000001</v>
      </c>
      <c r="N131" s="202">
        <f t="shared" si="25"/>
        <v>0</v>
      </c>
      <c r="O131" s="226">
        <f>SUM(I131)</f>
        <v>1084.9000000000001</v>
      </c>
      <c r="P131" s="226">
        <f>SUM(J131)+P132</f>
        <v>1084.9000000000001</v>
      </c>
      <c r="Q131" s="199">
        <f t="shared" si="19"/>
        <v>100</v>
      </c>
      <c r="R131" s="200"/>
      <c r="S131" s="200"/>
    </row>
    <row r="132" spans="1:20" s="197" customFormat="1" ht="42" customHeight="1" x14ac:dyDescent="0.25">
      <c r="A132" s="285"/>
      <c r="B132" s="210" t="s">
        <v>557</v>
      </c>
      <c r="C132" s="198">
        <v>992</v>
      </c>
      <c r="D132" s="212" t="s">
        <v>555</v>
      </c>
      <c r="E132" s="211" t="s">
        <v>554</v>
      </c>
      <c r="F132" s="201"/>
      <c r="G132" s="202">
        <v>1084.9000000000001</v>
      </c>
      <c r="H132" s="205">
        <f>H133</f>
        <v>0</v>
      </c>
      <c r="I132" s="202">
        <f>SUM(G132)+H132</f>
        <v>1084.9000000000001</v>
      </c>
      <c r="J132" s="202"/>
      <c r="K132" s="205"/>
      <c r="L132" s="202"/>
      <c r="M132" s="202">
        <f>SUM(G132)</f>
        <v>1084.9000000000001</v>
      </c>
      <c r="N132" s="202">
        <f t="shared" si="25"/>
        <v>0</v>
      </c>
      <c r="O132" s="226">
        <f>SUM(I132)</f>
        <v>1084.9000000000001</v>
      </c>
      <c r="P132" s="226">
        <v>1084.9000000000001</v>
      </c>
      <c r="Q132" s="199">
        <f t="shared" si="19"/>
        <v>100</v>
      </c>
      <c r="R132" s="200"/>
      <c r="S132" s="200"/>
    </row>
    <row r="133" spans="1:20" s="197" customFormat="1" ht="75" x14ac:dyDescent="0.25">
      <c r="A133" s="285"/>
      <c r="B133" s="198" t="s">
        <v>40</v>
      </c>
      <c r="C133" s="198">
        <v>992</v>
      </c>
      <c r="D133" s="212" t="s">
        <v>555</v>
      </c>
      <c r="E133" s="211" t="s">
        <v>554</v>
      </c>
      <c r="F133" s="201">
        <v>200</v>
      </c>
      <c r="G133" s="202">
        <v>1084.9000000000001</v>
      </c>
      <c r="H133" s="205"/>
      <c r="I133" s="202">
        <f>SUM(G133)+H133</f>
        <v>1084.9000000000001</v>
      </c>
      <c r="J133" s="202"/>
      <c r="K133" s="205"/>
      <c r="L133" s="202"/>
      <c r="M133" s="202">
        <f>SUM(G133)</f>
        <v>1084.9000000000001</v>
      </c>
      <c r="N133" s="202">
        <f t="shared" si="25"/>
        <v>0</v>
      </c>
      <c r="O133" s="226">
        <f>SUM(I133)</f>
        <v>1084.9000000000001</v>
      </c>
      <c r="P133" s="226">
        <v>1084.9000000000001</v>
      </c>
      <c r="Q133" s="199">
        <f t="shared" si="19"/>
        <v>100</v>
      </c>
      <c r="R133" s="200"/>
      <c r="S133" s="200"/>
    </row>
    <row r="134" spans="1:20" s="197" customFormat="1" ht="97.5" customHeight="1" x14ac:dyDescent="0.25">
      <c r="A134" s="285"/>
      <c r="B134" s="198" t="s">
        <v>157</v>
      </c>
      <c r="C134" s="203" t="s">
        <v>51</v>
      </c>
      <c r="D134" s="204" t="s">
        <v>158</v>
      </c>
      <c r="E134" s="204" t="s">
        <v>11</v>
      </c>
      <c r="F134" s="204" t="s">
        <v>11</v>
      </c>
      <c r="G134" s="205">
        <f>G135+G152</f>
        <v>40500.5</v>
      </c>
      <c r="H134" s="205">
        <f>H135+H152</f>
        <v>0</v>
      </c>
      <c r="I134" s="205">
        <f>I135+I152</f>
        <v>40500.5</v>
      </c>
      <c r="J134" s="205">
        <f>J135</f>
        <v>0</v>
      </c>
      <c r="K134" s="202">
        <f>K135+K151+K159</f>
        <v>0</v>
      </c>
      <c r="L134" s="205">
        <f>L135</f>
        <v>0</v>
      </c>
      <c r="M134" s="205">
        <f>M135+M152</f>
        <v>40500.5</v>
      </c>
      <c r="N134" s="205">
        <f>SUM(H134)</f>
        <v>0</v>
      </c>
      <c r="O134" s="227">
        <f>O135+O152</f>
        <v>40500.5</v>
      </c>
      <c r="P134" s="227">
        <f>P135+P152</f>
        <v>40259.599999999999</v>
      </c>
      <c r="Q134" s="199">
        <f t="shared" si="19"/>
        <v>99.405192528487291</v>
      </c>
      <c r="R134" s="200"/>
      <c r="S134" s="200"/>
      <c r="T134" s="213"/>
    </row>
    <row r="135" spans="1:20" s="197" customFormat="1" ht="57" customHeight="1" x14ac:dyDescent="0.25">
      <c r="A135" s="285"/>
      <c r="B135" s="198" t="s">
        <v>159</v>
      </c>
      <c r="C135" s="198" t="s">
        <v>51</v>
      </c>
      <c r="D135" s="201" t="s">
        <v>158</v>
      </c>
      <c r="E135" s="201" t="s">
        <v>160</v>
      </c>
      <c r="F135" s="201" t="s">
        <v>11</v>
      </c>
      <c r="G135" s="202">
        <f>G136+G156+G160</f>
        <v>39660.199999999997</v>
      </c>
      <c r="H135" s="202">
        <f>H136+H156+H160</f>
        <v>0</v>
      </c>
      <c r="I135" s="202">
        <f>I136+I156+I160</f>
        <v>39660.199999999997</v>
      </c>
      <c r="J135" s="202">
        <f>J136+J156+J160</f>
        <v>0</v>
      </c>
      <c r="K135" s="202">
        <f>K136+K145+K148</f>
        <v>0</v>
      </c>
      <c r="L135" s="202">
        <f>L136+L156+L160</f>
        <v>0</v>
      </c>
      <c r="M135" s="202">
        <f>M136+M156+M160</f>
        <v>39660.199999999997</v>
      </c>
      <c r="N135" s="202">
        <f>N136+N156+N160</f>
        <v>0</v>
      </c>
      <c r="O135" s="226">
        <f>O136+O156+O160</f>
        <v>39660.199999999997</v>
      </c>
      <c r="P135" s="226">
        <f>P136+P156+P160</f>
        <v>39419.299999999996</v>
      </c>
      <c r="Q135" s="199">
        <f t="shared" si="19"/>
        <v>99.392590052495962</v>
      </c>
      <c r="R135" s="200"/>
      <c r="S135" s="200"/>
    </row>
    <row r="136" spans="1:20" s="197" customFormat="1" ht="96" customHeight="1" x14ac:dyDescent="0.25">
      <c r="A136" s="285"/>
      <c r="B136" s="198" t="s">
        <v>161</v>
      </c>
      <c r="C136" s="198" t="s">
        <v>51</v>
      </c>
      <c r="D136" s="201" t="s">
        <v>158</v>
      </c>
      <c r="E136" s="201" t="s">
        <v>162</v>
      </c>
      <c r="F136" s="201" t="s">
        <v>11</v>
      </c>
      <c r="G136" s="202">
        <f>G137+G146+G149</f>
        <v>35562.9</v>
      </c>
      <c r="H136" s="202">
        <f>H137+H146+H149</f>
        <v>0</v>
      </c>
      <c r="I136" s="202">
        <f>I137+I146+I149</f>
        <v>35562.9</v>
      </c>
      <c r="J136" s="202">
        <f>J137+J146+J149</f>
        <v>0</v>
      </c>
      <c r="K136" s="202">
        <f>K137+K141+K143</f>
        <v>0</v>
      </c>
      <c r="L136" s="202">
        <f>L137+L146+L149</f>
        <v>0</v>
      </c>
      <c r="M136" s="202">
        <f>M137+M146+M149</f>
        <v>35562.9</v>
      </c>
      <c r="N136" s="202">
        <f>N137+N146+N149</f>
        <v>0</v>
      </c>
      <c r="O136" s="226">
        <f>O137+O146+O149</f>
        <v>35562.9</v>
      </c>
      <c r="P136" s="226">
        <f>P137+P146+P149</f>
        <v>35332.5</v>
      </c>
      <c r="Q136" s="199">
        <f t="shared" si="19"/>
        <v>99.352133824856807</v>
      </c>
      <c r="R136" s="200"/>
      <c r="S136" s="200"/>
    </row>
    <row r="137" spans="1:20" s="197" customFormat="1" ht="115.5" customHeight="1" x14ac:dyDescent="0.25">
      <c r="A137" s="285"/>
      <c r="B137" s="198" t="s">
        <v>163</v>
      </c>
      <c r="C137" s="198" t="s">
        <v>51</v>
      </c>
      <c r="D137" s="201" t="s">
        <v>158</v>
      </c>
      <c r="E137" s="201" t="s">
        <v>164</v>
      </c>
      <c r="F137" s="201" t="s">
        <v>11</v>
      </c>
      <c r="G137" s="202">
        <f>G138+G142+G144</f>
        <v>18636.099999999999</v>
      </c>
      <c r="H137" s="202">
        <f>SUM(H138+H142)+H144</f>
        <v>0</v>
      </c>
      <c r="I137" s="202">
        <f>I138+I142+I144</f>
        <v>18636.099999999999</v>
      </c>
      <c r="J137" s="202">
        <f>J138+J142+J144</f>
        <v>0</v>
      </c>
      <c r="K137" s="202">
        <f>K138+K139+K140</f>
        <v>0</v>
      </c>
      <c r="L137" s="202">
        <f>L138+L142+L144</f>
        <v>0</v>
      </c>
      <c r="M137" s="202">
        <f>M138+M142+M144</f>
        <v>18636.099999999999</v>
      </c>
      <c r="N137" s="202">
        <f>N138+N142+N144</f>
        <v>0</v>
      </c>
      <c r="O137" s="226">
        <f>O138+O142+O144</f>
        <v>18636.099999999999</v>
      </c>
      <c r="P137" s="226">
        <f>P138+P142+P144</f>
        <v>18405.7</v>
      </c>
      <c r="Q137" s="199">
        <f t="shared" si="19"/>
        <v>98.763689827807326</v>
      </c>
      <c r="R137" s="200"/>
      <c r="S137" s="200"/>
    </row>
    <row r="138" spans="1:20" s="197" customFormat="1" ht="56.25" x14ac:dyDescent="0.25">
      <c r="A138" s="285"/>
      <c r="B138" s="198" t="s">
        <v>134</v>
      </c>
      <c r="C138" s="198" t="s">
        <v>51</v>
      </c>
      <c r="D138" s="201" t="s">
        <v>158</v>
      </c>
      <c r="E138" s="201" t="s">
        <v>165</v>
      </c>
      <c r="F138" s="201" t="s">
        <v>11</v>
      </c>
      <c r="G138" s="202">
        <f>G139+G140+G141</f>
        <v>11968.5</v>
      </c>
      <c r="H138" s="202">
        <f>SUM(H139+H140)</f>
        <v>0</v>
      </c>
      <c r="I138" s="202">
        <f>I139+I140+I141</f>
        <v>11968.5</v>
      </c>
      <c r="J138" s="202">
        <f>J139+J140+J141</f>
        <v>0</v>
      </c>
      <c r="K138" s="202"/>
      <c r="L138" s="202">
        <f>L139+L140+L141</f>
        <v>0</v>
      </c>
      <c r="M138" s="202">
        <f>SUM(G138)</f>
        <v>11968.5</v>
      </c>
      <c r="N138" s="202">
        <f>N139+N140+N141</f>
        <v>0</v>
      </c>
      <c r="O138" s="226">
        <f>SUM(I138)</f>
        <v>11968.5</v>
      </c>
      <c r="P138" s="226">
        <f>SUM(J138)+P139+P140+P141</f>
        <v>11809.7</v>
      </c>
      <c r="Q138" s="199">
        <f>P138/O138*100</f>
        <v>98.673183774073607</v>
      </c>
      <c r="R138" s="200"/>
      <c r="S138" s="200"/>
    </row>
    <row r="139" spans="1:20" s="197" customFormat="1" ht="57.75" customHeight="1" x14ac:dyDescent="0.25">
      <c r="A139" s="285"/>
      <c r="B139" s="198" t="s">
        <v>61</v>
      </c>
      <c r="C139" s="198" t="s">
        <v>51</v>
      </c>
      <c r="D139" s="201" t="s">
        <v>158</v>
      </c>
      <c r="E139" s="201" t="s">
        <v>165</v>
      </c>
      <c r="F139" s="201" t="s">
        <v>62</v>
      </c>
      <c r="G139" s="202">
        <v>10420.200000000001</v>
      </c>
      <c r="H139" s="202"/>
      <c r="I139" s="202">
        <f>SUM(G139)+H139</f>
        <v>10420.200000000001</v>
      </c>
      <c r="J139" s="206">
        <v>0</v>
      </c>
      <c r="K139" s="202"/>
      <c r="L139" s="206">
        <v>0</v>
      </c>
      <c r="M139" s="202">
        <f>SUM(G139)</f>
        <v>10420.200000000001</v>
      </c>
      <c r="N139" s="202">
        <f>SUM(H139)</f>
        <v>0</v>
      </c>
      <c r="O139" s="226">
        <f>SUM(I139)</f>
        <v>10420.200000000001</v>
      </c>
      <c r="P139" s="226">
        <v>10359.6</v>
      </c>
      <c r="Q139" s="199">
        <f t="shared" ref="Q139:Q140" si="27">P139/O139*100</f>
        <v>99.418437266079337</v>
      </c>
      <c r="R139" s="200"/>
      <c r="S139" s="200"/>
    </row>
    <row r="140" spans="1:20" s="197" customFormat="1" ht="79.5" customHeight="1" x14ac:dyDescent="0.25">
      <c r="A140" s="285"/>
      <c r="B140" s="198" t="s">
        <v>40</v>
      </c>
      <c r="C140" s="198" t="s">
        <v>51</v>
      </c>
      <c r="D140" s="201" t="s">
        <v>158</v>
      </c>
      <c r="E140" s="201" t="s">
        <v>165</v>
      </c>
      <c r="F140" s="201" t="s">
        <v>41</v>
      </c>
      <c r="G140" s="202">
        <v>1525.3</v>
      </c>
      <c r="H140" s="202"/>
      <c r="I140" s="202">
        <f>SUM(G140)+H140</f>
        <v>1525.3</v>
      </c>
      <c r="J140" s="206">
        <v>0</v>
      </c>
      <c r="K140" s="202"/>
      <c r="L140" s="206">
        <v>0</v>
      </c>
      <c r="M140" s="202">
        <f>SUM(G140)</f>
        <v>1525.3</v>
      </c>
      <c r="N140" s="202">
        <f>SUM(H140)</f>
        <v>0</v>
      </c>
      <c r="O140" s="226">
        <f>SUM(I140)</f>
        <v>1525.3</v>
      </c>
      <c r="P140" s="226">
        <v>1438.6</v>
      </c>
      <c r="Q140" s="199">
        <f t="shared" si="27"/>
        <v>94.31587228741887</v>
      </c>
      <c r="R140" s="200"/>
      <c r="S140" s="200"/>
    </row>
    <row r="141" spans="1:20" s="197" customFormat="1" ht="24" customHeight="1" x14ac:dyDescent="0.25">
      <c r="A141" s="285"/>
      <c r="B141" s="198" t="s">
        <v>70</v>
      </c>
      <c r="C141" s="198" t="s">
        <v>51</v>
      </c>
      <c r="D141" s="201" t="s">
        <v>158</v>
      </c>
      <c r="E141" s="201" t="s">
        <v>165</v>
      </c>
      <c r="F141" s="201" t="s">
        <v>71</v>
      </c>
      <c r="G141" s="202">
        <v>23</v>
      </c>
      <c r="H141" s="202"/>
      <c r="I141" s="202">
        <v>23</v>
      </c>
      <c r="J141" s="206">
        <v>0</v>
      </c>
      <c r="K141" s="202"/>
      <c r="L141" s="206">
        <v>0</v>
      </c>
      <c r="M141" s="202">
        <v>23</v>
      </c>
      <c r="N141" s="202"/>
      <c r="O141" s="226">
        <v>23</v>
      </c>
      <c r="P141" s="226">
        <v>11.5</v>
      </c>
      <c r="Q141" s="199">
        <f>P141/O141*100</f>
        <v>50</v>
      </c>
      <c r="R141" s="200"/>
      <c r="S141" s="200"/>
    </row>
    <row r="142" spans="1:20" s="197" customFormat="1" ht="115.5" customHeight="1" x14ac:dyDescent="0.25">
      <c r="A142" s="285"/>
      <c r="B142" s="198" t="s">
        <v>166</v>
      </c>
      <c r="C142" s="198" t="s">
        <v>51</v>
      </c>
      <c r="D142" s="201" t="s">
        <v>158</v>
      </c>
      <c r="E142" s="201" t="s">
        <v>167</v>
      </c>
      <c r="F142" s="201" t="s">
        <v>11</v>
      </c>
      <c r="G142" s="202">
        <f>G143</f>
        <v>5667.6</v>
      </c>
      <c r="H142" s="202">
        <f>SUM(H143)</f>
        <v>0</v>
      </c>
      <c r="I142" s="202">
        <f>I143</f>
        <v>5667.6</v>
      </c>
      <c r="J142" s="202">
        <f>J143</f>
        <v>0</v>
      </c>
      <c r="K142" s="202"/>
      <c r="L142" s="202">
        <f>L143</f>
        <v>0</v>
      </c>
      <c r="M142" s="202">
        <f>M143</f>
        <v>5667.6</v>
      </c>
      <c r="N142" s="202">
        <f>N143</f>
        <v>0</v>
      </c>
      <c r="O142" s="226">
        <f>O143</f>
        <v>5667.6</v>
      </c>
      <c r="P142" s="226">
        <f>P143</f>
        <v>5666.7</v>
      </c>
      <c r="Q142" s="199">
        <f t="shared" ref="Q142:Q145" si="28">P142/O142*100</f>
        <v>99.984120262544991</v>
      </c>
      <c r="R142" s="200"/>
      <c r="S142" s="200"/>
    </row>
    <row r="143" spans="1:20" s="197" customFormat="1" ht="75" x14ac:dyDescent="0.25">
      <c r="A143" s="285"/>
      <c r="B143" s="198" t="s">
        <v>40</v>
      </c>
      <c r="C143" s="198" t="s">
        <v>51</v>
      </c>
      <c r="D143" s="201" t="s">
        <v>158</v>
      </c>
      <c r="E143" s="201" t="s">
        <v>167</v>
      </c>
      <c r="F143" s="201" t="s">
        <v>41</v>
      </c>
      <c r="G143" s="202">
        <v>5667.6</v>
      </c>
      <c r="H143" s="202"/>
      <c r="I143" s="202">
        <f>SUM(G143)+H143</f>
        <v>5667.6</v>
      </c>
      <c r="J143" s="206"/>
      <c r="K143" s="202"/>
      <c r="L143" s="206"/>
      <c r="M143" s="202">
        <f>SUM(G143)</f>
        <v>5667.6</v>
      </c>
      <c r="N143" s="202">
        <f>SUM(H143)</f>
        <v>0</v>
      </c>
      <c r="O143" s="226">
        <f>SUM(M143)+N143</f>
        <v>5667.6</v>
      </c>
      <c r="P143" s="226">
        <v>5666.7</v>
      </c>
      <c r="Q143" s="199">
        <f t="shared" si="28"/>
        <v>99.984120262544991</v>
      </c>
      <c r="R143" s="200"/>
      <c r="S143" s="200"/>
    </row>
    <row r="144" spans="1:20" s="197" customFormat="1" ht="116.25" customHeight="1" x14ac:dyDescent="0.25">
      <c r="A144" s="285"/>
      <c r="B144" s="198" t="s">
        <v>168</v>
      </c>
      <c r="C144" s="198" t="s">
        <v>51</v>
      </c>
      <c r="D144" s="201" t="s">
        <v>158</v>
      </c>
      <c r="E144" s="201" t="s">
        <v>169</v>
      </c>
      <c r="F144" s="201" t="s">
        <v>11</v>
      </c>
      <c r="G144" s="202">
        <f>G145</f>
        <v>1000</v>
      </c>
      <c r="H144" s="202"/>
      <c r="I144" s="202">
        <f>I145</f>
        <v>1000</v>
      </c>
      <c r="J144" s="202">
        <f>J145</f>
        <v>0</v>
      </c>
      <c r="K144" s="202"/>
      <c r="L144" s="202">
        <f>L145</f>
        <v>0</v>
      </c>
      <c r="M144" s="202">
        <f>M145</f>
        <v>1000</v>
      </c>
      <c r="N144" s="202">
        <f>N145</f>
        <v>0</v>
      </c>
      <c r="O144" s="226">
        <f>O145</f>
        <v>1000</v>
      </c>
      <c r="P144" s="226">
        <v>929.3</v>
      </c>
      <c r="Q144" s="199">
        <f t="shared" si="28"/>
        <v>92.929999999999993</v>
      </c>
      <c r="R144" s="200"/>
      <c r="S144" s="200"/>
    </row>
    <row r="145" spans="1:19" s="197" customFormat="1" ht="75" x14ac:dyDescent="0.25">
      <c r="A145" s="285"/>
      <c r="B145" s="198" t="s">
        <v>40</v>
      </c>
      <c r="C145" s="198" t="s">
        <v>51</v>
      </c>
      <c r="D145" s="201" t="s">
        <v>158</v>
      </c>
      <c r="E145" s="201" t="s">
        <v>169</v>
      </c>
      <c r="F145" s="201" t="s">
        <v>41</v>
      </c>
      <c r="G145" s="202">
        <v>1000</v>
      </c>
      <c r="H145" s="202"/>
      <c r="I145" s="202">
        <v>1000</v>
      </c>
      <c r="J145" s="206"/>
      <c r="K145" s="202"/>
      <c r="L145" s="206"/>
      <c r="M145" s="202">
        <v>1000</v>
      </c>
      <c r="N145" s="202"/>
      <c r="O145" s="226">
        <v>1000</v>
      </c>
      <c r="P145" s="226">
        <v>929.3</v>
      </c>
      <c r="Q145" s="199">
        <f t="shared" si="28"/>
        <v>92.929999999999993</v>
      </c>
      <c r="R145" s="200"/>
      <c r="S145" s="200"/>
    </row>
    <row r="146" spans="1:19" s="197" customFormat="1" ht="37.9" customHeight="1" x14ac:dyDescent="0.25">
      <c r="A146" s="285"/>
      <c r="B146" s="198" t="s">
        <v>170</v>
      </c>
      <c r="C146" s="198" t="s">
        <v>51</v>
      </c>
      <c r="D146" s="201" t="s">
        <v>158</v>
      </c>
      <c r="E146" s="201" t="s">
        <v>171</v>
      </c>
      <c r="F146" s="201" t="s">
        <v>11</v>
      </c>
      <c r="G146" s="202">
        <f t="shared" ref="G146:P147" si="29">G147</f>
        <v>15278.4</v>
      </c>
      <c r="H146" s="202">
        <f t="shared" si="29"/>
        <v>0</v>
      </c>
      <c r="I146" s="202">
        <f t="shared" si="29"/>
        <v>15278.4</v>
      </c>
      <c r="J146" s="202">
        <f t="shared" si="29"/>
        <v>0</v>
      </c>
      <c r="K146" s="202">
        <f t="shared" si="29"/>
        <v>0</v>
      </c>
      <c r="L146" s="202">
        <f t="shared" si="29"/>
        <v>0</v>
      </c>
      <c r="M146" s="202">
        <f t="shared" si="29"/>
        <v>15278.4</v>
      </c>
      <c r="N146" s="202">
        <f t="shared" si="29"/>
        <v>0</v>
      </c>
      <c r="O146" s="226">
        <f t="shared" si="29"/>
        <v>15278.4</v>
      </c>
      <c r="P146" s="226">
        <f t="shared" si="29"/>
        <v>15278.4</v>
      </c>
      <c r="Q146" s="199">
        <v>100</v>
      </c>
      <c r="R146" s="200"/>
      <c r="S146" s="200"/>
    </row>
    <row r="147" spans="1:19" s="197" customFormat="1" ht="171.75" customHeight="1" x14ac:dyDescent="0.25">
      <c r="A147" s="285"/>
      <c r="B147" s="198" t="s">
        <v>172</v>
      </c>
      <c r="C147" s="198" t="s">
        <v>51</v>
      </c>
      <c r="D147" s="201" t="s">
        <v>158</v>
      </c>
      <c r="E147" s="201" t="s">
        <v>173</v>
      </c>
      <c r="F147" s="201" t="s">
        <v>11</v>
      </c>
      <c r="G147" s="202">
        <f t="shared" si="29"/>
        <v>15278.4</v>
      </c>
      <c r="H147" s="202">
        <f>SUM(H148)</f>
        <v>0</v>
      </c>
      <c r="I147" s="202">
        <f t="shared" si="29"/>
        <v>15278.4</v>
      </c>
      <c r="J147" s="202">
        <f t="shared" si="29"/>
        <v>0</v>
      </c>
      <c r="K147" s="202"/>
      <c r="L147" s="202">
        <f t="shared" si="29"/>
        <v>0</v>
      </c>
      <c r="M147" s="202">
        <f t="shared" si="29"/>
        <v>15278.4</v>
      </c>
      <c r="N147" s="202">
        <f t="shared" si="29"/>
        <v>0</v>
      </c>
      <c r="O147" s="226">
        <f t="shared" si="29"/>
        <v>15278.4</v>
      </c>
      <c r="P147" s="226">
        <f t="shared" si="29"/>
        <v>15278.4</v>
      </c>
      <c r="Q147" s="199">
        <v>100</v>
      </c>
      <c r="R147" s="200"/>
      <c r="S147" s="200"/>
    </row>
    <row r="148" spans="1:19" s="197" customFormat="1" ht="23.25" customHeight="1" x14ac:dyDescent="0.25">
      <c r="A148" s="285"/>
      <c r="B148" s="198" t="s">
        <v>47</v>
      </c>
      <c r="C148" s="198" t="s">
        <v>51</v>
      </c>
      <c r="D148" s="201" t="s">
        <v>158</v>
      </c>
      <c r="E148" s="201" t="s">
        <v>173</v>
      </c>
      <c r="F148" s="201" t="s">
        <v>48</v>
      </c>
      <c r="G148" s="202">
        <v>15278.4</v>
      </c>
      <c r="H148" s="202"/>
      <c r="I148" s="202">
        <v>15278.4</v>
      </c>
      <c r="J148" s="206">
        <v>0</v>
      </c>
      <c r="K148" s="202">
        <f t="shared" ref="G148:P150" si="30">K149</f>
        <v>0</v>
      </c>
      <c r="L148" s="206">
        <v>0</v>
      </c>
      <c r="M148" s="202">
        <v>15278.4</v>
      </c>
      <c r="N148" s="239">
        <f>SUM(H148)</f>
        <v>0</v>
      </c>
      <c r="O148" s="226">
        <v>15278.4</v>
      </c>
      <c r="P148" s="226">
        <v>15278.4</v>
      </c>
      <c r="Q148" s="199">
        <f t="shared" ref="Q148:Q154" si="31">P137/O137*100</f>
        <v>98.763689827807326</v>
      </c>
      <c r="R148" s="200"/>
      <c r="S148" s="200"/>
    </row>
    <row r="149" spans="1:19" s="197" customFormat="1" ht="101.25" customHeight="1" x14ac:dyDescent="0.25">
      <c r="A149" s="285"/>
      <c r="B149" s="198" t="s">
        <v>174</v>
      </c>
      <c r="C149" s="198" t="s">
        <v>51</v>
      </c>
      <c r="D149" s="201" t="s">
        <v>158</v>
      </c>
      <c r="E149" s="201" t="s">
        <v>175</v>
      </c>
      <c r="F149" s="201" t="s">
        <v>11</v>
      </c>
      <c r="G149" s="202">
        <f t="shared" si="30"/>
        <v>1648.4</v>
      </c>
      <c r="H149" s="202">
        <f t="shared" si="30"/>
        <v>0</v>
      </c>
      <c r="I149" s="202">
        <f t="shared" si="30"/>
        <v>1648.4</v>
      </c>
      <c r="J149" s="202">
        <f t="shared" si="30"/>
        <v>0</v>
      </c>
      <c r="K149" s="202">
        <f t="shared" si="30"/>
        <v>0</v>
      </c>
      <c r="L149" s="202">
        <f t="shared" si="30"/>
        <v>0</v>
      </c>
      <c r="M149" s="202">
        <f t="shared" si="30"/>
        <v>1648.4</v>
      </c>
      <c r="N149" s="202">
        <f t="shared" si="30"/>
        <v>0</v>
      </c>
      <c r="O149" s="226">
        <f t="shared" si="30"/>
        <v>1648.4</v>
      </c>
      <c r="P149" s="226">
        <f t="shared" si="30"/>
        <v>1648.4</v>
      </c>
      <c r="Q149" s="199">
        <v>100</v>
      </c>
      <c r="R149" s="200"/>
      <c r="S149" s="200"/>
    </row>
    <row r="150" spans="1:19" s="197" customFormat="1" ht="139.5" customHeight="1" x14ac:dyDescent="0.25">
      <c r="A150" s="285"/>
      <c r="B150" s="198" t="s">
        <v>176</v>
      </c>
      <c r="C150" s="198" t="s">
        <v>51</v>
      </c>
      <c r="D150" s="201" t="s">
        <v>158</v>
      </c>
      <c r="E150" s="201" t="s">
        <v>177</v>
      </c>
      <c r="F150" s="201" t="s">
        <v>11</v>
      </c>
      <c r="G150" s="202">
        <f t="shared" si="30"/>
        <v>1648.4</v>
      </c>
      <c r="H150" s="202"/>
      <c r="I150" s="202">
        <f t="shared" si="30"/>
        <v>1648.4</v>
      </c>
      <c r="J150" s="202">
        <f t="shared" si="30"/>
        <v>0</v>
      </c>
      <c r="K150" s="202"/>
      <c r="L150" s="202">
        <f t="shared" si="30"/>
        <v>0</v>
      </c>
      <c r="M150" s="202">
        <f t="shared" si="30"/>
        <v>1648.4</v>
      </c>
      <c r="N150" s="202">
        <f t="shared" si="30"/>
        <v>0</v>
      </c>
      <c r="O150" s="226">
        <f t="shared" si="30"/>
        <v>1648.4</v>
      </c>
      <c r="P150" s="226">
        <f t="shared" si="30"/>
        <v>1648.4</v>
      </c>
      <c r="Q150" s="199">
        <v>100</v>
      </c>
      <c r="R150" s="200"/>
      <c r="S150" s="200"/>
    </row>
    <row r="151" spans="1:19" s="197" customFormat="1" ht="18.75" x14ac:dyDescent="0.25">
      <c r="A151" s="285"/>
      <c r="B151" s="198" t="s">
        <v>178</v>
      </c>
      <c r="C151" s="198" t="s">
        <v>51</v>
      </c>
      <c r="D151" s="201" t="s">
        <v>158</v>
      </c>
      <c r="E151" s="201" t="s">
        <v>177</v>
      </c>
      <c r="F151" s="201" t="s">
        <v>48</v>
      </c>
      <c r="G151" s="202">
        <v>1648.4</v>
      </c>
      <c r="H151" s="240"/>
      <c r="I151" s="202">
        <v>1648.4</v>
      </c>
      <c r="J151" s="206">
        <v>0</v>
      </c>
      <c r="K151" s="202"/>
      <c r="L151" s="206">
        <v>0</v>
      </c>
      <c r="M151" s="202">
        <v>1648.4</v>
      </c>
      <c r="N151" s="239">
        <f>SUM(H151)</f>
        <v>0</v>
      </c>
      <c r="O151" s="226">
        <v>1648.4</v>
      </c>
      <c r="P151" s="226">
        <v>1648.4</v>
      </c>
      <c r="Q151" s="199">
        <v>100</v>
      </c>
      <c r="R151" s="200"/>
      <c r="S151" s="200"/>
    </row>
    <row r="152" spans="1:19" s="197" customFormat="1" ht="65.25" customHeight="1" x14ac:dyDescent="0.25">
      <c r="A152" s="285"/>
      <c r="B152" s="198" t="s">
        <v>66</v>
      </c>
      <c r="C152" s="198">
        <v>992</v>
      </c>
      <c r="D152" s="201" t="s">
        <v>158</v>
      </c>
      <c r="E152" s="201">
        <v>5200000000</v>
      </c>
      <c r="F152" s="201"/>
      <c r="G152" s="202">
        <v>840.3</v>
      </c>
      <c r="H152" s="202"/>
      <c r="I152" s="202">
        <f>SUM(G152)+H152</f>
        <v>840.3</v>
      </c>
      <c r="J152" s="206"/>
      <c r="K152" s="202"/>
      <c r="L152" s="206"/>
      <c r="M152" s="202">
        <f>SUM(G152)</f>
        <v>840.3</v>
      </c>
      <c r="N152" s="202">
        <f t="shared" ref="N152:O154" si="32">SUM(H152)</f>
        <v>0</v>
      </c>
      <c r="O152" s="226">
        <f t="shared" si="32"/>
        <v>840.3</v>
      </c>
      <c r="P152" s="226">
        <v>840.3</v>
      </c>
      <c r="Q152" s="199">
        <v>100</v>
      </c>
      <c r="R152" s="200"/>
      <c r="S152" s="200"/>
    </row>
    <row r="153" spans="1:19" s="197" customFormat="1" ht="42" customHeight="1" x14ac:dyDescent="0.25">
      <c r="A153" s="285"/>
      <c r="B153" s="198" t="s">
        <v>80</v>
      </c>
      <c r="C153" s="198">
        <v>992</v>
      </c>
      <c r="D153" s="201" t="s">
        <v>158</v>
      </c>
      <c r="E153" s="201">
        <v>5230000000</v>
      </c>
      <c r="F153" s="201"/>
      <c r="G153" s="202">
        <v>840.3</v>
      </c>
      <c r="H153" s="202"/>
      <c r="I153" s="202">
        <f>SUM(G153)+H153</f>
        <v>840.3</v>
      </c>
      <c r="J153" s="206"/>
      <c r="K153" s="202"/>
      <c r="L153" s="206"/>
      <c r="M153" s="202">
        <f>SUM(G153)</f>
        <v>840.3</v>
      </c>
      <c r="N153" s="202">
        <f t="shared" si="32"/>
        <v>0</v>
      </c>
      <c r="O153" s="226">
        <f t="shared" si="32"/>
        <v>840.3</v>
      </c>
      <c r="P153" s="226">
        <v>840.3</v>
      </c>
      <c r="Q153" s="199">
        <f t="shared" si="31"/>
        <v>99.984120262544991</v>
      </c>
      <c r="R153" s="200"/>
      <c r="S153" s="200"/>
    </row>
    <row r="154" spans="1:19" s="197" customFormat="1" ht="60" customHeight="1" x14ac:dyDescent="0.25">
      <c r="A154" s="285"/>
      <c r="B154" s="198" t="s">
        <v>82</v>
      </c>
      <c r="C154" s="198">
        <v>992</v>
      </c>
      <c r="D154" s="201" t="s">
        <v>158</v>
      </c>
      <c r="E154" s="201">
        <v>5230010490</v>
      </c>
      <c r="F154" s="201"/>
      <c r="G154" s="202">
        <v>840.3</v>
      </c>
      <c r="H154" s="202"/>
      <c r="I154" s="202">
        <f>SUM(G154)+H154</f>
        <v>840.3</v>
      </c>
      <c r="J154" s="206"/>
      <c r="K154" s="202"/>
      <c r="L154" s="206"/>
      <c r="M154" s="202">
        <f>SUM(G154)</f>
        <v>840.3</v>
      </c>
      <c r="N154" s="202">
        <f t="shared" si="32"/>
        <v>0</v>
      </c>
      <c r="O154" s="226">
        <f t="shared" si="32"/>
        <v>840.3</v>
      </c>
      <c r="P154" s="226">
        <v>840.3</v>
      </c>
      <c r="Q154" s="199">
        <f t="shared" si="31"/>
        <v>99.984120262544991</v>
      </c>
      <c r="R154" s="200"/>
      <c r="S154" s="200"/>
    </row>
    <row r="155" spans="1:19" s="197" customFormat="1" ht="75" x14ac:dyDescent="0.25">
      <c r="A155" s="285"/>
      <c r="B155" s="198" t="s">
        <v>40</v>
      </c>
      <c r="C155" s="198">
        <v>992</v>
      </c>
      <c r="D155" s="201" t="s">
        <v>158</v>
      </c>
      <c r="E155" s="201">
        <v>5230010490</v>
      </c>
      <c r="F155" s="201">
        <v>200</v>
      </c>
      <c r="G155" s="202">
        <v>840.3</v>
      </c>
      <c r="H155" s="202"/>
      <c r="I155" s="202">
        <v>840.3</v>
      </c>
      <c r="J155" s="206"/>
      <c r="K155" s="202"/>
      <c r="L155" s="206"/>
      <c r="M155" s="202">
        <f>SUM(G155)</f>
        <v>840.3</v>
      </c>
      <c r="N155" s="202">
        <f>SUM(H155)</f>
        <v>0</v>
      </c>
      <c r="O155" s="226">
        <f>SUM(I155)</f>
        <v>840.3</v>
      </c>
      <c r="P155" s="226">
        <v>840.3</v>
      </c>
      <c r="Q155" s="199">
        <f>P155/O155*100</f>
        <v>100</v>
      </c>
      <c r="R155" s="200"/>
      <c r="S155" s="200"/>
    </row>
    <row r="156" spans="1:19" s="197" customFormat="1" ht="37.5" x14ac:dyDescent="0.25">
      <c r="A156" s="285"/>
      <c r="B156" s="198" t="s">
        <v>179</v>
      </c>
      <c r="C156" s="198" t="s">
        <v>51</v>
      </c>
      <c r="D156" s="201" t="s">
        <v>158</v>
      </c>
      <c r="E156" s="201" t="s">
        <v>180</v>
      </c>
      <c r="F156" s="201" t="s">
        <v>11</v>
      </c>
      <c r="G156" s="202">
        <f t="shared" ref="G156:P158" si="33">G157</f>
        <v>323.10000000000002</v>
      </c>
      <c r="H156" s="202">
        <f t="shared" si="33"/>
        <v>0</v>
      </c>
      <c r="I156" s="202">
        <f t="shared" si="33"/>
        <v>323.10000000000002</v>
      </c>
      <c r="J156" s="202">
        <f t="shared" si="33"/>
        <v>0</v>
      </c>
      <c r="K156" s="202">
        <f>K157</f>
        <v>0</v>
      </c>
      <c r="L156" s="202">
        <f t="shared" si="33"/>
        <v>0</v>
      </c>
      <c r="M156" s="202">
        <f t="shared" si="33"/>
        <v>323.10000000000002</v>
      </c>
      <c r="N156" s="202">
        <f t="shared" si="33"/>
        <v>0</v>
      </c>
      <c r="O156" s="226">
        <f t="shared" si="33"/>
        <v>323.10000000000002</v>
      </c>
      <c r="P156" s="226">
        <f t="shared" si="33"/>
        <v>312.60000000000002</v>
      </c>
      <c r="Q156" s="199">
        <f>P156/O156*100</f>
        <v>96.750232126276686</v>
      </c>
      <c r="R156" s="200"/>
      <c r="S156" s="200"/>
    </row>
    <row r="157" spans="1:19" s="197" customFormat="1" ht="62.25" customHeight="1" x14ac:dyDescent="0.25">
      <c r="A157" s="285"/>
      <c r="B157" s="198" t="s">
        <v>181</v>
      </c>
      <c r="C157" s="198" t="s">
        <v>51</v>
      </c>
      <c r="D157" s="201" t="s">
        <v>158</v>
      </c>
      <c r="E157" s="201" t="s">
        <v>182</v>
      </c>
      <c r="F157" s="201" t="s">
        <v>11</v>
      </c>
      <c r="G157" s="202">
        <f t="shared" si="33"/>
        <v>323.10000000000002</v>
      </c>
      <c r="H157" s="202">
        <f t="shared" si="33"/>
        <v>0</v>
      </c>
      <c r="I157" s="202">
        <f t="shared" si="33"/>
        <v>323.10000000000002</v>
      </c>
      <c r="J157" s="202">
        <f t="shared" si="33"/>
        <v>0</v>
      </c>
      <c r="K157" s="202">
        <f>K158</f>
        <v>0</v>
      </c>
      <c r="L157" s="202">
        <f t="shared" si="33"/>
        <v>0</v>
      </c>
      <c r="M157" s="202">
        <f t="shared" si="33"/>
        <v>323.10000000000002</v>
      </c>
      <c r="N157" s="202">
        <f t="shared" si="33"/>
        <v>0</v>
      </c>
      <c r="O157" s="226">
        <f t="shared" si="33"/>
        <v>323.10000000000002</v>
      </c>
      <c r="P157" s="226">
        <f t="shared" si="33"/>
        <v>312.60000000000002</v>
      </c>
      <c r="Q157" s="199">
        <f>P157/O157*100</f>
        <v>96.750232126276686</v>
      </c>
      <c r="R157" s="200"/>
      <c r="S157" s="200"/>
    </row>
    <row r="158" spans="1:19" s="197" customFormat="1" ht="37.5" x14ac:dyDescent="0.25">
      <c r="A158" s="285"/>
      <c r="B158" s="198" t="s">
        <v>183</v>
      </c>
      <c r="C158" s="198" t="s">
        <v>51</v>
      </c>
      <c r="D158" s="201" t="s">
        <v>158</v>
      </c>
      <c r="E158" s="201" t="s">
        <v>184</v>
      </c>
      <c r="F158" s="201" t="s">
        <v>11</v>
      </c>
      <c r="G158" s="202">
        <f>G159</f>
        <v>323.10000000000002</v>
      </c>
      <c r="H158" s="202">
        <f>H159</f>
        <v>0</v>
      </c>
      <c r="I158" s="202">
        <f>I159</f>
        <v>323.10000000000002</v>
      </c>
      <c r="J158" s="202">
        <f t="shared" si="33"/>
        <v>0</v>
      </c>
      <c r="K158" s="202"/>
      <c r="L158" s="202">
        <f t="shared" si="33"/>
        <v>0</v>
      </c>
      <c r="M158" s="202">
        <f t="shared" si="33"/>
        <v>323.10000000000002</v>
      </c>
      <c r="N158" s="202">
        <f t="shared" si="33"/>
        <v>0</v>
      </c>
      <c r="O158" s="226">
        <f t="shared" si="33"/>
        <v>323.10000000000002</v>
      </c>
      <c r="P158" s="226">
        <f t="shared" si="33"/>
        <v>312.60000000000002</v>
      </c>
      <c r="Q158" s="199">
        <f t="shared" ref="Q158:Q161" si="34">P158/O158*100</f>
        <v>96.750232126276686</v>
      </c>
      <c r="R158" s="200"/>
      <c r="S158" s="200"/>
    </row>
    <row r="159" spans="1:19" s="197" customFormat="1" ht="75" x14ac:dyDescent="0.25">
      <c r="A159" s="285"/>
      <c r="B159" s="198" t="s">
        <v>40</v>
      </c>
      <c r="C159" s="198" t="s">
        <v>51</v>
      </c>
      <c r="D159" s="201" t="s">
        <v>158</v>
      </c>
      <c r="E159" s="201" t="s">
        <v>184</v>
      </c>
      <c r="F159" s="201" t="s">
        <v>41</v>
      </c>
      <c r="G159" s="202">
        <v>323.10000000000002</v>
      </c>
      <c r="H159" s="202"/>
      <c r="I159" s="202">
        <f>G159+H159</f>
        <v>323.10000000000002</v>
      </c>
      <c r="J159" s="206">
        <v>0</v>
      </c>
      <c r="K159" s="202"/>
      <c r="L159" s="206">
        <v>0</v>
      </c>
      <c r="M159" s="202">
        <f>SUM(G159)</f>
        <v>323.10000000000002</v>
      </c>
      <c r="N159" s="202">
        <f>SUM(H159)</f>
        <v>0</v>
      </c>
      <c r="O159" s="226">
        <f>I159+L159</f>
        <v>323.10000000000002</v>
      </c>
      <c r="P159" s="226">
        <v>312.60000000000002</v>
      </c>
      <c r="Q159" s="199">
        <f t="shared" si="34"/>
        <v>96.750232126276686</v>
      </c>
      <c r="R159" s="200"/>
      <c r="S159" s="200"/>
    </row>
    <row r="160" spans="1:19" s="197" customFormat="1" ht="40.5" customHeight="1" x14ac:dyDescent="0.25">
      <c r="A160" s="285"/>
      <c r="B160" s="198" t="s">
        <v>185</v>
      </c>
      <c r="C160" s="198" t="s">
        <v>51</v>
      </c>
      <c r="D160" s="201" t="s">
        <v>158</v>
      </c>
      <c r="E160" s="201" t="s">
        <v>186</v>
      </c>
      <c r="F160" s="201" t="s">
        <v>11</v>
      </c>
      <c r="G160" s="202">
        <f t="shared" ref="G160:P162" si="35">G161</f>
        <v>3774.2</v>
      </c>
      <c r="H160" s="202">
        <f t="shared" si="35"/>
        <v>0</v>
      </c>
      <c r="I160" s="202">
        <f t="shared" si="35"/>
        <v>3774.2</v>
      </c>
      <c r="J160" s="202">
        <f t="shared" si="35"/>
        <v>0</v>
      </c>
      <c r="K160" s="202">
        <f>K161</f>
        <v>0</v>
      </c>
      <c r="L160" s="202">
        <f t="shared" si="35"/>
        <v>0</v>
      </c>
      <c r="M160" s="202">
        <f t="shared" si="35"/>
        <v>3774.2</v>
      </c>
      <c r="N160" s="202">
        <f t="shared" si="35"/>
        <v>0</v>
      </c>
      <c r="O160" s="226">
        <f t="shared" si="35"/>
        <v>3774.2</v>
      </c>
      <c r="P160" s="226">
        <f t="shared" si="35"/>
        <v>3774.2</v>
      </c>
      <c r="Q160" s="199">
        <f t="shared" si="34"/>
        <v>100</v>
      </c>
      <c r="R160" s="200"/>
      <c r="S160" s="200"/>
    </row>
    <row r="161" spans="1:20" s="197" customFormat="1" ht="75" x14ac:dyDescent="0.25">
      <c r="A161" s="285"/>
      <c r="B161" s="198" t="s">
        <v>187</v>
      </c>
      <c r="C161" s="198" t="s">
        <v>51</v>
      </c>
      <c r="D161" s="201" t="s">
        <v>158</v>
      </c>
      <c r="E161" s="201" t="s">
        <v>188</v>
      </c>
      <c r="F161" s="201" t="s">
        <v>11</v>
      </c>
      <c r="G161" s="202">
        <f t="shared" si="35"/>
        <v>3774.2</v>
      </c>
      <c r="H161" s="202">
        <f t="shared" si="35"/>
        <v>0</v>
      </c>
      <c r="I161" s="202">
        <f t="shared" si="35"/>
        <v>3774.2</v>
      </c>
      <c r="J161" s="202">
        <f t="shared" si="35"/>
        <v>0</v>
      </c>
      <c r="K161" s="202">
        <f>K162</f>
        <v>0</v>
      </c>
      <c r="L161" s="202">
        <f t="shared" si="35"/>
        <v>0</v>
      </c>
      <c r="M161" s="202">
        <f t="shared" si="35"/>
        <v>3774.2</v>
      </c>
      <c r="N161" s="202">
        <f t="shared" si="35"/>
        <v>0</v>
      </c>
      <c r="O161" s="226">
        <f t="shared" si="35"/>
        <v>3774.2</v>
      </c>
      <c r="P161" s="226">
        <f t="shared" si="35"/>
        <v>3774.2</v>
      </c>
      <c r="Q161" s="199">
        <f t="shared" si="34"/>
        <v>100</v>
      </c>
      <c r="R161" s="200"/>
      <c r="S161" s="200"/>
    </row>
    <row r="162" spans="1:20" s="197" customFormat="1" ht="41.45" customHeight="1" x14ac:dyDescent="0.25">
      <c r="A162" s="285"/>
      <c r="B162" s="198" t="s">
        <v>189</v>
      </c>
      <c r="C162" s="198" t="s">
        <v>51</v>
      </c>
      <c r="D162" s="201" t="s">
        <v>158</v>
      </c>
      <c r="E162" s="201" t="s">
        <v>190</v>
      </c>
      <c r="F162" s="201" t="s">
        <v>11</v>
      </c>
      <c r="G162" s="202">
        <f>G163</f>
        <v>3774.2</v>
      </c>
      <c r="H162" s="202"/>
      <c r="I162" s="202">
        <f>I163</f>
        <v>3774.2</v>
      </c>
      <c r="J162" s="202">
        <f t="shared" si="35"/>
        <v>0</v>
      </c>
      <c r="K162" s="202"/>
      <c r="L162" s="202">
        <f t="shared" si="35"/>
        <v>0</v>
      </c>
      <c r="M162" s="202">
        <f t="shared" si="35"/>
        <v>3774.2</v>
      </c>
      <c r="N162" s="202">
        <f t="shared" si="35"/>
        <v>0</v>
      </c>
      <c r="O162" s="226">
        <f t="shared" si="35"/>
        <v>3774.2</v>
      </c>
      <c r="P162" s="226">
        <f t="shared" si="35"/>
        <v>3774.2</v>
      </c>
      <c r="Q162" s="199">
        <f t="shared" ref="Q162:Q167" si="36">P162/O162*100</f>
        <v>100</v>
      </c>
      <c r="R162" s="200"/>
      <c r="S162" s="200"/>
    </row>
    <row r="163" spans="1:20" s="197" customFormat="1" ht="26.25" customHeight="1" x14ac:dyDescent="0.25">
      <c r="A163" s="285"/>
      <c r="B163" s="198" t="s">
        <v>47</v>
      </c>
      <c r="C163" s="198" t="s">
        <v>51</v>
      </c>
      <c r="D163" s="201" t="s">
        <v>158</v>
      </c>
      <c r="E163" s="201" t="s">
        <v>190</v>
      </c>
      <c r="F163" s="201" t="s">
        <v>48</v>
      </c>
      <c r="G163" s="202">
        <v>3774.2</v>
      </c>
      <c r="H163" s="240"/>
      <c r="I163" s="202">
        <v>3774.2</v>
      </c>
      <c r="J163" s="206">
        <v>0</v>
      </c>
      <c r="K163" s="205"/>
      <c r="L163" s="206">
        <v>0</v>
      </c>
      <c r="M163" s="202">
        <v>3774.2</v>
      </c>
      <c r="N163" s="239">
        <f>SUM(H163)</f>
        <v>0</v>
      </c>
      <c r="O163" s="226">
        <v>3774.2</v>
      </c>
      <c r="P163" s="226">
        <v>3774.2</v>
      </c>
      <c r="Q163" s="199">
        <f t="shared" si="36"/>
        <v>100</v>
      </c>
      <c r="R163" s="200"/>
      <c r="S163" s="200"/>
    </row>
    <row r="164" spans="1:20" s="197" customFormat="1" ht="36.6" customHeight="1" x14ac:dyDescent="0.25">
      <c r="A164" s="285"/>
      <c r="B164" s="198" t="s">
        <v>192</v>
      </c>
      <c r="C164" s="203" t="s">
        <v>51</v>
      </c>
      <c r="D164" s="204" t="s">
        <v>193</v>
      </c>
      <c r="E164" s="204" t="s">
        <v>11</v>
      </c>
      <c r="F164" s="204" t="s">
        <v>11</v>
      </c>
      <c r="G164" s="205">
        <f>G165</f>
        <v>7176.7000000000007</v>
      </c>
      <c r="H164" s="205">
        <f>H165</f>
        <v>0</v>
      </c>
      <c r="I164" s="205">
        <f>I165</f>
        <v>7176.7000000000007</v>
      </c>
      <c r="J164" s="205">
        <f>J165</f>
        <v>0</v>
      </c>
      <c r="K164" s="202">
        <f>K165+K171+K175</f>
        <v>0</v>
      </c>
      <c r="L164" s="205">
        <f>L165</f>
        <v>0</v>
      </c>
      <c r="M164" s="205">
        <f>M165</f>
        <v>7176.7000000000007</v>
      </c>
      <c r="N164" s="205">
        <f>N165</f>
        <v>0</v>
      </c>
      <c r="O164" s="227">
        <f>O165</f>
        <v>7176.7000000000007</v>
      </c>
      <c r="P164" s="227">
        <f>P165</f>
        <v>7031.1</v>
      </c>
      <c r="Q164" s="199">
        <f t="shared" si="36"/>
        <v>97.971212395669312</v>
      </c>
      <c r="R164" s="200"/>
      <c r="S164" s="200"/>
      <c r="T164" s="213"/>
    </row>
    <row r="165" spans="1:20" s="197" customFormat="1" ht="58.5" customHeight="1" x14ac:dyDescent="0.25">
      <c r="A165" s="285"/>
      <c r="B165" s="198" t="s">
        <v>159</v>
      </c>
      <c r="C165" s="198" t="s">
        <v>51</v>
      </c>
      <c r="D165" s="201" t="s">
        <v>193</v>
      </c>
      <c r="E165" s="201" t="s">
        <v>160</v>
      </c>
      <c r="F165" s="201" t="s">
        <v>11</v>
      </c>
      <c r="G165" s="202">
        <f>G166+G172+G176</f>
        <v>7176.7000000000007</v>
      </c>
      <c r="H165" s="202">
        <f>H166</f>
        <v>0</v>
      </c>
      <c r="I165" s="202">
        <f>I166+I172+I176</f>
        <v>7176.7000000000007</v>
      </c>
      <c r="J165" s="202">
        <f>J166+J172+J176</f>
        <v>0</v>
      </c>
      <c r="K165" s="202">
        <f>K166</f>
        <v>0</v>
      </c>
      <c r="L165" s="202">
        <f>L166+L172+L176</f>
        <v>0</v>
      </c>
      <c r="M165" s="202">
        <f>M166+M172+M176</f>
        <v>7176.7000000000007</v>
      </c>
      <c r="N165" s="202">
        <f>N166+N172+N176</f>
        <v>0</v>
      </c>
      <c r="O165" s="226">
        <f>O166+O172+O176</f>
        <v>7176.7000000000007</v>
      </c>
      <c r="P165" s="226">
        <f>P166+P172+P176</f>
        <v>7031.1</v>
      </c>
      <c r="Q165" s="199">
        <f t="shared" si="36"/>
        <v>97.971212395669312</v>
      </c>
      <c r="R165" s="200"/>
      <c r="S165" s="200"/>
    </row>
    <row r="166" spans="1:20" s="197" customFormat="1" ht="39" customHeight="1" x14ac:dyDescent="0.25">
      <c r="A166" s="285"/>
      <c r="B166" s="198" t="s">
        <v>194</v>
      </c>
      <c r="C166" s="198" t="s">
        <v>51</v>
      </c>
      <c r="D166" s="201" t="s">
        <v>193</v>
      </c>
      <c r="E166" s="201" t="s">
        <v>195</v>
      </c>
      <c r="F166" s="201" t="s">
        <v>11</v>
      </c>
      <c r="G166" s="202">
        <f>G167</f>
        <v>7061.7000000000007</v>
      </c>
      <c r="H166" s="202">
        <f>H167</f>
        <v>0</v>
      </c>
      <c r="I166" s="202">
        <f>I167</f>
        <v>7061.7000000000007</v>
      </c>
      <c r="J166" s="202">
        <f>J167</f>
        <v>0</v>
      </c>
      <c r="K166" s="202">
        <f>K167+K169</f>
        <v>0</v>
      </c>
      <c r="L166" s="202">
        <f>L167</f>
        <v>0</v>
      </c>
      <c r="M166" s="202">
        <f>M167</f>
        <v>7061.7000000000007</v>
      </c>
      <c r="N166" s="202">
        <f>N167</f>
        <v>0</v>
      </c>
      <c r="O166" s="226">
        <f>O167</f>
        <v>7061.7000000000007</v>
      </c>
      <c r="P166" s="226">
        <f>P167</f>
        <v>6916.2000000000007</v>
      </c>
      <c r="Q166" s="199">
        <f t="shared" si="36"/>
        <v>97.939589617230979</v>
      </c>
      <c r="R166" s="200"/>
      <c r="S166" s="200"/>
    </row>
    <row r="167" spans="1:20" s="197" customFormat="1" ht="94.5" customHeight="1" x14ac:dyDescent="0.25">
      <c r="A167" s="285"/>
      <c r="B167" s="198" t="s">
        <v>196</v>
      </c>
      <c r="C167" s="198" t="s">
        <v>51</v>
      </c>
      <c r="D167" s="201" t="s">
        <v>193</v>
      </c>
      <c r="E167" s="201" t="s">
        <v>197</v>
      </c>
      <c r="F167" s="201" t="s">
        <v>11</v>
      </c>
      <c r="G167" s="202">
        <f>G168+G170</f>
        <v>7061.7000000000007</v>
      </c>
      <c r="H167" s="202">
        <f>H168+H170</f>
        <v>0</v>
      </c>
      <c r="I167" s="202">
        <f>I168+I170</f>
        <v>7061.7000000000007</v>
      </c>
      <c r="J167" s="202">
        <f>J168+J170</f>
        <v>0</v>
      </c>
      <c r="K167" s="202">
        <f>K168</f>
        <v>0</v>
      </c>
      <c r="L167" s="202">
        <f>L168+L170</f>
        <v>0</v>
      </c>
      <c r="M167" s="202">
        <f>M168+M170</f>
        <v>7061.7000000000007</v>
      </c>
      <c r="N167" s="202">
        <f>N168+N170</f>
        <v>0</v>
      </c>
      <c r="O167" s="226">
        <f>O168+O170</f>
        <v>7061.7000000000007</v>
      </c>
      <c r="P167" s="226">
        <f>P168+P170</f>
        <v>6916.2000000000007</v>
      </c>
      <c r="Q167" s="199">
        <f t="shared" si="36"/>
        <v>97.939589617230979</v>
      </c>
      <c r="R167" s="200"/>
      <c r="S167" s="200"/>
    </row>
    <row r="168" spans="1:20" s="197" customFormat="1" ht="35.25" customHeight="1" x14ac:dyDescent="0.25">
      <c r="A168" s="285"/>
      <c r="B168" s="198" t="s">
        <v>198</v>
      </c>
      <c r="C168" s="198" t="s">
        <v>51</v>
      </c>
      <c r="D168" s="201" t="s">
        <v>193</v>
      </c>
      <c r="E168" s="201" t="s">
        <v>199</v>
      </c>
      <c r="F168" s="201" t="s">
        <v>11</v>
      </c>
      <c r="G168" s="202">
        <f>G169</f>
        <v>1520.6</v>
      </c>
      <c r="H168" s="202">
        <f>SUM(H169)</f>
        <v>0</v>
      </c>
      <c r="I168" s="202">
        <f>I169</f>
        <v>1520.6</v>
      </c>
      <c r="J168" s="202">
        <f>J169</f>
        <v>0</v>
      </c>
      <c r="K168" s="202"/>
      <c r="L168" s="202">
        <f>L169</f>
        <v>0</v>
      </c>
      <c r="M168" s="202">
        <f>M169</f>
        <v>1520.6</v>
      </c>
      <c r="N168" s="202">
        <f>N169</f>
        <v>0</v>
      </c>
      <c r="O168" s="226">
        <f>O169</f>
        <v>1520.6</v>
      </c>
      <c r="P168" s="226">
        <f>P169</f>
        <v>1375.1</v>
      </c>
      <c r="Q168" s="199">
        <f t="shared" ref="Q168:Q197" si="37">P168/O168*100</f>
        <v>90.431408654478503</v>
      </c>
      <c r="R168" s="200"/>
      <c r="S168" s="200"/>
    </row>
    <row r="169" spans="1:20" s="197" customFormat="1" ht="75" x14ac:dyDescent="0.25">
      <c r="A169" s="285"/>
      <c r="B169" s="198" t="s">
        <v>40</v>
      </c>
      <c r="C169" s="198" t="s">
        <v>51</v>
      </c>
      <c r="D169" s="201" t="s">
        <v>193</v>
      </c>
      <c r="E169" s="201" t="s">
        <v>199</v>
      </c>
      <c r="F169" s="201" t="s">
        <v>41</v>
      </c>
      <c r="G169" s="202">
        <v>1520.6</v>
      </c>
      <c r="H169" s="202"/>
      <c r="I169" s="202">
        <f>SUM(G169)+H169</f>
        <v>1520.6</v>
      </c>
      <c r="J169" s="206">
        <v>0</v>
      </c>
      <c r="K169" s="202"/>
      <c r="L169" s="206">
        <v>0</v>
      </c>
      <c r="M169" s="202">
        <f>SUM(G169)</f>
        <v>1520.6</v>
      </c>
      <c r="N169" s="202">
        <f>SUM(H169)</f>
        <v>0</v>
      </c>
      <c r="O169" s="226">
        <f>SUM(I169)</f>
        <v>1520.6</v>
      </c>
      <c r="P169" s="226">
        <v>1375.1</v>
      </c>
      <c r="Q169" s="199">
        <f t="shared" si="37"/>
        <v>90.431408654478503</v>
      </c>
      <c r="R169" s="200"/>
      <c r="S169" s="200"/>
    </row>
    <row r="170" spans="1:20" s="197" customFormat="1" ht="111.75" customHeight="1" x14ac:dyDescent="0.25">
      <c r="A170" s="285"/>
      <c r="B170" s="198" t="s">
        <v>200</v>
      </c>
      <c r="C170" s="198" t="s">
        <v>51</v>
      </c>
      <c r="D170" s="201" t="s">
        <v>193</v>
      </c>
      <c r="E170" s="201" t="s">
        <v>201</v>
      </c>
      <c r="F170" s="201" t="s">
        <v>11</v>
      </c>
      <c r="G170" s="202">
        <f>G171</f>
        <v>5541.1</v>
      </c>
      <c r="H170" s="239">
        <f>SUM(H171)</f>
        <v>0</v>
      </c>
      <c r="I170" s="202">
        <f>I171</f>
        <v>5541.1</v>
      </c>
      <c r="J170" s="202">
        <f>J171</f>
        <v>0</v>
      </c>
      <c r="K170" s="202"/>
      <c r="L170" s="202">
        <f>L171</f>
        <v>0</v>
      </c>
      <c r="M170" s="202">
        <f>M171</f>
        <v>5541.1</v>
      </c>
      <c r="N170" s="202">
        <f>N171</f>
        <v>0</v>
      </c>
      <c r="O170" s="226">
        <f>O171</f>
        <v>5541.1</v>
      </c>
      <c r="P170" s="226">
        <f>P171</f>
        <v>5541.1</v>
      </c>
      <c r="Q170" s="199">
        <f t="shared" si="37"/>
        <v>100</v>
      </c>
      <c r="R170" s="200"/>
      <c r="S170" s="200"/>
    </row>
    <row r="171" spans="1:20" s="197" customFormat="1" ht="23.25" customHeight="1" x14ac:dyDescent="0.25">
      <c r="A171" s="285"/>
      <c r="B171" s="198" t="s">
        <v>47</v>
      </c>
      <c r="C171" s="198" t="s">
        <v>51</v>
      </c>
      <c r="D171" s="201" t="s">
        <v>193</v>
      </c>
      <c r="E171" s="201" t="s">
        <v>201</v>
      </c>
      <c r="F171" s="201" t="s">
        <v>48</v>
      </c>
      <c r="G171" s="202">
        <v>5541.1</v>
      </c>
      <c r="H171" s="239"/>
      <c r="I171" s="202">
        <f>SUM(G171)+H171</f>
        <v>5541.1</v>
      </c>
      <c r="J171" s="206">
        <v>0</v>
      </c>
      <c r="K171" s="202"/>
      <c r="L171" s="206">
        <v>0</v>
      </c>
      <c r="M171" s="202">
        <f>SUM(G171)</f>
        <v>5541.1</v>
      </c>
      <c r="N171" s="202">
        <f>SUM(H171)</f>
        <v>0</v>
      </c>
      <c r="O171" s="226">
        <f>SUM(I171)</f>
        <v>5541.1</v>
      </c>
      <c r="P171" s="226">
        <v>5541.1</v>
      </c>
      <c r="Q171" s="199">
        <f t="shared" si="37"/>
        <v>100</v>
      </c>
      <c r="R171" s="200"/>
      <c r="S171" s="200"/>
    </row>
    <row r="172" spans="1:20" s="197" customFormat="1" ht="37.5" customHeight="1" x14ac:dyDescent="0.25">
      <c r="A172" s="285"/>
      <c r="B172" s="198" t="s">
        <v>202</v>
      </c>
      <c r="C172" s="198" t="s">
        <v>51</v>
      </c>
      <c r="D172" s="201" t="s">
        <v>193</v>
      </c>
      <c r="E172" s="201" t="s">
        <v>203</v>
      </c>
      <c r="F172" s="201" t="s">
        <v>11</v>
      </c>
      <c r="G172" s="202">
        <f t="shared" ref="G172:P174" si="38">G173</f>
        <v>20</v>
      </c>
      <c r="H172" s="202">
        <f t="shared" si="38"/>
        <v>0</v>
      </c>
      <c r="I172" s="202">
        <f t="shared" si="38"/>
        <v>20</v>
      </c>
      <c r="J172" s="202">
        <f t="shared" si="38"/>
        <v>0</v>
      </c>
      <c r="K172" s="202">
        <f>K173</f>
        <v>0</v>
      </c>
      <c r="L172" s="202">
        <f t="shared" si="38"/>
        <v>0</v>
      </c>
      <c r="M172" s="202">
        <f t="shared" si="38"/>
        <v>20</v>
      </c>
      <c r="N172" s="202">
        <f t="shared" si="38"/>
        <v>0</v>
      </c>
      <c r="O172" s="226">
        <f t="shared" si="38"/>
        <v>20</v>
      </c>
      <c r="P172" s="226">
        <f t="shared" si="38"/>
        <v>20</v>
      </c>
      <c r="Q172" s="199">
        <f t="shared" si="37"/>
        <v>100</v>
      </c>
      <c r="R172" s="200"/>
      <c r="S172" s="200"/>
    </row>
    <row r="173" spans="1:20" s="197" customFormat="1" ht="34.9" customHeight="1" x14ac:dyDescent="0.25">
      <c r="A173" s="285"/>
      <c r="B173" s="198" t="s">
        <v>204</v>
      </c>
      <c r="C173" s="198" t="s">
        <v>51</v>
      </c>
      <c r="D173" s="201" t="s">
        <v>193</v>
      </c>
      <c r="E173" s="201" t="s">
        <v>205</v>
      </c>
      <c r="F173" s="201" t="s">
        <v>11</v>
      </c>
      <c r="G173" s="202">
        <f t="shared" si="38"/>
        <v>20</v>
      </c>
      <c r="H173" s="202">
        <f t="shared" si="38"/>
        <v>0</v>
      </c>
      <c r="I173" s="202">
        <f t="shared" si="38"/>
        <v>20</v>
      </c>
      <c r="J173" s="202">
        <f t="shared" si="38"/>
        <v>0</v>
      </c>
      <c r="K173" s="202">
        <f>K174</f>
        <v>0</v>
      </c>
      <c r="L173" s="202">
        <f t="shared" si="38"/>
        <v>0</v>
      </c>
      <c r="M173" s="202">
        <f t="shared" si="38"/>
        <v>20</v>
      </c>
      <c r="N173" s="202">
        <f t="shared" si="38"/>
        <v>0</v>
      </c>
      <c r="O173" s="226">
        <f t="shared" si="38"/>
        <v>20</v>
      </c>
      <c r="P173" s="226">
        <f t="shared" si="38"/>
        <v>20</v>
      </c>
      <c r="Q173" s="199">
        <f t="shared" si="37"/>
        <v>100</v>
      </c>
      <c r="R173" s="200"/>
      <c r="S173" s="200"/>
    </row>
    <row r="174" spans="1:20" s="197" customFormat="1" ht="40.5" customHeight="1" x14ac:dyDescent="0.25">
      <c r="A174" s="285"/>
      <c r="B174" s="198" t="s">
        <v>206</v>
      </c>
      <c r="C174" s="198" t="s">
        <v>51</v>
      </c>
      <c r="D174" s="201" t="s">
        <v>193</v>
      </c>
      <c r="E174" s="201" t="s">
        <v>207</v>
      </c>
      <c r="F174" s="201" t="s">
        <v>11</v>
      </c>
      <c r="G174" s="202">
        <f>G175</f>
        <v>20</v>
      </c>
      <c r="H174" s="202"/>
      <c r="I174" s="202">
        <f>I175</f>
        <v>20</v>
      </c>
      <c r="J174" s="202">
        <f t="shared" si="38"/>
        <v>0</v>
      </c>
      <c r="K174" s="202"/>
      <c r="L174" s="202">
        <f t="shared" si="38"/>
        <v>0</v>
      </c>
      <c r="M174" s="202">
        <f t="shared" si="38"/>
        <v>20</v>
      </c>
      <c r="N174" s="202">
        <f t="shared" si="38"/>
        <v>0</v>
      </c>
      <c r="O174" s="226">
        <f t="shared" si="38"/>
        <v>20</v>
      </c>
      <c r="P174" s="226">
        <f t="shared" si="38"/>
        <v>20</v>
      </c>
      <c r="Q174" s="199">
        <f t="shared" si="37"/>
        <v>100</v>
      </c>
      <c r="R174" s="200"/>
      <c r="S174" s="200"/>
    </row>
    <row r="175" spans="1:20" s="197" customFormat="1" ht="75" x14ac:dyDescent="0.25">
      <c r="A175" s="285"/>
      <c r="B175" s="198" t="s">
        <v>40</v>
      </c>
      <c r="C175" s="198" t="s">
        <v>51</v>
      </c>
      <c r="D175" s="201" t="s">
        <v>193</v>
      </c>
      <c r="E175" s="201" t="s">
        <v>207</v>
      </c>
      <c r="F175" s="201" t="s">
        <v>41</v>
      </c>
      <c r="G175" s="202">
        <v>20</v>
      </c>
      <c r="H175" s="202"/>
      <c r="I175" s="202">
        <v>20</v>
      </c>
      <c r="J175" s="206">
        <v>0</v>
      </c>
      <c r="K175" s="202"/>
      <c r="L175" s="206">
        <v>0</v>
      </c>
      <c r="M175" s="202">
        <v>20</v>
      </c>
      <c r="N175" s="202"/>
      <c r="O175" s="226">
        <v>20</v>
      </c>
      <c r="P175" s="226">
        <v>20</v>
      </c>
      <c r="Q175" s="199">
        <f t="shared" si="37"/>
        <v>100</v>
      </c>
      <c r="R175" s="200"/>
      <c r="S175" s="200"/>
    </row>
    <row r="176" spans="1:20" s="197" customFormat="1" ht="45" customHeight="1" x14ac:dyDescent="0.25">
      <c r="A176" s="285"/>
      <c r="B176" s="198" t="s">
        <v>185</v>
      </c>
      <c r="C176" s="198" t="s">
        <v>51</v>
      </c>
      <c r="D176" s="201" t="s">
        <v>193</v>
      </c>
      <c r="E176" s="201" t="s">
        <v>186</v>
      </c>
      <c r="F176" s="201" t="s">
        <v>11</v>
      </c>
      <c r="G176" s="202">
        <f t="shared" ref="G176:P178" si="39">G177</f>
        <v>95</v>
      </c>
      <c r="H176" s="202">
        <f t="shared" si="39"/>
        <v>0</v>
      </c>
      <c r="I176" s="202">
        <f t="shared" si="39"/>
        <v>95</v>
      </c>
      <c r="J176" s="202">
        <f t="shared" si="39"/>
        <v>0</v>
      </c>
      <c r="K176" s="202">
        <f>K177</f>
        <v>0</v>
      </c>
      <c r="L176" s="202">
        <f t="shared" si="39"/>
        <v>0</v>
      </c>
      <c r="M176" s="202">
        <f t="shared" si="39"/>
        <v>95</v>
      </c>
      <c r="N176" s="202">
        <f t="shared" si="39"/>
        <v>0</v>
      </c>
      <c r="O176" s="226">
        <f t="shared" si="39"/>
        <v>95</v>
      </c>
      <c r="P176" s="226">
        <f t="shared" si="39"/>
        <v>94.9</v>
      </c>
      <c r="Q176" s="199">
        <f t="shared" si="37"/>
        <v>99.894736842105274</v>
      </c>
      <c r="R176" s="200"/>
      <c r="S176" s="200"/>
    </row>
    <row r="177" spans="1:19" s="197" customFormat="1" ht="121.5" customHeight="1" x14ac:dyDescent="0.25">
      <c r="A177" s="285"/>
      <c r="B177" s="198" t="s">
        <v>208</v>
      </c>
      <c r="C177" s="198" t="s">
        <v>51</v>
      </c>
      <c r="D177" s="201" t="s">
        <v>193</v>
      </c>
      <c r="E177" s="201" t="s">
        <v>209</v>
      </c>
      <c r="F177" s="201" t="s">
        <v>11</v>
      </c>
      <c r="G177" s="202">
        <f t="shared" si="39"/>
        <v>95</v>
      </c>
      <c r="H177" s="202">
        <f t="shared" si="39"/>
        <v>0</v>
      </c>
      <c r="I177" s="202">
        <f t="shared" si="39"/>
        <v>95</v>
      </c>
      <c r="J177" s="202">
        <f t="shared" si="39"/>
        <v>0</v>
      </c>
      <c r="K177" s="202">
        <f>K178</f>
        <v>0</v>
      </c>
      <c r="L177" s="202">
        <f t="shared" si="39"/>
        <v>0</v>
      </c>
      <c r="M177" s="202">
        <f t="shared" si="39"/>
        <v>95</v>
      </c>
      <c r="N177" s="202">
        <f t="shared" si="39"/>
        <v>0</v>
      </c>
      <c r="O177" s="226">
        <f t="shared" si="39"/>
        <v>95</v>
      </c>
      <c r="P177" s="226">
        <f t="shared" si="39"/>
        <v>94.9</v>
      </c>
      <c r="Q177" s="199">
        <f t="shared" si="37"/>
        <v>99.894736842105274</v>
      </c>
      <c r="R177" s="200"/>
      <c r="S177" s="200"/>
    </row>
    <row r="178" spans="1:19" s="197" customFormat="1" ht="46.5" customHeight="1" x14ac:dyDescent="0.25">
      <c r="A178" s="285"/>
      <c r="B178" s="198" t="s">
        <v>210</v>
      </c>
      <c r="C178" s="198" t="s">
        <v>51</v>
      </c>
      <c r="D178" s="201" t="s">
        <v>193</v>
      </c>
      <c r="E178" s="201" t="s">
        <v>211</v>
      </c>
      <c r="F178" s="201" t="s">
        <v>11</v>
      </c>
      <c r="G178" s="202">
        <f>G179</f>
        <v>95</v>
      </c>
      <c r="H178" s="202"/>
      <c r="I178" s="202">
        <f>I179</f>
        <v>95</v>
      </c>
      <c r="J178" s="202">
        <f t="shared" si="39"/>
        <v>0</v>
      </c>
      <c r="K178" s="202"/>
      <c r="L178" s="202">
        <f t="shared" si="39"/>
        <v>0</v>
      </c>
      <c r="M178" s="202">
        <f t="shared" si="39"/>
        <v>95</v>
      </c>
      <c r="N178" s="202">
        <f t="shared" si="39"/>
        <v>0</v>
      </c>
      <c r="O178" s="226">
        <f t="shared" si="39"/>
        <v>95</v>
      </c>
      <c r="P178" s="226">
        <f t="shared" si="39"/>
        <v>94.9</v>
      </c>
      <c r="Q178" s="199">
        <f t="shared" si="37"/>
        <v>99.894736842105274</v>
      </c>
      <c r="R178" s="200"/>
      <c r="S178" s="200"/>
    </row>
    <row r="179" spans="1:19" s="197" customFormat="1" ht="75" x14ac:dyDescent="0.25">
      <c r="A179" s="285"/>
      <c r="B179" s="198" t="s">
        <v>40</v>
      </c>
      <c r="C179" s="198" t="s">
        <v>51</v>
      </c>
      <c r="D179" s="201" t="s">
        <v>193</v>
      </c>
      <c r="E179" s="201" t="s">
        <v>211</v>
      </c>
      <c r="F179" s="201" t="s">
        <v>41</v>
      </c>
      <c r="G179" s="202">
        <v>95</v>
      </c>
      <c r="H179" s="202"/>
      <c r="I179" s="202">
        <v>95</v>
      </c>
      <c r="J179" s="206">
        <v>0</v>
      </c>
      <c r="K179" s="202"/>
      <c r="L179" s="206">
        <v>0</v>
      </c>
      <c r="M179" s="202">
        <v>95</v>
      </c>
      <c r="N179" s="202"/>
      <c r="O179" s="226">
        <v>95</v>
      </c>
      <c r="P179" s="226">
        <v>94.9</v>
      </c>
      <c r="Q179" s="199">
        <f t="shared" si="37"/>
        <v>99.894736842105274</v>
      </c>
      <c r="R179" s="200"/>
      <c r="S179" s="200"/>
    </row>
    <row r="180" spans="1:19" s="197" customFormat="1" ht="37.5" x14ac:dyDescent="0.25">
      <c r="A180" s="285"/>
      <c r="B180" s="198" t="s">
        <v>213</v>
      </c>
      <c r="C180" s="198" t="s">
        <v>51</v>
      </c>
      <c r="D180" s="201" t="s">
        <v>214</v>
      </c>
      <c r="E180" s="201" t="s">
        <v>11</v>
      </c>
      <c r="F180" s="201" t="s">
        <v>11</v>
      </c>
      <c r="G180" s="202">
        <f t="shared" ref="G180:P180" si="40">G181+G189+G212+G218</f>
        <v>79785.3</v>
      </c>
      <c r="H180" s="202">
        <f>H181+H189+H212+H218</f>
        <v>0</v>
      </c>
      <c r="I180" s="202">
        <f t="shared" si="40"/>
        <v>79785.3</v>
      </c>
      <c r="J180" s="202">
        <f t="shared" si="40"/>
        <v>215446.9</v>
      </c>
      <c r="K180" s="202">
        <f t="shared" si="40"/>
        <v>0</v>
      </c>
      <c r="L180" s="202">
        <f t="shared" si="40"/>
        <v>215446.9</v>
      </c>
      <c r="M180" s="202">
        <f t="shared" si="40"/>
        <v>295232.2</v>
      </c>
      <c r="N180" s="202">
        <f t="shared" si="40"/>
        <v>0</v>
      </c>
      <c r="O180" s="226">
        <f t="shared" si="40"/>
        <v>295232.2</v>
      </c>
      <c r="P180" s="226">
        <f t="shared" si="40"/>
        <v>268136.40000000002</v>
      </c>
      <c r="Q180" s="199">
        <f t="shared" si="37"/>
        <v>90.822207062779739</v>
      </c>
      <c r="R180" s="200"/>
      <c r="S180" s="200"/>
    </row>
    <row r="181" spans="1:19" s="197" customFormat="1" ht="18.75" x14ac:dyDescent="0.25">
      <c r="A181" s="285"/>
      <c r="B181" s="198" t="s">
        <v>216</v>
      </c>
      <c r="C181" s="203" t="s">
        <v>51</v>
      </c>
      <c r="D181" s="204" t="s">
        <v>217</v>
      </c>
      <c r="E181" s="204" t="s">
        <v>11</v>
      </c>
      <c r="F181" s="204" t="s">
        <v>11</v>
      </c>
      <c r="G181" s="205">
        <f t="shared" ref="G181:P185" si="41">G182</f>
        <v>11222.4</v>
      </c>
      <c r="H181" s="202">
        <f t="shared" si="41"/>
        <v>0</v>
      </c>
      <c r="I181" s="205">
        <f t="shared" si="41"/>
        <v>11222.4</v>
      </c>
      <c r="J181" s="205">
        <f t="shared" si="41"/>
        <v>148194</v>
      </c>
      <c r="K181" s="202">
        <f>K182</f>
        <v>0</v>
      </c>
      <c r="L181" s="205">
        <f t="shared" si="41"/>
        <v>148194</v>
      </c>
      <c r="M181" s="205">
        <f>M182</f>
        <v>159416.4</v>
      </c>
      <c r="N181" s="205">
        <f t="shared" si="41"/>
        <v>0</v>
      </c>
      <c r="O181" s="227">
        <f t="shared" si="41"/>
        <v>159416.4</v>
      </c>
      <c r="P181" s="227">
        <f t="shared" si="41"/>
        <v>155993.79999999999</v>
      </c>
      <c r="Q181" s="199">
        <f t="shared" si="37"/>
        <v>97.853043977909422</v>
      </c>
      <c r="R181" s="200"/>
      <c r="S181" s="200"/>
    </row>
    <row r="182" spans="1:19" s="197" customFormat="1" ht="59.25" customHeight="1" x14ac:dyDescent="0.25">
      <c r="A182" s="285"/>
      <c r="B182" s="198" t="s">
        <v>218</v>
      </c>
      <c r="C182" s="198" t="s">
        <v>51</v>
      </c>
      <c r="D182" s="201" t="s">
        <v>217</v>
      </c>
      <c r="E182" s="201" t="s">
        <v>219</v>
      </c>
      <c r="F182" s="201" t="s">
        <v>11</v>
      </c>
      <c r="G182" s="202">
        <f t="shared" si="41"/>
        <v>11222.4</v>
      </c>
      <c r="H182" s="202">
        <f t="shared" si="41"/>
        <v>0</v>
      </c>
      <c r="I182" s="202">
        <f t="shared" si="41"/>
        <v>11222.4</v>
      </c>
      <c r="J182" s="202">
        <f t="shared" si="41"/>
        <v>148194</v>
      </c>
      <c r="K182" s="202">
        <f>K183</f>
        <v>0</v>
      </c>
      <c r="L182" s="202">
        <f t="shared" si="41"/>
        <v>148194</v>
      </c>
      <c r="M182" s="202">
        <f t="shared" si="41"/>
        <v>159416.4</v>
      </c>
      <c r="N182" s="202">
        <f t="shared" si="41"/>
        <v>0</v>
      </c>
      <c r="O182" s="226">
        <f t="shared" si="41"/>
        <v>159416.4</v>
      </c>
      <c r="P182" s="226">
        <f t="shared" si="41"/>
        <v>155993.79999999999</v>
      </c>
      <c r="Q182" s="199">
        <f t="shared" si="37"/>
        <v>97.853043977909422</v>
      </c>
      <c r="R182" s="200"/>
      <c r="S182" s="200"/>
    </row>
    <row r="183" spans="1:19" s="197" customFormat="1" ht="39" customHeight="1" x14ac:dyDescent="0.25">
      <c r="A183" s="285"/>
      <c r="B183" s="198" t="s">
        <v>185</v>
      </c>
      <c r="C183" s="198" t="s">
        <v>51</v>
      </c>
      <c r="D183" s="201" t="s">
        <v>217</v>
      </c>
      <c r="E183" s="201" t="s">
        <v>220</v>
      </c>
      <c r="F183" s="201" t="s">
        <v>11</v>
      </c>
      <c r="G183" s="202">
        <f t="shared" si="41"/>
        <v>11222.4</v>
      </c>
      <c r="H183" s="202">
        <f t="shared" si="41"/>
        <v>0</v>
      </c>
      <c r="I183" s="202">
        <f t="shared" si="41"/>
        <v>11222.4</v>
      </c>
      <c r="J183" s="202">
        <f t="shared" si="41"/>
        <v>148194</v>
      </c>
      <c r="K183" s="202">
        <f>K184</f>
        <v>0</v>
      </c>
      <c r="L183" s="202">
        <f t="shared" si="41"/>
        <v>148194</v>
      </c>
      <c r="M183" s="202">
        <f t="shared" si="41"/>
        <v>159416.4</v>
      </c>
      <c r="N183" s="202">
        <f t="shared" si="41"/>
        <v>0</v>
      </c>
      <c r="O183" s="226">
        <f t="shared" si="41"/>
        <v>159416.4</v>
      </c>
      <c r="P183" s="226">
        <f t="shared" si="41"/>
        <v>155993.79999999999</v>
      </c>
      <c r="Q183" s="199">
        <f t="shared" si="37"/>
        <v>97.853043977909422</v>
      </c>
      <c r="R183" s="200"/>
      <c r="S183" s="200"/>
    </row>
    <row r="184" spans="1:19" s="197" customFormat="1" ht="60.75" customHeight="1" x14ac:dyDescent="0.25">
      <c r="A184" s="285"/>
      <c r="B184" s="198" t="s">
        <v>221</v>
      </c>
      <c r="C184" s="198" t="s">
        <v>51</v>
      </c>
      <c r="D184" s="201" t="s">
        <v>217</v>
      </c>
      <c r="E184" s="201" t="s">
        <v>222</v>
      </c>
      <c r="F184" s="201" t="s">
        <v>11</v>
      </c>
      <c r="G184" s="202">
        <f>G185+G187</f>
        <v>11222.4</v>
      </c>
      <c r="H184" s="202">
        <f>H185+H187</f>
        <v>0</v>
      </c>
      <c r="I184" s="202">
        <f>I185+I187</f>
        <v>11222.4</v>
      </c>
      <c r="J184" s="202">
        <f t="shared" si="41"/>
        <v>148194</v>
      </c>
      <c r="K184" s="202">
        <f>K185</f>
        <v>0</v>
      </c>
      <c r="L184" s="202">
        <f t="shared" si="41"/>
        <v>148194</v>
      </c>
      <c r="M184" s="202">
        <f>SUM(G184+J184)</f>
        <v>159416.4</v>
      </c>
      <c r="N184" s="202">
        <f>N185+N187</f>
        <v>0</v>
      </c>
      <c r="O184" s="226">
        <f>SUM(I184+L184)</f>
        <v>159416.4</v>
      </c>
      <c r="P184" s="226">
        <f t="shared" si="41"/>
        <v>155993.79999999999</v>
      </c>
      <c r="Q184" s="199">
        <f t="shared" si="37"/>
        <v>97.853043977909422</v>
      </c>
      <c r="R184" s="200"/>
      <c r="S184" s="200"/>
    </row>
    <row r="185" spans="1:19" s="197" customFormat="1" ht="214.5" customHeight="1" x14ac:dyDescent="0.25">
      <c r="A185" s="285"/>
      <c r="B185" s="198" t="s">
        <v>577</v>
      </c>
      <c r="C185" s="198" t="s">
        <v>51</v>
      </c>
      <c r="D185" s="201" t="s">
        <v>217</v>
      </c>
      <c r="E185" s="201" t="s">
        <v>224</v>
      </c>
      <c r="F185" s="201" t="s">
        <v>11</v>
      </c>
      <c r="G185" s="202">
        <f>G186</f>
        <v>7799.8</v>
      </c>
      <c r="H185" s="202"/>
      <c r="I185" s="202">
        <f>I186</f>
        <v>7799.8</v>
      </c>
      <c r="J185" s="202">
        <f t="shared" si="41"/>
        <v>148194</v>
      </c>
      <c r="K185" s="202">
        <f>SUM(K186)</f>
        <v>0</v>
      </c>
      <c r="L185" s="202">
        <f t="shared" si="41"/>
        <v>148194</v>
      </c>
      <c r="M185" s="202">
        <f t="shared" si="41"/>
        <v>155993.79999999999</v>
      </c>
      <c r="N185" s="202">
        <f>N186</f>
        <v>0</v>
      </c>
      <c r="O185" s="226">
        <f t="shared" si="41"/>
        <v>155993.79999999999</v>
      </c>
      <c r="P185" s="226">
        <f t="shared" si="41"/>
        <v>155993.79999999999</v>
      </c>
      <c r="Q185" s="199">
        <f t="shared" si="37"/>
        <v>100</v>
      </c>
      <c r="R185" s="200"/>
      <c r="S185" s="200"/>
    </row>
    <row r="186" spans="1:19" s="197" customFormat="1" ht="62.25" customHeight="1" x14ac:dyDescent="0.25">
      <c r="A186" s="285"/>
      <c r="B186" s="198" t="s">
        <v>225</v>
      </c>
      <c r="C186" s="198" t="s">
        <v>51</v>
      </c>
      <c r="D186" s="201" t="s">
        <v>217</v>
      </c>
      <c r="E186" s="201" t="s">
        <v>224</v>
      </c>
      <c r="F186" s="201" t="s">
        <v>226</v>
      </c>
      <c r="G186" s="202">
        <v>7799.8</v>
      </c>
      <c r="H186" s="205"/>
      <c r="I186" s="202">
        <f>487.6+7312.2</f>
        <v>7799.8</v>
      </c>
      <c r="J186" s="206">
        <v>148194</v>
      </c>
      <c r="K186" s="205"/>
      <c r="L186" s="206">
        <f>SUM(J186)</f>
        <v>148194</v>
      </c>
      <c r="M186" s="202">
        <f>SUM(G186+J186)</f>
        <v>155993.79999999999</v>
      </c>
      <c r="N186" s="202">
        <f>SUM(K186)+H186</f>
        <v>0</v>
      </c>
      <c r="O186" s="226">
        <f>SUM(N186)+M186</f>
        <v>155993.79999999999</v>
      </c>
      <c r="P186" s="226">
        <v>155993.79999999999</v>
      </c>
      <c r="Q186" s="199">
        <f t="shared" si="37"/>
        <v>100</v>
      </c>
      <c r="R186" s="200"/>
      <c r="S186" s="200"/>
    </row>
    <row r="187" spans="1:19" s="197" customFormat="1" ht="177.75" customHeight="1" x14ac:dyDescent="0.25">
      <c r="A187" s="285"/>
      <c r="B187" s="246" t="s">
        <v>576</v>
      </c>
      <c r="C187" s="208">
        <v>992</v>
      </c>
      <c r="D187" s="201" t="s">
        <v>217</v>
      </c>
      <c r="E187" s="211" t="s">
        <v>562</v>
      </c>
      <c r="F187" s="201"/>
      <c r="G187" s="202">
        <f>SUM(G188)</f>
        <v>3422.6</v>
      </c>
      <c r="H187" s="202">
        <f>H188</f>
        <v>0</v>
      </c>
      <c r="I187" s="202">
        <f>SUM(G187:H187)</f>
        <v>3422.6</v>
      </c>
      <c r="J187" s="206"/>
      <c r="K187" s="205"/>
      <c r="L187" s="206"/>
      <c r="M187" s="202">
        <f>M188</f>
        <v>3422.6</v>
      </c>
      <c r="N187" s="202">
        <f t="shared" ref="M187:O188" si="42">SUM(H187)</f>
        <v>0</v>
      </c>
      <c r="O187" s="226">
        <f>SUM(I187)</f>
        <v>3422.6</v>
      </c>
      <c r="P187" s="226">
        <v>0</v>
      </c>
      <c r="Q187" s="199">
        <f t="shared" si="37"/>
        <v>0</v>
      </c>
      <c r="R187" s="200"/>
      <c r="S187" s="200"/>
    </row>
    <row r="188" spans="1:19" s="197" customFormat="1" ht="60" customHeight="1" x14ac:dyDescent="0.25">
      <c r="A188" s="285"/>
      <c r="B188" s="198" t="s">
        <v>225</v>
      </c>
      <c r="C188" s="208">
        <v>992</v>
      </c>
      <c r="D188" s="201" t="s">
        <v>217</v>
      </c>
      <c r="E188" s="211" t="s">
        <v>562</v>
      </c>
      <c r="F188" s="201">
        <v>400</v>
      </c>
      <c r="G188" s="202">
        <v>3422.6</v>
      </c>
      <c r="H188" s="202"/>
      <c r="I188" s="202">
        <f>SUM(H188)+G188</f>
        <v>3422.6</v>
      </c>
      <c r="J188" s="206"/>
      <c r="K188" s="205"/>
      <c r="L188" s="206"/>
      <c r="M188" s="202">
        <f t="shared" si="42"/>
        <v>3422.6</v>
      </c>
      <c r="N188" s="202">
        <f t="shared" si="42"/>
        <v>0</v>
      </c>
      <c r="O188" s="226">
        <f t="shared" si="42"/>
        <v>3422.6</v>
      </c>
      <c r="P188" s="226">
        <v>0</v>
      </c>
      <c r="Q188" s="199">
        <f t="shared" si="37"/>
        <v>0</v>
      </c>
      <c r="R188" s="200"/>
      <c r="S188" s="200"/>
    </row>
    <row r="189" spans="1:19" s="197" customFormat="1" ht="37.5" x14ac:dyDescent="0.25">
      <c r="A189" s="285"/>
      <c r="B189" s="198" t="s">
        <v>228</v>
      </c>
      <c r="C189" s="203" t="s">
        <v>51</v>
      </c>
      <c r="D189" s="204" t="s">
        <v>229</v>
      </c>
      <c r="E189" s="204" t="s">
        <v>11</v>
      </c>
      <c r="F189" s="204" t="s">
        <v>11</v>
      </c>
      <c r="G189" s="205">
        <f>G190+G203+G209</f>
        <v>35532.799999999996</v>
      </c>
      <c r="H189" s="202">
        <f>H190+H203+H210</f>
        <v>0</v>
      </c>
      <c r="I189" s="205">
        <f>I190+I203+I209</f>
        <v>35532.799999999996</v>
      </c>
      <c r="J189" s="205">
        <f>J190+J203</f>
        <v>53692.5</v>
      </c>
      <c r="K189" s="205">
        <f>K190</f>
        <v>0</v>
      </c>
      <c r="L189" s="205">
        <f>L190+L203</f>
        <v>53692.5</v>
      </c>
      <c r="M189" s="205">
        <f>M190+M203+M209</f>
        <v>89225.3</v>
      </c>
      <c r="N189" s="205">
        <f>N190+N203+N210</f>
        <v>0</v>
      </c>
      <c r="O189" s="227">
        <f>O190+O203+O209</f>
        <v>89225.3</v>
      </c>
      <c r="P189" s="227">
        <f>P190+P203+P209</f>
        <v>68230.400000000009</v>
      </c>
      <c r="Q189" s="199">
        <f t="shared" si="37"/>
        <v>76.469790519056829</v>
      </c>
      <c r="R189" s="200"/>
      <c r="S189" s="200"/>
    </row>
    <row r="190" spans="1:19" s="197" customFormat="1" ht="96.75" customHeight="1" x14ac:dyDescent="0.25">
      <c r="A190" s="285"/>
      <c r="B190" s="198" t="s">
        <v>230</v>
      </c>
      <c r="C190" s="198" t="s">
        <v>51</v>
      </c>
      <c r="D190" s="201" t="s">
        <v>229</v>
      </c>
      <c r="E190" s="201" t="s">
        <v>231</v>
      </c>
      <c r="F190" s="201" t="s">
        <v>11</v>
      </c>
      <c r="G190" s="202">
        <f>G191</f>
        <v>18456.2</v>
      </c>
      <c r="H190" s="202">
        <f>H191</f>
        <v>0</v>
      </c>
      <c r="I190" s="202">
        <f>I191</f>
        <v>18456.2</v>
      </c>
      <c r="J190" s="202">
        <f>J191</f>
        <v>53692.5</v>
      </c>
      <c r="K190" s="202">
        <f>K191+K199</f>
        <v>0</v>
      </c>
      <c r="L190" s="202">
        <f>L191</f>
        <v>53692.5</v>
      </c>
      <c r="M190" s="202">
        <f>M191</f>
        <v>72148.7</v>
      </c>
      <c r="N190" s="202">
        <f>N191</f>
        <v>0</v>
      </c>
      <c r="O190" s="226">
        <f>O191</f>
        <v>72148.7</v>
      </c>
      <c r="P190" s="226">
        <f>P191</f>
        <v>51373.8</v>
      </c>
      <c r="Q190" s="199">
        <f t="shared" si="37"/>
        <v>71.205440985076663</v>
      </c>
      <c r="R190" s="200"/>
      <c r="S190" s="200"/>
    </row>
    <row r="191" spans="1:19" s="197" customFormat="1" ht="81" customHeight="1" x14ac:dyDescent="0.25">
      <c r="A191" s="285"/>
      <c r="B191" s="198" t="s">
        <v>232</v>
      </c>
      <c r="C191" s="198" t="s">
        <v>51</v>
      </c>
      <c r="D191" s="201" t="s">
        <v>229</v>
      </c>
      <c r="E191" s="201" t="s">
        <v>233</v>
      </c>
      <c r="F191" s="201" t="s">
        <v>11</v>
      </c>
      <c r="G191" s="202">
        <f>G192+G200</f>
        <v>18456.2</v>
      </c>
      <c r="H191" s="202">
        <f>H192+H200</f>
        <v>0</v>
      </c>
      <c r="I191" s="202">
        <f>I192+I200</f>
        <v>18456.2</v>
      </c>
      <c r="J191" s="202">
        <f>J192+J200</f>
        <v>53692.5</v>
      </c>
      <c r="K191" s="202">
        <f>K192</f>
        <v>0</v>
      </c>
      <c r="L191" s="202">
        <f>L192+L200</f>
        <v>53692.5</v>
      </c>
      <c r="M191" s="202">
        <f>M192+M200</f>
        <v>72148.7</v>
      </c>
      <c r="N191" s="202">
        <f>N192+N200</f>
        <v>0</v>
      </c>
      <c r="O191" s="226">
        <f>O192+O200</f>
        <v>72148.7</v>
      </c>
      <c r="P191" s="226">
        <f>P192+P200</f>
        <v>51373.8</v>
      </c>
      <c r="Q191" s="199">
        <f t="shared" si="37"/>
        <v>71.205440985076663</v>
      </c>
      <c r="R191" s="200"/>
      <c r="S191" s="200"/>
    </row>
    <row r="192" spans="1:19" s="197" customFormat="1" ht="57" customHeight="1" x14ac:dyDescent="0.25">
      <c r="A192" s="285"/>
      <c r="B192" s="198" t="s">
        <v>234</v>
      </c>
      <c r="C192" s="198" t="s">
        <v>51</v>
      </c>
      <c r="D192" s="201" t="s">
        <v>229</v>
      </c>
      <c r="E192" s="201" t="s">
        <v>235</v>
      </c>
      <c r="F192" s="201" t="s">
        <v>11</v>
      </c>
      <c r="G192" s="202">
        <f>G193+G198+G196</f>
        <v>10274.1</v>
      </c>
      <c r="H192" s="202">
        <f t="shared" ref="H192:P192" si="43">H193+H198+H196</f>
        <v>0</v>
      </c>
      <c r="I192" s="202">
        <f t="shared" si="43"/>
        <v>10274.1</v>
      </c>
      <c r="J192" s="202">
        <f t="shared" si="43"/>
        <v>53692.5</v>
      </c>
      <c r="K192" s="202">
        <f t="shared" si="43"/>
        <v>0</v>
      </c>
      <c r="L192" s="202">
        <f t="shared" si="43"/>
        <v>53692.5</v>
      </c>
      <c r="M192" s="202">
        <f t="shared" si="43"/>
        <v>63966.6</v>
      </c>
      <c r="N192" s="202">
        <f t="shared" si="43"/>
        <v>0</v>
      </c>
      <c r="O192" s="226">
        <f t="shared" si="43"/>
        <v>63966.6</v>
      </c>
      <c r="P192" s="226">
        <f t="shared" si="43"/>
        <v>44212.800000000003</v>
      </c>
      <c r="Q192" s="199">
        <f t="shared" si="37"/>
        <v>69.118571254373379</v>
      </c>
      <c r="R192" s="200"/>
      <c r="S192" s="200"/>
    </row>
    <row r="193" spans="1:19" s="197" customFormat="1" ht="118.5" customHeight="1" x14ac:dyDescent="0.25">
      <c r="A193" s="285"/>
      <c r="B193" s="198" t="s">
        <v>236</v>
      </c>
      <c r="C193" s="198" t="s">
        <v>51</v>
      </c>
      <c r="D193" s="201" t="s">
        <v>229</v>
      </c>
      <c r="E193" s="201" t="s">
        <v>237</v>
      </c>
      <c r="F193" s="201" t="s">
        <v>11</v>
      </c>
      <c r="G193" s="202">
        <f>G194+G195</f>
        <v>10274.1</v>
      </c>
      <c r="H193" s="202">
        <f>H194+H195</f>
        <v>0</v>
      </c>
      <c r="I193" s="202">
        <f t="shared" ref="I193:P193" si="44">I194+I195</f>
        <v>10274.1</v>
      </c>
      <c r="J193" s="202">
        <f t="shared" si="44"/>
        <v>27036</v>
      </c>
      <c r="K193" s="202">
        <f t="shared" si="44"/>
        <v>0</v>
      </c>
      <c r="L193" s="202">
        <f t="shared" si="44"/>
        <v>27036</v>
      </c>
      <c r="M193" s="202">
        <f t="shared" si="44"/>
        <v>37310.1</v>
      </c>
      <c r="N193" s="202">
        <f t="shared" si="44"/>
        <v>0</v>
      </c>
      <c r="O193" s="226">
        <f t="shared" si="44"/>
        <v>37310.1</v>
      </c>
      <c r="P193" s="226">
        <f t="shared" si="44"/>
        <v>18146.3</v>
      </c>
      <c r="Q193" s="199">
        <f t="shared" si="37"/>
        <v>48.636428205767338</v>
      </c>
      <c r="R193" s="200"/>
      <c r="S193" s="200"/>
    </row>
    <row r="194" spans="1:19" s="197" customFormat="1" ht="75" x14ac:dyDescent="0.25">
      <c r="A194" s="285"/>
      <c r="B194" s="198" t="s">
        <v>40</v>
      </c>
      <c r="C194" s="198" t="s">
        <v>51</v>
      </c>
      <c r="D194" s="201" t="s">
        <v>229</v>
      </c>
      <c r="E194" s="201" t="s">
        <v>237</v>
      </c>
      <c r="F194" s="201" t="s">
        <v>41</v>
      </c>
      <c r="G194" s="202">
        <v>9794.1</v>
      </c>
      <c r="H194" s="202"/>
      <c r="I194" s="202">
        <f>SUM(G194)+H194</f>
        <v>9794.1</v>
      </c>
      <c r="J194" s="206">
        <v>10000</v>
      </c>
      <c r="K194" s="202"/>
      <c r="L194" s="206">
        <v>10000</v>
      </c>
      <c r="M194" s="202">
        <f>SUM(G194+J194)</f>
        <v>19794.099999999999</v>
      </c>
      <c r="N194" s="202">
        <f>SUM(K194)+H194</f>
        <v>0</v>
      </c>
      <c r="O194" s="226">
        <f>SUM(I194+L194)</f>
        <v>19794.099999999999</v>
      </c>
      <c r="P194" s="226">
        <v>14768.5</v>
      </c>
      <c r="Q194" s="199">
        <f t="shared" si="37"/>
        <v>74.610616294754507</v>
      </c>
      <c r="R194" s="200"/>
      <c r="S194" s="200"/>
    </row>
    <row r="195" spans="1:19" s="197" customFormat="1" ht="62.25" customHeight="1" x14ac:dyDescent="0.25">
      <c r="A195" s="285"/>
      <c r="B195" s="198" t="s">
        <v>225</v>
      </c>
      <c r="C195" s="210">
        <v>992</v>
      </c>
      <c r="D195" s="211" t="s">
        <v>229</v>
      </c>
      <c r="E195" s="211" t="s">
        <v>237</v>
      </c>
      <c r="F195" s="211" t="s">
        <v>226</v>
      </c>
      <c r="G195" s="202">
        <v>480</v>
      </c>
      <c r="H195" s="202"/>
      <c r="I195" s="202">
        <f>SUM(G195)+H195</f>
        <v>480</v>
      </c>
      <c r="J195" s="206">
        <v>17036</v>
      </c>
      <c r="K195" s="202"/>
      <c r="L195" s="206">
        <f>SUM(J195)</f>
        <v>17036</v>
      </c>
      <c r="M195" s="202">
        <f>SUM(G195+J195)</f>
        <v>17516</v>
      </c>
      <c r="N195" s="202">
        <f>SUM(K195)+H195</f>
        <v>0</v>
      </c>
      <c r="O195" s="226">
        <f>SUM(M195)+N195</f>
        <v>17516</v>
      </c>
      <c r="P195" s="226">
        <v>3377.8</v>
      </c>
      <c r="Q195" s="199">
        <f t="shared" si="37"/>
        <v>19.284083124000915</v>
      </c>
      <c r="R195" s="200"/>
      <c r="S195" s="200"/>
    </row>
    <row r="196" spans="1:19" s="197" customFormat="1" ht="177.75" customHeight="1" x14ac:dyDescent="0.25">
      <c r="A196" s="285"/>
      <c r="B196" s="207" t="s">
        <v>238</v>
      </c>
      <c r="C196" s="210">
        <v>992</v>
      </c>
      <c r="D196" s="211" t="s">
        <v>229</v>
      </c>
      <c r="E196" s="211" t="s">
        <v>239</v>
      </c>
      <c r="F196" s="211"/>
      <c r="G196" s="202">
        <f t="shared" ref="G196:P196" si="45">G197</f>
        <v>0</v>
      </c>
      <c r="H196" s="202">
        <f t="shared" si="45"/>
        <v>0</v>
      </c>
      <c r="I196" s="202">
        <f t="shared" si="45"/>
        <v>0</v>
      </c>
      <c r="J196" s="206">
        <f t="shared" si="45"/>
        <v>26656.5</v>
      </c>
      <c r="K196" s="202">
        <f t="shared" si="45"/>
        <v>0</v>
      </c>
      <c r="L196" s="206">
        <f t="shared" si="45"/>
        <v>26656.5</v>
      </c>
      <c r="M196" s="202">
        <f t="shared" si="45"/>
        <v>26656.5</v>
      </c>
      <c r="N196" s="202">
        <f t="shared" si="45"/>
        <v>0</v>
      </c>
      <c r="O196" s="226">
        <f t="shared" si="45"/>
        <v>26656.5</v>
      </c>
      <c r="P196" s="226">
        <f t="shared" si="45"/>
        <v>26066.5</v>
      </c>
      <c r="Q196" s="199">
        <f t="shared" si="37"/>
        <v>97.786656162662013</v>
      </c>
      <c r="R196" s="200"/>
      <c r="S196" s="200"/>
    </row>
    <row r="197" spans="1:19" s="197" customFormat="1" ht="75.75" customHeight="1" x14ac:dyDescent="0.25">
      <c r="A197" s="285"/>
      <c r="B197" s="207" t="s">
        <v>40</v>
      </c>
      <c r="C197" s="210">
        <v>992</v>
      </c>
      <c r="D197" s="211" t="s">
        <v>229</v>
      </c>
      <c r="E197" s="211" t="s">
        <v>239</v>
      </c>
      <c r="F197" s="211" t="s">
        <v>41</v>
      </c>
      <c r="G197" s="202"/>
      <c r="H197" s="202"/>
      <c r="I197" s="202">
        <f>SUM(G197:H197)</f>
        <v>0</v>
      </c>
      <c r="J197" s="206">
        <v>26656.5</v>
      </c>
      <c r="K197" s="202"/>
      <c r="L197" s="206">
        <f>SUM(J197:K197)</f>
        <v>26656.5</v>
      </c>
      <c r="M197" s="202">
        <f>SUM(J197)</f>
        <v>26656.5</v>
      </c>
      <c r="N197" s="202">
        <f>H197+K197</f>
        <v>0</v>
      </c>
      <c r="O197" s="226">
        <f>I197+L197</f>
        <v>26656.5</v>
      </c>
      <c r="P197" s="226">
        <v>26066.5</v>
      </c>
      <c r="Q197" s="199">
        <f t="shared" si="37"/>
        <v>97.786656162662013</v>
      </c>
      <c r="R197" s="200"/>
      <c r="S197" s="200"/>
    </row>
    <row r="198" spans="1:19" s="197" customFormat="1" ht="150" hidden="1" customHeight="1" x14ac:dyDescent="0.25">
      <c r="A198" s="285"/>
      <c r="B198" s="198" t="s">
        <v>240</v>
      </c>
      <c r="C198" s="198" t="s">
        <v>51</v>
      </c>
      <c r="D198" s="201" t="s">
        <v>229</v>
      </c>
      <c r="E198" s="201" t="s">
        <v>241</v>
      </c>
      <c r="F198" s="201" t="s">
        <v>11</v>
      </c>
      <c r="G198" s="202">
        <f>G199</f>
        <v>0</v>
      </c>
      <c r="H198" s="202">
        <f>SUM(H199)</f>
        <v>0</v>
      </c>
      <c r="I198" s="202">
        <f>I199</f>
        <v>0</v>
      </c>
      <c r="J198" s="202">
        <f>J199</f>
        <v>0</v>
      </c>
      <c r="K198" s="202"/>
      <c r="L198" s="202">
        <f>L199</f>
        <v>0</v>
      </c>
      <c r="M198" s="202">
        <f>M199</f>
        <v>0</v>
      </c>
      <c r="N198" s="202">
        <f>N199</f>
        <v>0</v>
      </c>
      <c r="O198" s="226">
        <f>O199</f>
        <v>0</v>
      </c>
      <c r="P198" s="226"/>
      <c r="Q198" s="199">
        <f t="shared" ref="Q198:Q199" si="46">P187/O187*100</f>
        <v>0</v>
      </c>
      <c r="R198" s="200"/>
      <c r="S198" s="200"/>
    </row>
    <row r="199" spans="1:19" s="197" customFormat="1" ht="75" hidden="1" customHeight="1" x14ac:dyDescent="0.25">
      <c r="A199" s="285"/>
      <c r="B199" s="198" t="s">
        <v>40</v>
      </c>
      <c r="C199" s="198" t="s">
        <v>51</v>
      </c>
      <c r="D199" s="201" t="s">
        <v>229</v>
      </c>
      <c r="E199" s="201" t="s">
        <v>241</v>
      </c>
      <c r="F199" s="201" t="s">
        <v>41</v>
      </c>
      <c r="G199" s="202">
        <v>0</v>
      </c>
      <c r="H199" s="202"/>
      <c r="I199" s="202"/>
      <c r="J199" s="206">
        <v>0</v>
      </c>
      <c r="K199" s="202">
        <f t="shared" ref="G199:P201" si="47">K200</f>
        <v>0</v>
      </c>
      <c r="L199" s="206">
        <v>0</v>
      </c>
      <c r="M199" s="202"/>
      <c r="N199" s="202">
        <f>SUM(H199)</f>
        <v>0</v>
      </c>
      <c r="O199" s="226"/>
      <c r="P199" s="226"/>
      <c r="Q199" s="199">
        <f t="shared" si="46"/>
        <v>0</v>
      </c>
      <c r="R199" s="200"/>
      <c r="S199" s="200"/>
    </row>
    <row r="200" spans="1:19" s="197" customFormat="1" ht="75" x14ac:dyDescent="0.25">
      <c r="A200" s="285"/>
      <c r="B200" s="198" t="s">
        <v>242</v>
      </c>
      <c r="C200" s="198" t="s">
        <v>51</v>
      </c>
      <c r="D200" s="201" t="s">
        <v>229</v>
      </c>
      <c r="E200" s="201" t="s">
        <v>243</v>
      </c>
      <c r="F200" s="201" t="s">
        <v>11</v>
      </c>
      <c r="G200" s="202">
        <f t="shared" si="47"/>
        <v>8182.1</v>
      </c>
      <c r="H200" s="202">
        <f t="shared" si="47"/>
        <v>0</v>
      </c>
      <c r="I200" s="202">
        <f t="shared" si="47"/>
        <v>8182.1</v>
      </c>
      <c r="J200" s="202">
        <f t="shared" si="47"/>
        <v>0</v>
      </c>
      <c r="K200" s="202">
        <f t="shared" si="47"/>
        <v>0</v>
      </c>
      <c r="L200" s="202">
        <f t="shared" si="47"/>
        <v>0</v>
      </c>
      <c r="M200" s="202">
        <f t="shared" si="47"/>
        <v>8182.1</v>
      </c>
      <c r="N200" s="202">
        <f t="shared" si="47"/>
        <v>0</v>
      </c>
      <c r="O200" s="226">
        <f t="shared" si="47"/>
        <v>8182.1</v>
      </c>
      <c r="P200" s="226">
        <f t="shared" si="47"/>
        <v>7161</v>
      </c>
      <c r="Q200" s="199">
        <f t="shared" ref="Q200:Q202" si="48">P200/O200*100</f>
        <v>87.520318744576571</v>
      </c>
      <c r="R200" s="200"/>
      <c r="S200" s="200"/>
    </row>
    <row r="201" spans="1:19" s="197" customFormat="1" ht="136.5" customHeight="1" x14ac:dyDescent="0.25">
      <c r="A201" s="285"/>
      <c r="B201" s="198" t="s">
        <v>240</v>
      </c>
      <c r="C201" s="198" t="s">
        <v>51</v>
      </c>
      <c r="D201" s="201" t="s">
        <v>229</v>
      </c>
      <c r="E201" s="201" t="s">
        <v>244</v>
      </c>
      <c r="F201" s="201" t="s">
        <v>11</v>
      </c>
      <c r="G201" s="202">
        <f t="shared" si="47"/>
        <v>8182.1</v>
      </c>
      <c r="H201" s="202">
        <f>SUM(H202)</f>
        <v>0</v>
      </c>
      <c r="I201" s="202">
        <f t="shared" si="47"/>
        <v>8182.1</v>
      </c>
      <c r="J201" s="202">
        <f t="shared" si="47"/>
        <v>0</v>
      </c>
      <c r="K201" s="202"/>
      <c r="L201" s="202">
        <f t="shared" si="47"/>
        <v>0</v>
      </c>
      <c r="M201" s="202">
        <f t="shared" si="47"/>
        <v>8182.1</v>
      </c>
      <c r="N201" s="202">
        <f t="shared" si="47"/>
        <v>0</v>
      </c>
      <c r="O201" s="226">
        <f t="shared" si="47"/>
        <v>8182.1</v>
      </c>
      <c r="P201" s="226">
        <f t="shared" si="47"/>
        <v>7161</v>
      </c>
      <c r="Q201" s="199">
        <f t="shared" si="48"/>
        <v>87.520318744576571</v>
      </c>
      <c r="R201" s="200"/>
      <c r="S201" s="200"/>
    </row>
    <row r="202" spans="1:19" s="197" customFormat="1" ht="80.25" customHeight="1" x14ac:dyDescent="0.25">
      <c r="A202" s="285"/>
      <c r="B202" s="198" t="s">
        <v>40</v>
      </c>
      <c r="C202" s="198" t="s">
        <v>51</v>
      </c>
      <c r="D202" s="201" t="s">
        <v>229</v>
      </c>
      <c r="E202" s="201" t="s">
        <v>244</v>
      </c>
      <c r="F202" s="201" t="s">
        <v>41</v>
      </c>
      <c r="G202" s="202">
        <v>8182.1</v>
      </c>
      <c r="H202" s="202"/>
      <c r="I202" s="202">
        <f>SUM(G202)+H202</f>
        <v>8182.1</v>
      </c>
      <c r="J202" s="206">
        <v>0</v>
      </c>
      <c r="K202" s="202"/>
      <c r="L202" s="206">
        <v>0</v>
      </c>
      <c r="M202" s="202">
        <f>SUM(G202)</f>
        <v>8182.1</v>
      </c>
      <c r="N202" s="202">
        <f>SUM(H202)</f>
        <v>0</v>
      </c>
      <c r="O202" s="226">
        <f>SUM(I202)</f>
        <v>8182.1</v>
      </c>
      <c r="P202" s="226">
        <v>7161</v>
      </c>
      <c r="Q202" s="199">
        <f t="shared" si="48"/>
        <v>87.520318744576571</v>
      </c>
      <c r="R202" s="200"/>
      <c r="S202" s="200"/>
    </row>
    <row r="203" spans="1:19" s="197" customFormat="1" ht="57" customHeight="1" x14ac:dyDescent="0.25">
      <c r="A203" s="285"/>
      <c r="B203" s="198" t="s">
        <v>245</v>
      </c>
      <c r="C203" s="198" t="s">
        <v>51</v>
      </c>
      <c r="D203" s="201" t="s">
        <v>229</v>
      </c>
      <c r="E203" s="201" t="s">
        <v>246</v>
      </c>
      <c r="F203" s="201" t="s">
        <v>11</v>
      </c>
      <c r="G203" s="202">
        <f t="shared" ref="G203:P206" si="49">G204</f>
        <v>15743</v>
      </c>
      <c r="H203" s="202">
        <f t="shared" si="49"/>
        <v>0</v>
      </c>
      <c r="I203" s="202">
        <f t="shared" si="49"/>
        <v>15743</v>
      </c>
      <c r="J203" s="202">
        <f t="shared" si="49"/>
        <v>0</v>
      </c>
      <c r="K203" s="202">
        <f>K204</f>
        <v>0</v>
      </c>
      <c r="L203" s="202">
        <f t="shared" si="49"/>
        <v>0</v>
      </c>
      <c r="M203" s="202">
        <f t="shared" si="49"/>
        <v>15743</v>
      </c>
      <c r="N203" s="202">
        <f t="shared" si="49"/>
        <v>0</v>
      </c>
      <c r="O203" s="226">
        <f t="shared" si="49"/>
        <v>15743</v>
      </c>
      <c r="P203" s="226">
        <f t="shared" si="49"/>
        <v>15743</v>
      </c>
      <c r="Q203" s="199">
        <f t="shared" ref="Q203:Q228" si="50">P203/O203*100</f>
        <v>100</v>
      </c>
      <c r="R203" s="200"/>
      <c r="S203" s="200"/>
    </row>
    <row r="204" spans="1:19" s="197" customFormat="1" ht="37.5" x14ac:dyDescent="0.25">
      <c r="A204" s="285"/>
      <c r="B204" s="198" t="s">
        <v>247</v>
      </c>
      <c r="C204" s="198" t="s">
        <v>51</v>
      </c>
      <c r="D204" s="201" t="s">
        <v>229</v>
      </c>
      <c r="E204" s="201" t="s">
        <v>248</v>
      </c>
      <c r="F204" s="201" t="s">
        <v>11</v>
      </c>
      <c r="G204" s="202">
        <f t="shared" si="49"/>
        <v>15743</v>
      </c>
      <c r="H204" s="202">
        <f t="shared" si="49"/>
        <v>0</v>
      </c>
      <c r="I204" s="202">
        <f t="shared" si="49"/>
        <v>15743</v>
      </c>
      <c r="J204" s="202">
        <f t="shared" si="49"/>
        <v>0</v>
      </c>
      <c r="K204" s="202">
        <f>K205</f>
        <v>0</v>
      </c>
      <c r="L204" s="202">
        <f t="shared" si="49"/>
        <v>0</v>
      </c>
      <c r="M204" s="202">
        <f t="shared" si="49"/>
        <v>15743</v>
      </c>
      <c r="N204" s="202">
        <f t="shared" si="49"/>
        <v>0</v>
      </c>
      <c r="O204" s="226">
        <f t="shared" si="49"/>
        <v>15743</v>
      </c>
      <c r="P204" s="226">
        <f t="shared" si="49"/>
        <v>15743</v>
      </c>
      <c r="Q204" s="199">
        <f t="shared" si="50"/>
        <v>100</v>
      </c>
      <c r="R204" s="200"/>
      <c r="S204" s="200"/>
    </row>
    <row r="205" spans="1:19" s="197" customFormat="1" ht="101.25" customHeight="1" x14ac:dyDescent="0.25">
      <c r="A205" s="285"/>
      <c r="B205" s="198" t="s">
        <v>249</v>
      </c>
      <c r="C205" s="198" t="s">
        <v>51</v>
      </c>
      <c r="D205" s="201" t="s">
        <v>229</v>
      </c>
      <c r="E205" s="201" t="s">
        <v>250</v>
      </c>
      <c r="F205" s="201" t="s">
        <v>11</v>
      </c>
      <c r="G205" s="202">
        <f t="shared" si="49"/>
        <v>15743</v>
      </c>
      <c r="H205" s="202">
        <f>SUM(H206)</f>
        <v>0</v>
      </c>
      <c r="I205" s="202">
        <f t="shared" si="49"/>
        <v>15743</v>
      </c>
      <c r="J205" s="202">
        <f t="shared" si="49"/>
        <v>0</v>
      </c>
      <c r="K205" s="202">
        <f>K206</f>
        <v>0</v>
      </c>
      <c r="L205" s="202">
        <f t="shared" si="49"/>
        <v>0</v>
      </c>
      <c r="M205" s="202">
        <f t="shared" si="49"/>
        <v>15743</v>
      </c>
      <c r="N205" s="202">
        <f>SUM(H205)</f>
        <v>0</v>
      </c>
      <c r="O205" s="226">
        <f t="shared" si="49"/>
        <v>15743</v>
      </c>
      <c r="P205" s="226">
        <f t="shared" si="49"/>
        <v>15743</v>
      </c>
      <c r="Q205" s="199">
        <f t="shared" si="50"/>
        <v>100</v>
      </c>
      <c r="R205" s="200"/>
      <c r="S205" s="200"/>
    </row>
    <row r="206" spans="1:19" s="197" customFormat="1" ht="56.25" x14ac:dyDescent="0.25">
      <c r="A206" s="285"/>
      <c r="B206" s="198" t="s">
        <v>134</v>
      </c>
      <c r="C206" s="198" t="s">
        <v>51</v>
      </c>
      <c r="D206" s="201" t="s">
        <v>229</v>
      </c>
      <c r="E206" s="201" t="s">
        <v>251</v>
      </c>
      <c r="F206" s="201" t="s">
        <v>11</v>
      </c>
      <c r="G206" s="202">
        <f>G207</f>
        <v>15743</v>
      </c>
      <c r="H206" s="202">
        <f>SUM(H207)</f>
        <v>0</v>
      </c>
      <c r="I206" s="202">
        <f>I207</f>
        <v>15743</v>
      </c>
      <c r="J206" s="202">
        <f t="shared" si="49"/>
        <v>0</v>
      </c>
      <c r="K206" s="202"/>
      <c r="L206" s="202">
        <f t="shared" si="49"/>
        <v>0</v>
      </c>
      <c r="M206" s="202">
        <f t="shared" si="49"/>
        <v>15743</v>
      </c>
      <c r="N206" s="202">
        <f t="shared" si="49"/>
        <v>0</v>
      </c>
      <c r="O206" s="226">
        <f t="shared" si="49"/>
        <v>15743</v>
      </c>
      <c r="P206" s="226">
        <f t="shared" si="49"/>
        <v>15743</v>
      </c>
      <c r="Q206" s="199">
        <f t="shared" si="50"/>
        <v>100</v>
      </c>
      <c r="R206" s="200"/>
      <c r="S206" s="200"/>
    </row>
    <row r="207" spans="1:19" s="197" customFormat="1" ht="78.75" customHeight="1" x14ac:dyDescent="0.25">
      <c r="A207" s="285"/>
      <c r="B207" s="198" t="s">
        <v>95</v>
      </c>
      <c r="C207" s="198" t="s">
        <v>51</v>
      </c>
      <c r="D207" s="201" t="s">
        <v>229</v>
      </c>
      <c r="E207" s="201" t="s">
        <v>251</v>
      </c>
      <c r="F207" s="201" t="s">
        <v>96</v>
      </c>
      <c r="G207" s="202">
        <v>15743</v>
      </c>
      <c r="H207" s="205"/>
      <c r="I207" s="202">
        <f>SUM(G207)+H207</f>
        <v>15743</v>
      </c>
      <c r="J207" s="206">
        <v>0</v>
      </c>
      <c r="K207" s="205"/>
      <c r="L207" s="206">
        <v>0</v>
      </c>
      <c r="M207" s="202">
        <f>SUM(G207)</f>
        <v>15743</v>
      </c>
      <c r="N207" s="202">
        <f>SUM(H207)</f>
        <v>0</v>
      </c>
      <c r="O207" s="226">
        <f>SUM(M207)+N207</f>
        <v>15743</v>
      </c>
      <c r="P207" s="226">
        <v>15743</v>
      </c>
      <c r="Q207" s="199">
        <f t="shared" si="50"/>
        <v>100</v>
      </c>
      <c r="R207" s="200"/>
      <c r="S207" s="200"/>
    </row>
    <row r="208" spans="1:19" s="197" customFormat="1" ht="37.5" customHeight="1" x14ac:dyDescent="0.25">
      <c r="A208" s="285"/>
      <c r="B208" s="210" t="s">
        <v>583</v>
      </c>
      <c r="C208" s="210" t="s">
        <v>51</v>
      </c>
      <c r="D208" s="211" t="s">
        <v>229</v>
      </c>
      <c r="E208" s="211" t="s">
        <v>460</v>
      </c>
      <c r="F208" s="201"/>
      <c r="G208" s="202">
        <f>G209</f>
        <v>1333.6</v>
      </c>
      <c r="H208" s="205"/>
      <c r="I208" s="202">
        <f>I209</f>
        <v>1333.6</v>
      </c>
      <c r="J208" s="206"/>
      <c r="K208" s="205"/>
      <c r="L208" s="206"/>
      <c r="M208" s="202">
        <f>M209</f>
        <v>1333.6</v>
      </c>
      <c r="N208" s="202"/>
      <c r="O208" s="226">
        <f>O209</f>
        <v>1333.6</v>
      </c>
      <c r="P208" s="226">
        <f>P209</f>
        <v>1113.5999999999999</v>
      </c>
      <c r="Q208" s="199">
        <f t="shared" si="50"/>
        <v>83.503299340131974</v>
      </c>
      <c r="R208" s="200"/>
      <c r="S208" s="200"/>
    </row>
    <row r="209" spans="1:19" s="197" customFormat="1" ht="138" customHeight="1" x14ac:dyDescent="0.25">
      <c r="A209" s="285"/>
      <c r="B209" s="207" t="s">
        <v>461</v>
      </c>
      <c r="C209" s="198">
        <v>992</v>
      </c>
      <c r="D209" s="201" t="s">
        <v>229</v>
      </c>
      <c r="E209" s="211" t="s">
        <v>462</v>
      </c>
      <c r="F209" s="201"/>
      <c r="G209" s="205">
        <f t="shared" ref="G209:I210" si="51">SUM(G210)</f>
        <v>1333.6</v>
      </c>
      <c r="H209" s="205">
        <f t="shared" si="51"/>
        <v>0</v>
      </c>
      <c r="I209" s="205">
        <f t="shared" si="51"/>
        <v>1333.6</v>
      </c>
      <c r="J209" s="206"/>
      <c r="K209" s="205"/>
      <c r="L209" s="206"/>
      <c r="M209" s="202">
        <f>SUM(G209)</f>
        <v>1333.6</v>
      </c>
      <c r="N209" s="202">
        <f t="shared" ref="N209:O211" si="52">SUM(H209)</f>
        <v>0</v>
      </c>
      <c r="O209" s="226">
        <f t="shared" si="52"/>
        <v>1333.6</v>
      </c>
      <c r="P209" s="226">
        <v>1113.5999999999999</v>
      </c>
      <c r="Q209" s="199">
        <f t="shared" si="50"/>
        <v>83.503299340131974</v>
      </c>
      <c r="R209" s="200"/>
      <c r="S209" s="200"/>
    </row>
    <row r="210" spans="1:19" s="197" customFormat="1" ht="37.15" customHeight="1" x14ac:dyDescent="0.25">
      <c r="A210" s="285"/>
      <c r="B210" s="207" t="s">
        <v>463</v>
      </c>
      <c r="C210" s="198">
        <v>992</v>
      </c>
      <c r="D210" s="201" t="s">
        <v>229</v>
      </c>
      <c r="E210" s="201">
        <v>1300122640</v>
      </c>
      <c r="F210" s="201"/>
      <c r="G210" s="205">
        <f t="shared" si="51"/>
        <v>1333.6</v>
      </c>
      <c r="H210" s="205">
        <f t="shared" si="51"/>
        <v>0</v>
      </c>
      <c r="I210" s="205">
        <f t="shared" si="51"/>
        <v>1333.6</v>
      </c>
      <c r="J210" s="206"/>
      <c r="K210" s="205"/>
      <c r="L210" s="206"/>
      <c r="M210" s="202">
        <f>SUM(G210)</f>
        <v>1333.6</v>
      </c>
      <c r="N210" s="202">
        <f t="shared" si="52"/>
        <v>0</v>
      </c>
      <c r="O210" s="226">
        <f t="shared" si="52"/>
        <v>1333.6</v>
      </c>
      <c r="P210" s="226">
        <v>1113.5999999999999</v>
      </c>
      <c r="Q210" s="199">
        <f t="shared" si="50"/>
        <v>83.503299340131974</v>
      </c>
      <c r="R210" s="200"/>
      <c r="S210" s="200"/>
    </row>
    <row r="211" spans="1:19" s="197" customFormat="1" ht="57.75" customHeight="1" x14ac:dyDescent="0.25">
      <c r="A211" s="285"/>
      <c r="B211" s="198" t="s">
        <v>95</v>
      </c>
      <c r="C211" s="198">
        <v>992</v>
      </c>
      <c r="D211" s="201" t="s">
        <v>229</v>
      </c>
      <c r="E211" s="201">
        <v>1300122640</v>
      </c>
      <c r="F211" s="201">
        <v>200</v>
      </c>
      <c r="G211" s="202">
        <v>1333.6</v>
      </c>
      <c r="H211" s="205"/>
      <c r="I211" s="205">
        <f>SUM(G211)+H211</f>
        <v>1333.6</v>
      </c>
      <c r="J211" s="206"/>
      <c r="K211" s="205"/>
      <c r="L211" s="206"/>
      <c r="M211" s="202">
        <f>SUM(G211)</f>
        <v>1333.6</v>
      </c>
      <c r="N211" s="202">
        <f t="shared" si="52"/>
        <v>0</v>
      </c>
      <c r="O211" s="226">
        <f t="shared" si="52"/>
        <v>1333.6</v>
      </c>
      <c r="P211" s="226">
        <v>1113.5999999999999</v>
      </c>
      <c r="Q211" s="199">
        <f t="shared" si="50"/>
        <v>83.503299340131974</v>
      </c>
      <c r="R211" s="200"/>
      <c r="S211" s="200"/>
    </row>
    <row r="212" spans="1:19" s="197" customFormat="1" ht="23.25" customHeight="1" x14ac:dyDescent="0.25">
      <c r="A212" s="285"/>
      <c r="B212" s="198" t="s">
        <v>253</v>
      </c>
      <c r="C212" s="203" t="s">
        <v>51</v>
      </c>
      <c r="D212" s="204" t="s">
        <v>254</v>
      </c>
      <c r="E212" s="204" t="s">
        <v>11</v>
      </c>
      <c r="F212" s="204" t="s">
        <v>11</v>
      </c>
      <c r="G212" s="205">
        <f t="shared" ref="G212:P216" si="53">G213</f>
        <v>2261.9</v>
      </c>
      <c r="H212" s="202">
        <f t="shared" si="53"/>
        <v>0</v>
      </c>
      <c r="I212" s="205">
        <f t="shared" si="53"/>
        <v>2261.9</v>
      </c>
      <c r="J212" s="205">
        <f t="shared" si="53"/>
        <v>0</v>
      </c>
      <c r="K212" s="202">
        <f>K213</f>
        <v>0</v>
      </c>
      <c r="L212" s="205">
        <f t="shared" si="53"/>
        <v>0</v>
      </c>
      <c r="M212" s="205">
        <f t="shared" si="53"/>
        <v>2261.9</v>
      </c>
      <c r="N212" s="205">
        <f t="shared" si="53"/>
        <v>0</v>
      </c>
      <c r="O212" s="227">
        <f t="shared" si="53"/>
        <v>2261.9</v>
      </c>
      <c r="P212" s="227">
        <f t="shared" si="53"/>
        <v>2261</v>
      </c>
      <c r="Q212" s="199">
        <f t="shared" si="50"/>
        <v>99.960210442548288</v>
      </c>
      <c r="R212" s="200"/>
      <c r="S212" s="200"/>
    </row>
    <row r="213" spans="1:19" s="197" customFormat="1" ht="57" customHeight="1" x14ac:dyDescent="0.25">
      <c r="A213" s="285"/>
      <c r="B213" s="198" t="s">
        <v>97</v>
      </c>
      <c r="C213" s="198" t="s">
        <v>51</v>
      </c>
      <c r="D213" s="201" t="s">
        <v>254</v>
      </c>
      <c r="E213" s="201" t="s">
        <v>98</v>
      </c>
      <c r="F213" s="201" t="s">
        <v>11</v>
      </c>
      <c r="G213" s="202">
        <f t="shared" si="53"/>
        <v>2261.9</v>
      </c>
      <c r="H213" s="202">
        <f t="shared" si="53"/>
        <v>0</v>
      </c>
      <c r="I213" s="202">
        <f t="shared" si="53"/>
        <v>2261.9</v>
      </c>
      <c r="J213" s="202">
        <f t="shared" si="53"/>
        <v>0</v>
      </c>
      <c r="K213" s="202">
        <f>K214</f>
        <v>0</v>
      </c>
      <c r="L213" s="202">
        <f t="shared" si="53"/>
        <v>0</v>
      </c>
      <c r="M213" s="202">
        <f t="shared" si="53"/>
        <v>2261.9</v>
      </c>
      <c r="N213" s="202">
        <f t="shared" si="53"/>
        <v>0</v>
      </c>
      <c r="O213" s="226">
        <f t="shared" si="53"/>
        <v>2261.9</v>
      </c>
      <c r="P213" s="226">
        <f t="shared" si="53"/>
        <v>2261</v>
      </c>
      <c r="Q213" s="199">
        <f t="shared" si="50"/>
        <v>99.960210442548288</v>
      </c>
      <c r="R213" s="200"/>
      <c r="S213" s="200"/>
    </row>
    <row r="214" spans="1:19" s="197" customFormat="1" ht="21" customHeight="1" x14ac:dyDescent="0.25">
      <c r="A214" s="285"/>
      <c r="B214" s="198" t="s">
        <v>255</v>
      </c>
      <c r="C214" s="198" t="s">
        <v>51</v>
      </c>
      <c r="D214" s="201" t="s">
        <v>254</v>
      </c>
      <c r="E214" s="201" t="s">
        <v>256</v>
      </c>
      <c r="F214" s="201" t="s">
        <v>11</v>
      </c>
      <c r="G214" s="202">
        <f t="shared" si="53"/>
        <v>2261.9</v>
      </c>
      <c r="H214" s="202">
        <f t="shared" si="53"/>
        <v>0</v>
      </c>
      <c r="I214" s="202">
        <f t="shared" si="53"/>
        <v>2261.9</v>
      </c>
      <c r="J214" s="202">
        <f t="shared" si="53"/>
        <v>0</v>
      </c>
      <c r="K214" s="202">
        <f>K215</f>
        <v>0</v>
      </c>
      <c r="L214" s="202">
        <f t="shared" si="53"/>
        <v>0</v>
      </c>
      <c r="M214" s="202">
        <f t="shared" si="53"/>
        <v>2261.9</v>
      </c>
      <c r="N214" s="202">
        <f t="shared" si="53"/>
        <v>0</v>
      </c>
      <c r="O214" s="226">
        <f t="shared" si="53"/>
        <v>2261.9</v>
      </c>
      <c r="P214" s="226">
        <f t="shared" si="53"/>
        <v>2261</v>
      </c>
      <c r="Q214" s="199">
        <f t="shared" si="50"/>
        <v>99.960210442548288</v>
      </c>
      <c r="R214" s="200"/>
      <c r="S214" s="200"/>
    </row>
    <row r="215" spans="1:19" s="197" customFormat="1" ht="76.5" customHeight="1" x14ac:dyDescent="0.25">
      <c r="A215" s="285"/>
      <c r="B215" s="198" t="s">
        <v>257</v>
      </c>
      <c r="C215" s="198" t="s">
        <v>51</v>
      </c>
      <c r="D215" s="201" t="s">
        <v>254</v>
      </c>
      <c r="E215" s="201" t="s">
        <v>258</v>
      </c>
      <c r="F215" s="201" t="s">
        <v>11</v>
      </c>
      <c r="G215" s="202">
        <f t="shared" si="53"/>
        <v>2261.9</v>
      </c>
      <c r="H215" s="202">
        <f t="shared" si="53"/>
        <v>0</v>
      </c>
      <c r="I215" s="202">
        <f t="shared" si="53"/>
        <v>2261.9</v>
      </c>
      <c r="J215" s="202">
        <f t="shared" si="53"/>
        <v>0</v>
      </c>
      <c r="K215" s="202">
        <f>K216</f>
        <v>0</v>
      </c>
      <c r="L215" s="202">
        <f t="shared" si="53"/>
        <v>0</v>
      </c>
      <c r="M215" s="202">
        <f t="shared" si="53"/>
        <v>2261.9</v>
      </c>
      <c r="N215" s="202">
        <f t="shared" si="53"/>
        <v>0</v>
      </c>
      <c r="O215" s="226">
        <f t="shared" si="53"/>
        <v>2261.9</v>
      </c>
      <c r="P215" s="226">
        <f t="shared" si="53"/>
        <v>2261</v>
      </c>
      <c r="Q215" s="199">
        <f t="shared" si="50"/>
        <v>99.960210442548288</v>
      </c>
      <c r="R215" s="200"/>
      <c r="S215" s="200"/>
    </row>
    <row r="216" spans="1:19" s="197" customFormat="1" ht="76.5" customHeight="1" x14ac:dyDescent="0.25">
      <c r="A216" s="285"/>
      <c r="B216" s="198" t="s">
        <v>103</v>
      </c>
      <c r="C216" s="198" t="s">
        <v>51</v>
      </c>
      <c r="D216" s="201" t="s">
        <v>254</v>
      </c>
      <c r="E216" s="201" t="s">
        <v>259</v>
      </c>
      <c r="F216" s="201" t="s">
        <v>11</v>
      </c>
      <c r="G216" s="202">
        <f>G217</f>
        <v>2261.9</v>
      </c>
      <c r="H216" s="205">
        <f>SUM(H217)</f>
        <v>0</v>
      </c>
      <c r="I216" s="202">
        <f>I217</f>
        <v>2261.9</v>
      </c>
      <c r="J216" s="202">
        <f t="shared" si="53"/>
        <v>0</v>
      </c>
      <c r="K216" s="202"/>
      <c r="L216" s="202">
        <f t="shared" si="53"/>
        <v>0</v>
      </c>
      <c r="M216" s="202">
        <f t="shared" si="53"/>
        <v>2261.9</v>
      </c>
      <c r="N216" s="202">
        <f t="shared" si="53"/>
        <v>0</v>
      </c>
      <c r="O216" s="226">
        <f t="shared" si="53"/>
        <v>2261.9</v>
      </c>
      <c r="P216" s="226">
        <f t="shared" si="53"/>
        <v>2261</v>
      </c>
      <c r="Q216" s="199">
        <f t="shared" si="50"/>
        <v>99.960210442548288</v>
      </c>
      <c r="R216" s="200"/>
      <c r="S216" s="200"/>
    </row>
    <row r="217" spans="1:19" s="197" customFormat="1" ht="75" x14ac:dyDescent="0.25">
      <c r="A217" s="285"/>
      <c r="B217" s="198" t="s">
        <v>40</v>
      </c>
      <c r="C217" s="198" t="s">
        <v>51</v>
      </c>
      <c r="D217" s="201" t="s">
        <v>254</v>
      </c>
      <c r="E217" s="201" t="s">
        <v>259</v>
      </c>
      <c r="F217" s="201" t="s">
        <v>41</v>
      </c>
      <c r="G217" s="202">
        <v>2261.9</v>
      </c>
      <c r="H217" s="205"/>
      <c r="I217" s="202">
        <f>SUM(G217)+H217</f>
        <v>2261.9</v>
      </c>
      <c r="J217" s="206">
        <v>0</v>
      </c>
      <c r="K217" s="205"/>
      <c r="L217" s="206">
        <v>0</v>
      </c>
      <c r="M217" s="202">
        <f>SUM(G217)</f>
        <v>2261.9</v>
      </c>
      <c r="N217" s="202">
        <f>SUM(H217)</f>
        <v>0</v>
      </c>
      <c r="O217" s="226">
        <f>SUM(I217)</f>
        <v>2261.9</v>
      </c>
      <c r="P217" s="226">
        <v>2261</v>
      </c>
      <c r="Q217" s="199">
        <f t="shared" si="50"/>
        <v>99.960210442548288</v>
      </c>
      <c r="R217" s="200"/>
      <c r="S217" s="200"/>
    </row>
    <row r="218" spans="1:19" s="197" customFormat="1" ht="39.75" customHeight="1" x14ac:dyDescent="0.25">
      <c r="A218" s="285"/>
      <c r="B218" s="198" t="s">
        <v>261</v>
      </c>
      <c r="C218" s="203" t="s">
        <v>51</v>
      </c>
      <c r="D218" s="204" t="s">
        <v>262</v>
      </c>
      <c r="E218" s="204" t="s">
        <v>11</v>
      </c>
      <c r="F218" s="204" t="s">
        <v>11</v>
      </c>
      <c r="G218" s="205">
        <f>G219+G248+G243</f>
        <v>30768.2</v>
      </c>
      <c r="H218" s="205">
        <f>H219+H261+H259+H244+H254</f>
        <v>0</v>
      </c>
      <c r="I218" s="205">
        <f>I219+I248+I243</f>
        <v>30768.2</v>
      </c>
      <c r="J218" s="205">
        <f>J219+J248</f>
        <v>13560.400000000001</v>
      </c>
      <c r="K218" s="202">
        <f>K219</f>
        <v>0</v>
      </c>
      <c r="L218" s="205">
        <f>L219+L248</f>
        <v>13560.400000000001</v>
      </c>
      <c r="M218" s="205">
        <f>M219+M243+M248</f>
        <v>44328.6</v>
      </c>
      <c r="N218" s="205">
        <f>N219+N261+N259+N244+N254</f>
        <v>0</v>
      </c>
      <c r="O218" s="227">
        <f>O219+O243+O248</f>
        <v>44328.6</v>
      </c>
      <c r="P218" s="227">
        <f>P219+P243+P248</f>
        <v>41651.199999999997</v>
      </c>
      <c r="Q218" s="199">
        <f t="shared" si="50"/>
        <v>93.960107018944868</v>
      </c>
      <c r="R218" s="200"/>
      <c r="S218" s="200"/>
    </row>
    <row r="219" spans="1:19" s="197" customFormat="1" ht="97.5" customHeight="1" x14ac:dyDescent="0.25">
      <c r="A219" s="285"/>
      <c r="B219" s="198" t="s">
        <v>230</v>
      </c>
      <c r="C219" s="198" t="s">
        <v>51</v>
      </c>
      <c r="D219" s="201" t="s">
        <v>262</v>
      </c>
      <c r="E219" s="201" t="s">
        <v>231</v>
      </c>
      <c r="F219" s="201" t="s">
        <v>11</v>
      </c>
      <c r="G219" s="202">
        <f>G220+G230</f>
        <v>19185.400000000001</v>
      </c>
      <c r="H219" s="202">
        <f>H220+H230</f>
        <v>0</v>
      </c>
      <c r="I219" s="202">
        <f>I220+I230</f>
        <v>19185.400000000001</v>
      </c>
      <c r="J219" s="202">
        <f>J220+J230</f>
        <v>13560.400000000001</v>
      </c>
      <c r="K219" s="202">
        <f>K220</f>
        <v>0</v>
      </c>
      <c r="L219" s="202">
        <f>L220+L230</f>
        <v>13560.400000000001</v>
      </c>
      <c r="M219" s="202">
        <f>M220+M230</f>
        <v>32745.800000000003</v>
      </c>
      <c r="N219" s="202">
        <f>N220+N230</f>
        <v>0</v>
      </c>
      <c r="O219" s="226">
        <f>O220+O230</f>
        <v>32745.800000000003</v>
      </c>
      <c r="P219" s="226">
        <f>P220+P230</f>
        <v>30237.9</v>
      </c>
      <c r="Q219" s="199">
        <f t="shared" si="50"/>
        <v>92.341307892920611</v>
      </c>
      <c r="R219" s="200"/>
      <c r="S219" s="200"/>
    </row>
    <row r="220" spans="1:19" s="197" customFormat="1" ht="83.25" customHeight="1" x14ac:dyDescent="0.25">
      <c r="A220" s="285"/>
      <c r="B220" s="198" t="s">
        <v>263</v>
      </c>
      <c r="C220" s="198" t="s">
        <v>51</v>
      </c>
      <c r="D220" s="201" t="s">
        <v>262</v>
      </c>
      <c r="E220" s="201" t="s">
        <v>264</v>
      </c>
      <c r="F220" s="201" t="s">
        <v>11</v>
      </c>
      <c r="G220" s="202">
        <f>G221</f>
        <v>1449.1000000000001</v>
      </c>
      <c r="H220" s="202">
        <f>H221</f>
        <v>0</v>
      </c>
      <c r="I220" s="202">
        <f>I221</f>
        <v>1449.1000000000001</v>
      </c>
      <c r="J220" s="202">
        <f>J221</f>
        <v>13560.400000000001</v>
      </c>
      <c r="K220" s="202">
        <f>K221</f>
        <v>0</v>
      </c>
      <c r="L220" s="202">
        <f>L221</f>
        <v>13560.400000000001</v>
      </c>
      <c r="M220" s="202">
        <f>M221</f>
        <v>15009.500000000002</v>
      </c>
      <c r="N220" s="202">
        <f>N221</f>
        <v>0</v>
      </c>
      <c r="O220" s="226">
        <f>O221</f>
        <v>15009.500000000002</v>
      </c>
      <c r="P220" s="226">
        <f>P221</f>
        <v>12515.7</v>
      </c>
      <c r="Q220" s="199">
        <f t="shared" si="50"/>
        <v>83.385189380059288</v>
      </c>
      <c r="R220" s="200"/>
      <c r="S220" s="200"/>
    </row>
    <row r="221" spans="1:19" s="197" customFormat="1" ht="102" customHeight="1" x14ac:dyDescent="0.25">
      <c r="A221" s="285"/>
      <c r="B221" s="198" t="s">
        <v>265</v>
      </c>
      <c r="C221" s="198" t="s">
        <v>51</v>
      </c>
      <c r="D221" s="201" t="s">
        <v>262</v>
      </c>
      <c r="E221" s="201" t="s">
        <v>266</v>
      </c>
      <c r="F221" s="201" t="s">
        <v>11</v>
      </c>
      <c r="G221" s="202">
        <f>G228+G222+G224+G226</f>
        <v>1449.1000000000001</v>
      </c>
      <c r="H221" s="202">
        <f>H228+H222+H224+H226</f>
        <v>0</v>
      </c>
      <c r="I221" s="202">
        <f>I228+I222+I224+I226</f>
        <v>1449.1000000000001</v>
      </c>
      <c r="J221" s="202">
        <f>SUM(J228)+J224+J226</f>
        <v>13560.400000000001</v>
      </c>
      <c r="K221" s="202">
        <f>K228+K222+K224+K226</f>
        <v>0</v>
      </c>
      <c r="L221" s="202">
        <f>SUM(L228)+L224+L226</f>
        <v>13560.400000000001</v>
      </c>
      <c r="M221" s="202">
        <f>SUM(G220+J220)</f>
        <v>15009.500000000002</v>
      </c>
      <c r="N221" s="202">
        <f>SUM(H221+K221)</f>
        <v>0</v>
      </c>
      <c r="O221" s="226">
        <f>SUM(I220+L220)</f>
        <v>15009.500000000002</v>
      </c>
      <c r="P221" s="226">
        <f>SUM(P222+P226+P228)</f>
        <v>12515.7</v>
      </c>
      <c r="Q221" s="199">
        <f t="shared" si="50"/>
        <v>83.385189380059288</v>
      </c>
      <c r="R221" s="200"/>
      <c r="S221" s="200"/>
    </row>
    <row r="222" spans="1:19" s="197" customFormat="1" ht="60" customHeight="1" x14ac:dyDescent="0.25">
      <c r="A222" s="285"/>
      <c r="B222" s="246" t="s">
        <v>267</v>
      </c>
      <c r="C222" s="208">
        <v>992</v>
      </c>
      <c r="D222" s="201" t="s">
        <v>262</v>
      </c>
      <c r="E222" s="211" t="s">
        <v>268</v>
      </c>
      <c r="F222" s="201"/>
      <c r="G222" s="202">
        <v>735.3</v>
      </c>
      <c r="H222" s="202">
        <f>SUM(H223)</f>
        <v>0</v>
      </c>
      <c r="I222" s="202">
        <f>SUM(G222)</f>
        <v>735.3</v>
      </c>
      <c r="J222" s="202"/>
      <c r="K222" s="202"/>
      <c r="L222" s="202"/>
      <c r="M222" s="202">
        <f>SUM(G222)</f>
        <v>735.3</v>
      </c>
      <c r="N222" s="202">
        <f>SUM(N223)</f>
        <v>0</v>
      </c>
      <c r="O222" s="226">
        <f>SUM(M222)</f>
        <v>735.3</v>
      </c>
      <c r="P222" s="226">
        <v>735.2</v>
      </c>
      <c r="Q222" s="199">
        <f t="shared" si="50"/>
        <v>99.986400108799145</v>
      </c>
      <c r="R222" s="200"/>
      <c r="S222" s="200"/>
    </row>
    <row r="223" spans="1:19" s="197" customFormat="1" ht="23.25" customHeight="1" x14ac:dyDescent="0.25">
      <c r="A223" s="285"/>
      <c r="B223" s="198" t="s">
        <v>40</v>
      </c>
      <c r="C223" s="208">
        <v>992</v>
      </c>
      <c r="D223" s="201" t="s">
        <v>262</v>
      </c>
      <c r="E223" s="211" t="s">
        <v>268</v>
      </c>
      <c r="F223" s="201">
        <v>200</v>
      </c>
      <c r="G223" s="202">
        <v>735.3</v>
      </c>
      <c r="H223" s="202"/>
      <c r="I223" s="202">
        <f>SUM(G223)</f>
        <v>735.3</v>
      </c>
      <c r="J223" s="202"/>
      <c r="K223" s="202"/>
      <c r="L223" s="202"/>
      <c r="M223" s="202">
        <f>SUM(G223)</f>
        <v>735.3</v>
      </c>
      <c r="N223" s="202">
        <f>SUM(H223)</f>
        <v>0</v>
      </c>
      <c r="O223" s="226">
        <f>SUM(M223)</f>
        <v>735.3</v>
      </c>
      <c r="P223" s="226">
        <v>735.2</v>
      </c>
      <c r="Q223" s="199">
        <f t="shared" si="50"/>
        <v>99.986400108799145</v>
      </c>
      <c r="R223" s="200"/>
      <c r="S223" s="200"/>
    </row>
    <row r="224" spans="1:19" s="197" customFormat="1" ht="30.75" hidden="1" customHeight="1" x14ac:dyDescent="0.25">
      <c r="A224" s="285"/>
      <c r="B224" s="198" t="s">
        <v>548</v>
      </c>
      <c r="C224" s="208">
        <v>992</v>
      </c>
      <c r="D224" s="201" t="s">
        <v>262</v>
      </c>
      <c r="E224" s="201" t="s">
        <v>547</v>
      </c>
      <c r="F224" s="201"/>
      <c r="G224" s="202">
        <v>0</v>
      </c>
      <c r="H224" s="202"/>
      <c r="I224" s="202">
        <f>SUM(G225)+H224</f>
        <v>0</v>
      </c>
      <c r="J224" s="202">
        <f>SUM(J225)</f>
        <v>0</v>
      </c>
      <c r="K224" s="202"/>
      <c r="L224" s="202">
        <f>SUM(J224)+K224</f>
        <v>0</v>
      </c>
      <c r="M224" s="202">
        <f t="shared" ref="M224:O225" si="54">SUM(G224+J224)</f>
        <v>0</v>
      </c>
      <c r="N224" s="202">
        <f t="shared" si="54"/>
        <v>0</v>
      </c>
      <c r="O224" s="226">
        <f t="shared" si="54"/>
        <v>0</v>
      </c>
      <c r="P224" s="226"/>
      <c r="Q224" s="199" t="e">
        <f t="shared" si="50"/>
        <v>#DIV/0!</v>
      </c>
      <c r="R224" s="200"/>
      <c r="S224" s="200"/>
    </row>
    <row r="225" spans="1:19" s="197" customFormat="1" ht="30.75" hidden="1" customHeight="1" x14ac:dyDescent="0.25">
      <c r="A225" s="285"/>
      <c r="B225" s="198" t="s">
        <v>40</v>
      </c>
      <c r="C225" s="208">
        <v>992</v>
      </c>
      <c r="D225" s="201" t="s">
        <v>262</v>
      </c>
      <c r="E225" s="201" t="s">
        <v>547</v>
      </c>
      <c r="F225" s="201">
        <v>200</v>
      </c>
      <c r="G225" s="202">
        <v>0</v>
      </c>
      <c r="H225" s="202"/>
      <c r="I225" s="202">
        <v>0</v>
      </c>
      <c r="J225" s="202">
        <v>0</v>
      </c>
      <c r="K225" s="202"/>
      <c r="L225" s="202">
        <f>SUM(J225)+K225</f>
        <v>0</v>
      </c>
      <c r="M225" s="202">
        <f t="shared" si="54"/>
        <v>0</v>
      </c>
      <c r="N225" s="202">
        <f t="shared" si="54"/>
        <v>0</v>
      </c>
      <c r="O225" s="226">
        <f t="shared" si="54"/>
        <v>0</v>
      </c>
      <c r="P225" s="226"/>
      <c r="Q225" s="199" t="e">
        <f t="shared" si="50"/>
        <v>#DIV/0!</v>
      </c>
      <c r="R225" s="200"/>
      <c r="S225" s="200"/>
    </row>
    <row r="226" spans="1:19" s="197" customFormat="1" ht="119.25" customHeight="1" x14ac:dyDescent="0.25">
      <c r="A226" s="285"/>
      <c r="B226" s="198" t="s">
        <v>548</v>
      </c>
      <c r="C226" s="208">
        <v>992</v>
      </c>
      <c r="D226" s="201" t="s">
        <v>262</v>
      </c>
      <c r="E226" s="201" t="s">
        <v>561</v>
      </c>
      <c r="F226" s="201"/>
      <c r="G226" s="202">
        <v>294.2</v>
      </c>
      <c r="H226" s="202"/>
      <c r="I226" s="202">
        <f>SUM(G226)</f>
        <v>294.2</v>
      </c>
      <c r="J226" s="202">
        <v>5589.3</v>
      </c>
      <c r="K226" s="202"/>
      <c r="L226" s="202">
        <f>SUM(J226)</f>
        <v>5589.3</v>
      </c>
      <c r="M226" s="202">
        <f t="shared" ref="M226:O227" si="55">SUM(G226)+J226</f>
        <v>5883.5</v>
      </c>
      <c r="N226" s="202">
        <f t="shared" si="55"/>
        <v>0</v>
      </c>
      <c r="O226" s="226">
        <f t="shared" si="55"/>
        <v>5883.5</v>
      </c>
      <c r="P226" s="226">
        <v>3390.5</v>
      </c>
      <c r="Q226" s="199">
        <f t="shared" si="50"/>
        <v>57.627262683776657</v>
      </c>
      <c r="R226" s="200"/>
      <c r="S226" s="200"/>
    </row>
    <row r="227" spans="1:19" s="197" customFormat="1" ht="82.5" customHeight="1" x14ac:dyDescent="0.25">
      <c r="A227" s="285"/>
      <c r="B227" s="198" t="s">
        <v>40</v>
      </c>
      <c r="C227" s="208">
        <v>992</v>
      </c>
      <c r="D227" s="201" t="s">
        <v>262</v>
      </c>
      <c r="E227" s="201" t="s">
        <v>561</v>
      </c>
      <c r="F227" s="201">
        <v>200</v>
      </c>
      <c r="G227" s="202">
        <v>294.2</v>
      </c>
      <c r="H227" s="202"/>
      <c r="I227" s="202">
        <f>SUM(G227)</f>
        <v>294.2</v>
      </c>
      <c r="J227" s="202">
        <v>5589.3</v>
      </c>
      <c r="K227" s="202"/>
      <c r="L227" s="202">
        <f>SUM(J227)</f>
        <v>5589.3</v>
      </c>
      <c r="M227" s="202">
        <f t="shared" si="55"/>
        <v>5883.5</v>
      </c>
      <c r="N227" s="202">
        <f t="shared" si="55"/>
        <v>0</v>
      </c>
      <c r="O227" s="226">
        <f t="shared" si="55"/>
        <v>5883.5</v>
      </c>
      <c r="P227" s="226">
        <v>3390.5</v>
      </c>
      <c r="Q227" s="199">
        <f t="shared" si="50"/>
        <v>57.627262683776657</v>
      </c>
      <c r="R227" s="200"/>
      <c r="S227" s="200"/>
    </row>
    <row r="228" spans="1:19" s="197" customFormat="1" ht="94.5" customHeight="1" x14ac:dyDescent="0.25">
      <c r="A228" s="285"/>
      <c r="B228" s="198" t="s">
        <v>269</v>
      </c>
      <c r="C228" s="198" t="s">
        <v>51</v>
      </c>
      <c r="D228" s="201" t="s">
        <v>262</v>
      </c>
      <c r="E228" s="201" t="s">
        <v>270</v>
      </c>
      <c r="F228" s="201" t="s">
        <v>11</v>
      </c>
      <c r="G228" s="202">
        <f>G229</f>
        <v>419.6</v>
      </c>
      <c r="H228" s="202">
        <f>SUM(H229)</f>
        <v>0</v>
      </c>
      <c r="I228" s="202">
        <f>I229</f>
        <v>419.6</v>
      </c>
      <c r="J228" s="202">
        <f>J229</f>
        <v>7971.1</v>
      </c>
      <c r="K228" s="202">
        <f>SUM(K229)</f>
        <v>0</v>
      </c>
      <c r="L228" s="202">
        <f>L229</f>
        <v>7971.1</v>
      </c>
      <c r="M228" s="202">
        <f>M229</f>
        <v>8390.7000000000007</v>
      </c>
      <c r="N228" s="202">
        <f>N229</f>
        <v>0</v>
      </c>
      <c r="O228" s="226">
        <f>O229</f>
        <v>8390.7000000000007</v>
      </c>
      <c r="P228" s="226">
        <f>P229</f>
        <v>8390</v>
      </c>
      <c r="Q228" s="199">
        <f t="shared" si="50"/>
        <v>99.991657430250143</v>
      </c>
      <c r="R228" s="200"/>
      <c r="S228" s="200"/>
    </row>
    <row r="229" spans="1:19" s="197" customFormat="1" ht="75" x14ac:dyDescent="0.25">
      <c r="A229" s="285"/>
      <c r="B229" s="198" t="s">
        <v>40</v>
      </c>
      <c r="C229" s="198" t="s">
        <v>51</v>
      </c>
      <c r="D229" s="201" t="s">
        <v>262</v>
      </c>
      <c r="E229" s="201" t="s">
        <v>270</v>
      </c>
      <c r="F229" s="201" t="s">
        <v>41</v>
      </c>
      <c r="G229" s="202">
        <v>419.6</v>
      </c>
      <c r="H229" s="202"/>
      <c r="I229" s="202">
        <f>419.6+H229</f>
        <v>419.6</v>
      </c>
      <c r="J229" s="206">
        <v>7971.1</v>
      </c>
      <c r="K229" s="202"/>
      <c r="L229" s="206">
        <f>7971.1+K229</f>
        <v>7971.1</v>
      </c>
      <c r="M229" s="202">
        <f>419.6+J229</f>
        <v>8390.7000000000007</v>
      </c>
      <c r="N229" s="202">
        <f>SUM(H229+K229)</f>
        <v>0</v>
      </c>
      <c r="O229" s="226">
        <f>SUM(I229+L229)</f>
        <v>8390.7000000000007</v>
      </c>
      <c r="P229" s="226">
        <v>8390</v>
      </c>
      <c r="Q229" s="199">
        <f t="shared" ref="Q229:Q243" si="56">P229/O229*100</f>
        <v>99.991657430250143</v>
      </c>
      <c r="R229" s="200"/>
      <c r="S229" s="200"/>
    </row>
    <row r="230" spans="1:19" s="197" customFormat="1" ht="39.75" customHeight="1" x14ac:dyDescent="0.25">
      <c r="A230" s="285"/>
      <c r="B230" s="198" t="s">
        <v>185</v>
      </c>
      <c r="C230" s="198" t="s">
        <v>51</v>
      </c>
      <c r="D230" s="201" t="s">
        <v>262</v>
      </c>
      <c r="E230" s="201" t="s">
        <v>271</v>
      </c>
      <c r="F230" s="201" t="s">
        <v>11</v>
      </c>
      <c r="G230" s="202">
        <f>G231+G239+G235</f>
        <v>17736.300000000003</v>
      </c>
      <c r="H230" s="202">
        <f>H231+H235+H239</f>
        <v>0</v>
      </c>
      <c r="I230" s="202">
        <f>I231+I239+I235</f>
        <v>17736.300000000003</v>
      </c>
      <c r="J230" s="202">
        <f>J231+J239</f>
        <v>0</v>
      </c>
      <c r="K230" s="202">
        <f>K231</f>
        <v>0</v>
      </c>
      <c r="L230" s="202">
        <f>L231+L239</f>
        <v>0</v>
      </c>
      <c r="M230" s="202">
        <f>M231+M239+M235</f>
        <v>17736.300000000003</v>
      </c>
      <c r="N230" s="202">
        <f>SUM(H230)</f>
        <v>0</v>
      </c>
      <c r="O230" s="226">
        <f>O231+O239+O235</f>
        <v>17736.300000000003</v>
      </c>
      <c r="P230" s="226">
        <f>P231+P239+P235</f>
        <v>17722.2</v>
      </c>
      <c r="Q230" s="199">
        <f t="shared" si="56"/>
        <v>99.920502021278381</v>
      </c>
      <c r="R230" s="200"/>
      <c r="S230" s="200"/>
    </row>
    <row r="231" spans="1:19" s="197" customFormat="1" ht="96" customHeight="1" x14ac:dyDescent="0.25">
      <c r="A231" s="285"/>
      <c r="B231" s="198" t="s">
        <v>272</v>
      </c>
      <c r="C231" s="198" t="s">
        <v>51</v>
      </c>
      <c r="D231" s="201" t="s">
        <v>262</v>
      </c>
      <c r="E231" s="201" t="s">
        <v>273</v>
      </c>
      <c r="F231" s="201" t="s">
        <v>11</v>
      </c>
      <c r="G231" s="202">
        <f>G232</f>
        <v>9290.5</v>
      </c>
      <c r="H231" s="202">
        <f>H232+H233</f>
        <v>0</v>
      </c>
      <c r="I231" s="202">
        <f>I232</f>
        <v>9290.5</v>
      </c>
      <c r="J231" s="202">
        <f>J232</f>
        <v>0</v>
      </c>
      <c r="K231" s="202">
        <f>K232+K233</f>
        <v>0</v>
      </c>
      <c r="L231" s="202">
        <f>L232</f>
        <v>0</v>
      </c>
      <c r="M231" s="202">
        <f>M232</f>
        <v>9290.5</v>
      </c>
      <c r="N231" s="202">
        <f>N232</f>
        <v>0</v>
      </c>
      <c r="O231" s="226">
        <f>O232</f>
        <v>9290.5</v>
      </c>
      <c r="P231" s="226">
        <f>P232</f>
        <v>9276.5</v>
      </c>
      <c r="Q231" s="199">
        <f t="shared" si="56"/>
        <v>99.849308433345897</v>
      </c>
      <c r="R231" s="200"/>
      <c r="S231" s="200"/>
    </row>
    <row r="232" spans="1:19" s="197" customFormat="1" ht="56.25" x14ac:dyDescent="0.25">
      <c r="A232" s="285"/>
      <c r="B232" s="198" t="s">
        <v>134</v>
      </c>
      <c r="C232" s="198" t="s">
        <v>51</v>
      </c>
      <c r="D232" s="201" t="s">
        <v>262</v>
      </c>
      <c r="E232" s="201" t="s">
        <v>274</v>
      </c>
      <c r="F232" s="201" t="s">
        <v>11</v>
      </c>
      <c r="G232" s="202">
        <f>G233+G234</f>
        <v>9290.5</v>
      </c>
      <c r="H232" s="202">
        <f>SUM(H234)</f>
        <v>0</v>
      </c>
      <c r="I232" s="202">
        <f>I233+I234</f>
        <v>9290.5</v>
      </c>
      <c r="J232" s="202">
        <f>J233+J234</f>
        <v>0</v>
      </c>
      <c r="K232" s="202"/>
      <c r="L232" s="202">
        <f>L233+L234</f>
        <v>0</v>
      </c>
      <c r="M232" s="202">
        <f>M233+M234</f>
        <v>9290.5</v>
      </c>
      <c r="N232" s="202">
        <f>N233+N234</f>
        <v>0</v>
      </c>
      <c r="O232" s="226">
        <f>O233+O234</f>
        <v>9290.5</v>
      </c>
      <c r="P232" s="226">
        <f>P233+P234</f>
        <v>9276.5</v>
      </c>
      <c r="Q232" s="199">
        <f t="shared" si="56"/>
        <v>99.849308433345897</v>
      </c>
      <c r="R232" s="200"/>
      <c r="S232" s="200"/>
    </row>
    <row r="233" spans="1:19" s="197" customFormat="1" ht="42.75" customHeight="1" x14ac:dyDescent="0.25">
      <c r="A233" s="285"/>
      <c r="B233" s="198" t="s">
        <v>61</v>
      </c>
      <c r="C233" s="198" t="s">
        <v>51</v>
      </c>
      <c r="D233" s="201" t="s">
        <v>262</v>
      </c>
      <c r="E233" s="201" t="s">
        <v>274</v>
      </c>
      <c r="F233" s="201" t="s">
        <v>62</v>
      </c>
      <c r="G233" s="202">
        <v>8871.2000000000007</v>
      </c>
      <c r="H233" s="202"/>
      <c r="I233" s="202">
        <f>SUM(G233)</f>
        <v>8871.2000000000007</v>
      </c>
      <c r="J233" s="206">
        <v>0</v>
      </c>
      <c r="K233" s="202"/>
      <c r="L233" s="206">
        <v>0</v>
      </c>
      <c r="M233" s="202">
        <f>SUM(G233)</f>
        <v>8871.2000000000007</v>
      </c>
      <c r="N233" s="202">
        <f>SUM(H233)</f>
        <v>0</v>
      </c>
      <c r="O233" s="226">
        <f>SUM(M233)</f>
        <v>8871.2000000000007</v>
      </c>
      <c r="P233" s="226">
        <v>8857.2000000000007</v>
      </c>
      <c r="Q233" s="199">
        <f t="shared" si="56"/>
        <v>99.842185950040587</v>
      </c>
      <c r="R233" s="200"/>
      <c r="S233" s="200"/>
    </row>
    <row r="234" spans="1:19" s="197" customFormat="1" ht="75" x14ac:dyDescent="0.25">
      <c r="A234" s="285"/>
      <c r="B234" s="198" t="s">
        <v>40</v>
      </c>
      <c r="C234" s="198" t="s">
        <v>51</v>
      </c>
      <c r="D234" s="201" t="s">
        <v>262</v>
      </c>
      <c r="E234" s="201" t="s">
        <v>274</v>
      </c>
      <c r="F234" s="201" t="s">
        <v>41</v>
      </c>
      <c r="G234" s="202">
        <v>419.3</v>
      </c>
      <c r="H234" s="202"/>
      <c r="I234" s="202">
        <f>SUM(G234)+H234</f>
        <v>419.3</v>
      </c>
      <c r="J234" s="206">
        <v>0</v>
      </c>
      <c r="K234" s="202"/>
      <c r="L234" s="206">
        <v>0</v>
      </c>
      <c r="M234" s="202">
        <f t="shared" ref="M234:N238" si="57">SUM(G234)</f>
        <v>419.3</v>
      </c>
      <c r="N234" s="202">
        <f t="shared" si="57"/>
        <v>0</v>
      </c>
      <c r="O234" s="226">
        <f>SUM(M234)+N234</f>
        <v>419.3</v>
      </c>
      <c r="P234" s="226">
        <v>419.3</v>
      </c>
      <c r="Q234" s="199">
        <f t="shared" si="56"/>
        <v>100</v>
      </c>
      <c r="R234" s="200"/>
      <c r="S234" s="200"/>
    </row>
    <row r="235" spans="1:19" s="197" customFormat="1" ht="40.5" customHeight="1" x14ac:dyDescent="0.25">
      <c r="A235" s="285"/>
      <c r="B235" s="198" t="s">
        <v>275</v>
      </c>
      <c r="C235" s="198">
        <v>992</v>
      </c>
      <c r="D235" s="201" t="s">
        <v>262</v>
      </c>
      <c r="E235" s="211" t="s">
        <v>276</v>
      </c>
      <c r="F235" s="201"/>
      <c r="G235" s="202">
        <f>SUM(F235)+G236</f>
        <v>914.9</v>
      </c>
      <c r="H235" s="202">
        <f>SUM(H236)</f>
        <v>0</v>
      </c>
      <c r="I235" s="202">
        <f>SUM(H235)+G235</f>
        <v>914.9</v>
      </c>
      <c r="J235" s="206"/>
      <c r="K235" s="202"/>
      <c r="L235" s="206"/>
      <c r="M235" s="202">
        <f t="shared" si="57"/>
        <v>914.9</v>
      </c>
      <c r="N235" s="202">
        <f t="shared" si="57"/>
        <v>0</v>
      </c>
      <c r="O235" s="226">
        <f>SUM(I235)</f>
        <v>914.9</v>
      </c>
      <c r="P235" s="226">
        <f>SUM(J235)+P236</f>
        <v>914.8</v>
      </c>
      <c r="Q235" s="199">
        <f t="shared" si="56"/>
        <v>99.989069843698758</v>
      </c>
      <c r="R235" s="200"/>
      <c r="S235" s="200"/>
    </row>
    <row r="236" spans="1:19" s="197" customFormat="1" ht="38.25" customHeight="1" x14ac:dyDescent="0.25">
      <c r="A236" s="285"/>
      <c r="B236" s="198" t="s">
        <v>277</v>
      </c>
      <c r="C236" s="198">
        <v>992</v>
      </c>
      <c r="D236" s="201" t="s">
        <v>262</v>
      </c>
      <c r="E236" s="211" t="s">
        <v>276</v>
      </c>
      <c r="F236" s="201"/>
      <c r="G236" s="202">
        <f>SUM(F236)+G237+G238</f>
        <v>914.9</v>
      </c>
      <c r="H236" s="202"/>
      <c r="I236" s="202">
        <f>SUM(H236)+G236</f>
        <v>914.9</v>
      </c>
      <c r="J236" s="206"/>
      <c r="K236" s="202"/>
      <c r="L236" s="206"/>
      <c r="M236" s="202">
        <f t="shared" si="57"/>
        <v>914.9</v>
      </c>
      <c r="N236" s="202">
        <f t="shared" si="57"/>
        <v>0</v>
      </c>
      <c r="O236" s="226">
        <f>SUM(I236)</f>
        <v>914.9</v>
      </c>
      <c r="P236" s="226">
        <f>SUM(J236)+P237+P238</f>
        <v>914.8</v>
      </c>
      <c r="Q236" s="199">
        <f t="shared" si="56"/>
        <v>99.989069843698758</v>
      </c>
      <c r="R236" s="200"/>
      <c r="S236" s="200"/>
    </row>
    <row r="237" spans="1:19" s="197" customFormat="1" ht="75" x14ac:dyDescent="0.25">
      <c r="A237" s="285"/>
      <c r="B237" s="198" t="s">
        <v>40</v>
      </c>
      <c r="C237" s="198">
        <v>992</v>
      </c>
      <c r="D237" s="201" t="s">
        <v>262</v>
      </c>
      <c r="E237" s="211" t="s">
        <v>278</v>
      </c>
      <c r="F237" s="201">
        <v>200</v>
      </c>
      <c r="G237" s="202">
        <v>799.9</v>
      </c>
      <c r="H237" s="202"/>
      <c r="I237" s="202">
        <f>SUM(H237)+G237</f>
        <v>799.9</v>
      </c>
      <c r="J237" s="206"/>
      <c r="K237" s="202"/>
      <c r="L237" s="206"/>
      <c r="M237" s="202">
        <f t="shared" si="57"/>
        <v>799.9</v>
      </c>
      <c r="N237" s="202">
        <f t="shared" si="57"/>
        <v>0</v>
      </c>
      <c r="O237" s="226">
        <f>SUM(I237)</f>
        <v>799.9</v>
      </c>
      <c r="P237" s="226">
        <v>799.8</v>
      </c>
      <c r="Q237" s="199">
        <f t="shared" si="56"/>
        <v>99.987498437304652</v>
      </c>
      <c r="R237" s="200"/>
      <c r="S237" s="200"/>
    </row>
    <row r="238" spans="1:19" s="197" customFormat="1" ht="24.75" customHeight="1" x14ac:dyDescent="0.25">
      <c r="A238" s="285"/>
      <c r="B238" s="198" t="s">
        <v>70</v>
      </c>
      <c r="C238" s="198">
        <v>992</v>
      </c>
      <c r="D238" s="201" t="s">
        <v>262</v>
      </c>
      <c r="E238" s="211" t="s">
        <v>278</v>
      </c>
      <c r="F238" s="201">
        <v>800</v>
      </c>
      <c r="G238" s="202">
        <v>115</v>
      </c>
      <c r="H238" s="202"/>
      <c r="I238" s="202">
        <f>SUM(H238)+G238</f>
        <v>115</v>
      </c>
      <c r="J238" s="206"/>
      <c r="K238" s="202"/>
      <c r="L238" s="206"/>
      <c r="M238" s="202">
        <f t="shared" si="57"/>
        <v>115</v>
      </c>
      <c r="N238" s="202">
        <f>SUM(H238)</f>
        <v>0</v>
      </c>
      <c r="O238" s="226">
        <f>SUM(I238)</f>
        <v>115</v>
      </c>
      <c r="P238" s="226">
        <v>115</v>
      </c>
      <c r="Q238" s="199">
        <f t="shared" si="56"/>
        <v>100</v>
      </c>
      <c r="R238" s="200"/>
      <c r="S238" s="200"/>
    </row>
    <row r="239" spans="1:19" s="197" customFormat="1" ht="55.5" customHeight="1" x14ac:dyDescent="0.25">
      <c r="A239" s="285"/>
      <c r="B239" s="198" t="s">
        <v>279</v>
      </c>
      <c r="C239" s="198" t="s">
        <v>51</v>
      </c>
      <c r="D239" s="201" t="s">
        <v>262</v>
      </c>
      <c r="E239" s="201" t="s">
        <v>280</v>
      </c>
      <c r="F239" s="201" t="s">
        <v>11</v>
      </c>
      <c r="G239" s="202">
        <f t="shared" ref="G239:P240" si="58">G240</f>
        <v>7530.9</v>
      </c>
      <c r="H239" s="202">
        <f t="shared" si="58"/>
        <v>0</v>
      </c>
      <c r="I239" s="202">
        <f t="shared" si="58"/>
        <v>7530.9</v>
      </c>
      <c r="J239" s="202">
        <f t="shared" si="58"/>
        <v>0</v>
      </c>
      <c r="K239" s="202">
        <f t="shared" si="58"/>
        <v>0</v>
      </c>
      <c r="L239" s="202">
        <f t="shared" si="58"/>
        <v>0</v>
      </c>
      <c r="M239" s="202">
        <f t="shared" si="58"/>
        <v>7530.9</v>
      </c>
      <c r="N239" s="202">
        <f t="shared" si="58"/>
        <v>0</v>
      </c>
      <c r="O239" s="226">
        <f t="shared" si="58"/>
        <v>7530.9</v>
      </c>
      <c r="P239" s="226">
        <f t="shared" si="58"/>
        <v>7530.9</v>
      </c>
      <c r="Q239" s="199">
        <f t="shared" si="56"/>
        <v>100</v>
      </c>
      <c r="R239" s="200"/>
      <c r="S239" s="200"/>
    </row>
    <row r="240" spans="1:19" s="197" customFormat="1" ht="56.25" x14ac:dyDescent="0.25">
      <c r="A240" s="285"/>
      <c r="B240" s="198" t="s">
        <v>134</v>
      </c>
      <c r="C240" s="198" t="s">
        <v>51</v>
      </c>
      <c r="D240" s="201" t="s">
        <v>262</v>
      </c>
      <c r="E240" s="201" t="s">
        <v>281</v>
      </c>
      <c r="F240" s="201" t="s">
        <v>11</v>
      </c>
      <c r="G240" s="202">
        <f t="shared" si="58"/>
        <v>7530.9</v>
      </c>
      <c r="H240" s="202">
        <f>SUM(H241)</f>
        <v>0</v>
      </c>
      <c r="I240" s="202">
        <f t="shared" si="58"/>
        <v>7530.9</v>
      </c>
      <c r="J240" s="202">
        <f t="shared" si="58"/>
        <v>0</v>
      </c>
      <c r="K240" s="202"/>
      <c r="L240" s="202">
        <f t="shared" si="58"/>
        <v>0</v>
      </c>
      <c r="M240" s="202">
        <f t="shared" si="58"/>
        <v>7530.9</v>
      </c>
      <c r="N240" s="202">
        <f t="shared" si="58"/>
        <v>0</v>
      </c>
      <c r="O240" s="226">
        <f t="shared" si="58"/>
        <v>7530.9</v>
      </c>
      <c r="P240" s="226">
        <f t="shared" si="58"/>
        <v>7530.9</v>
      </c>
      <c r="Q240" s="199">
        <f t="shared" si="56"/>
        <v>100</v>
      </c>
      <c r="R240" s="200"/>
      <c r="S240" s="200"/>
    </row>
    <row r="241" spans="1:19" s="197" customFormat="1" ht="78" customHeight="1" x14ac:dyDescent="0.25">
      <c r="A241" s="285"/>
      <c r="B241" s="198" t="s">
        <v>95</v>
      </c>
      <c r="C241" s="198" t="s">
        <v>51</v>
      </c>
      <c r="D241" s="201" t="s">
        <v>262</v>
      </c>
      <c r="E241" s="201" t="s">
        <v>281</v>
      </c>
      <c r="F241" s="201" t="s">
        <v>96</v>
      </c>
      <c r="G241" s="202">
        <v>7530.9</v>
      </c>
      <c r="H241" s="202"/>
      <c r="I241" s="202">
        <f>SUM(G241)</f>
        <v>7530.9</v>
      </c>
      <c r="J241" s="206">
        <v>0</v>
      </c>
      <c r="K241" s="202"/>
      <c r="L241" s="206">
        <v>0</v>
      </c>
      <c r="M241" s="202">
        <f>SUM(G241)</f>
        <v>7530.9</v>
      </c>
      <c r="N241" s="202">
        <f>SUM(H241)</f>
        <v>0</v>
      </c>
      <c r="O241" s="226">
        <f>SUM(M241)</f>
        <v>7530.9</v>
      </c>
      <c r="P241" s="226">
        <v>7530.9</v>
      </c>
      <c r="Q241" s="199">
        <f t="shared" si="56"/>
        <v>100</v>
      </c>
      <c r="R241" s="200"/>
      <c r="S241" s="200"/>
    </row>
    <row r="242" spans="1:19" s="197" customFormat="1" ht="59.25" customHeight="1" x14ac:dyDescent="0.25">
      <c r="A242" s="285"/>
      <c r="B242" s="210" t="s">
        <v>245</v>
      </c>
      <c r="C242" s="210">
        <v>992</v>
      </c>
      <c r="D242" s="211" t="s">
        <v>262</v>
      </c>
      <c r="E242" s="211" t="s">
        <v>246</v>
      </c>
      <c r="F242" s="211"/>
      <c r="G242" s="202">
        <f t="shared" ref="G242:P242" si="59">G243</f>
        <v>6256.7</v>
      </c>
      <c r="H242" s="202">
        <f t="shared" si="59"/>
        <v>0</v>
      </c>
      <c r="I242" s="202">
        <f t="shared" si="59"/>
        <v>6256.7</v>
      </c>
      <c r="J242" s="206">
        <f t="shared" si="59"/>
        <v>0</v>
      </c>
      <c r="K242" s="202">
        <f t="shared" si="59"/>
        <v>0</v>
      </c>
      <c r="L242" s="206">
        <f t="shared" si="59"/>
        <v>0</v>
      </c>
      <c r="M242" s="202">
        <f t="shared" si="59"/>
        <v>6256.7</v>
      </c>
      <c r="N242" s="202">
        <f t="shared" si="59"/>
        <v>0</v>
      </c>
      <c r="O242" s="226">
        <f t="shared" si="59"/>
        <v>6256.7</v>
      </c>
      <c r="P242" s="226">
        <f t="shared" si="59"/>
        <v>6256.7</v>
      </c>
      <c r="Q242" s="199">
        <f t="shared" si="56"/>
        <v>100</v>
      </c>
      <c r="R242" s="200"/>
      <c r="S242" s="200"/>
    </row>
    <row r="243" spans="1:19" s="197" customFormat="1" ht="37.9" customHeight="1" x14ac:dyDescent="0.25">
      <c r="A243" s="285"/>
      <c r="B243" s="241" t="s">
        <v>282</v>
      </c>
      <c r="C243" s="208">
        <v>992</v>
      </c>
      <c r="D243" s="201" t="s">
        <v>262</v>
      </c>
      <c r="E243" s="211" t="s">
        <v>248</v>
      </c>
      <c r="F243" s="201"/>
      <c r="G243" s="202">
        <f>SUM(G246)+G244</f>
        <v>6256.7</v>
      </c>
      <c r="H243" s="202">
        <f>SUM(H246)+H244</f>
        <v>0</v>
      </c>
      <c r="I243" s="202">
        <f>SUM(G243)+H243</f>
        <v>6256.7</v>
      </c>
      <c r="J243" s="206"/>
      <c r="K243" s="202"/>
      <c r="L243" s="206"/>
      <c r="M243" s="202">
        <f>SUM(G243)</f>
        <v>6256.7</v>
      </c>
      <c r="N243" s="202">
        <f t="shared" ref="N243:O247" si="60">SUM(H243)</f>
        <v>0</v>
      </c>
      <c r="O243" s="226">
        <f t="shared" si="60"/>
        <v>6256.7</v>
      </c>
      <c r="P243" s="226">
        <f>5097.7+P246</f>
        <v>6256.7</v>
      </c>
      <c r="Q243" s="199">
        <f t="shared" si="56"/>
        <v>100</v>
      </c>
      <c r="R243" s="200"/>
      <c r="S243" s="200"/>
    </row>
    <row r="244" spans="1:19" s="197" customFormat="1" ht="57" customHeight="1" x14ac:dyDescent="0.25">
      <c r="A244" s="285"/>
      <c r="B244" s="207" t="s">
        <v>134</v>
      </c>
      <c r="C244" s="208">
        <v>992</v>
      </c>
      <c r="D244" s="201" t="s">
        <v>262</v>
      </c>
      <c r="E244" s="211" t="s">
        <v>251</v>
      </c>
      <c r="F244" s="201"/>
      <c r="G244" s="202">
        <f>SUM(G245)</f>
        <v>5097.7</v>
      </c>
      <c r="H244" s="202">
        <f>SUM(H245)</f>
        <v>0</v>
      </c>
      <c r="I244" s="202">
        <f>SUM(I245)</f>
        <v>5097.7</v>
      </c>
      <c r="J244" s="206"/>
      <c r="K244" s="202"/>
      <c r="L244" s="206"/>
      <c r="M244" s="202">
        <f>SUM(G244)</f>
        <v>5097.7</v>
      </c>
      <c r="N244" s="202">
        <f>SUM(H244)</f>
        <v>0</v>
      </c>
      <c r="O244" s="226">
        <f>SUM(I244)</f>
        <v>5097.7</v>
      </c>
      <c r="P244" s="226">
        <v>5097.7</v>
      </c>
      <c r="Q244" s="199">
        <f t="shared" ref="Q244:Q252" si="61">P244/O244*100</f>
        <v>100</v>
      </c>
      <c r="R244" s="200"/>
      <c r="S244" s="200"/>
    </row>
    <row r="245" spans="1:19" s="197" customFormat="1" ht="78.75" customHeight="1" x14ac:dyDescent="0.25">
      <c r="A245" s="285"/>
      <c r="B245" s="198" t="s">
        <v>95</v>
      </c>
      <c r="C245" s="208">
        <v>992</v>
      </c>
      <c r="D245" s="201" t="s">
        <v>262</v>
      </c>
      <c r="E245" s="211" t="s">
        <v>251</v>
      </c>
      <c r="F245" s="201">
        <v>600</v>
      </c>
      <c r="G245" s="202">
        <v>5097.7</v>
      </c>
      <c r="H245" s="202"/>
      <c r="I245" s="202">
        <v>5097.7</v>
      </c>
      <c r="J245" s="206"/>
      <c r="K245" s="202"/>
      <c r="L245" s="206"/>
      <c r="M245" s="202">
        <f>SUM(G245)</f>
        <v>5097.7</v>
      </c>
      <c r="N245" s="202">
        <f>SUM(H245)</f>
        <v>0</v>
      </c>
      <c r="O245" s="226">
        <f>SUM(I245)</f>
        <v>5097.7</v>
      </c>
      <c r="P245" s="226">
        <v>5097.7</v>
      </c>
      <c r="Q245" s="199">
        <f t="shared" si="61"/>
        <v>100</v>
      </c>
      <c r="R245" s="200"/>
      <c r="S245" s="200"/>
    </row>
    <row r="246" spans="1:19" s="197" customFormat="1" ht="93.75" customHeight="1" x14ac:dyDescent="0.25">
      <c r="A246" s="285"/>
      <c r="B246" s="258" t="s">
        <v>283</v>
      </c>
      <c r="C246" s="208">
        <v>992</v>
      </c>
      <c r="D246" s="201" t="s">
        <v>262</v>
      </c>
      <c r="E246" s="211" t="s">
        <v>284</v>
      </c>
      <c r="F246" s="201"/>
      <c r="G246" s="202">
        <f>SUM(G247)</f>
        <v>1159</v>
      </c>
      <c r="H246" s="202">
        <f>SUM(H247)</f>
        <v>0</v>
      </c>
      <c r="I246" s="202">
        <f>SUM(G246)+H246</f>
        <v>1159</v>
      </c>
      <c r="J246" s="206"/>
      <c r="K246" s="202"/>
      <c r="L246" s="206"/>
      <c r="M246" s="202">
        <f>SUM(G247)</f>
        <v>1159</v>
      </c>
      <c r="N246" s="202">
        <f t="shared" si="60"/>
        <v>0</v>
      </c>
      <c r="O246" s="226">
        <f t="shared" si="60"/>
        <v>1159</v>
      </c>
      <c r="P246" s="226">
        <v>1159</v>
      </c>
      <c r="Q246" s="199">
        <f t="shared" si="61"/>
        <v>100</v>
      </c>
      <c r="R246" s="200"/>
      <c r="S246" s="200"/>
    </row>
    <row r="247" spans="1:19" s="197" customFormat="1" ht="78.75" customHeight="1" x14ac:dyDescent="0.25">
      <c r="A247" s="285"/>
      <c r="B247" s="198" t="s">
        <v>95</v>
      </c>
      <c r="C247" s="208">
        <v>992</v>
      </c>
      <c r="D247" s="201" t="s">
        <v>262</v>
      </c>
      <c r="E247" s="211" t="s">
        <v>284</v>
      </c>
      <c r="F247" s="201">
        <v>600</v>
      </c>
      <c r="G247" s="202">
        <v>1159</v>
      </c>
      <c r="H247" s="202"/>
      <c r="I247" s="202">
        <f>SUM(G247)+H247</f>
        <v>1159</v>
      </c>
      <c r="J247" s="206"/>
      <c r="K247" s="202"/>
      <c r="L247" s="206"/>
      <c r="M247" s="202">
        <f>SUM(G247)</f>
        <v>1159</v>
      </c>
      <c r="N247" s="202">
        <f t="shared" si="60"/>
        <v>0</v>
      </c>
      <c r="O247" s="226">
        <f t="shared" si="60"/>
        <v>1159</v>
      </c>
      <c r="P247" s="226">
        <v>1159</v>
      </c>
      <c r="Q247" s="199">
        <f t="shared" si="61"/>
        <v>100</v>
      </c>
      <c r="R247" s="200"/>
      <c r="S247" s="200"/>
    </row>
    <row r="248" spans="1:19" s="197" customFormat="1" ht="57.75" customHeight="1" x14ac:dyDescent="0.25">
      <c r="A248" s="285"/>
      <c r="B248" s="198" t="s">
        <v>218</v>
      </c>
      <c r="C248" s="198" t="s">
        <v>51</v>
      </c>
      <c r="D248" s="201" t="s">
        <v>262</v>
      </c>
      <c r="E248" s="201" t="s">
        <v>219</v>
      </c>
      <c r="F248" s="201" t="s">
        <v>11</v>
      </c>
      <c r="G248" s="202">
        <f>G249+G254+G261</f>
        <v>5326.1</v>
      </c>
      <c r="H248" s="202">
        <f>H249+H254</f>
        <v>0</v>
      </c>
      <c r="I248" s="202">
        <f>I249+I254+I261</f>
        <v>5326.1</v>
      </c>
      <c r="J248" s="202">
        <f>J249+J254+J261</f>
        <v>0</v>
      </c>
      <c r="K248" s="202">
        <f>K249</f>
        <v>0</v>
      </c>
      <c r="L248" s="202">
        <f>L249+L254+L261</f>
        <v>0</v>
      </c>
      <c r="M248" s="202">
        <f>M249+M254+M261</f>
        <v>5326.1</v>
      </c>
      <c r="N248" s="202">
        <f>N249+N254+N261</f>
        <v>0</v>
      </c>
      <c r="O248" s="226">
        <f>O249+O254+O261</f>
        <v>5326.1</v>
      </c>
      <c r="P248" s="226">
        <f>P249+P254+P261</f>
        <v>5156.6000000000004</v>
      </c>
      <c r="Q248" s="199">
        <f t="shared" si="61"/>
        <v>96.817558814141677</v>
      </c>
      <c r="R248" s="200"/>
      <c r="S248" s="200"/>
    </row>
    <row r="249" spans="1:19" s="197" customFormat="1" ht="60.75" customHeight="1" x14ac:dyDescent="0.25">
      <c r="A249" s="285"/>
      <c r="B249" s="198" t="s">
        <v>285</v>
      </c>
      <c r="C249" s="198" t="s">
        <v>51</v>
      </c>
      <c r="D249" s="201" t="s">
        <v>262</v>
      </c>
      <c r="E249" s="201" t="s">
        <v>286</v>
      </c>
      <c r="F249" s="201" t="s">
        <v>11</v>
      </c>
      <c r="G249" s="202">
        <f>G250</f>
        <v>330</v>
      </c>
      <c r="H249" s="202">
        <f>H250</f>
        <v>0</v>
      </c>
      <c r="I249" s="202">
        <f>I250</f>
        <v>330</v>
      </c>
      <c r="J249" s="202">
        <f t="shared" ref="J249:P250" si="62">J250</f>
        <v>0</v>
      </c>
      <c r="K249" s="202">
        <f>K250</f>
        <v>0</v>
      </c>
      <c r="L249" s="202">
        <f t="shared" si="62"/>
        <v>0</v>
      </c>
      <c r="M249" s="202">
        <f t="shared" si="62"/>
        <v>330</v>
      </c>
      <c r="N249" s="202">
        <f t="shared" si="62"/>
        <v>0</v>
      </c>
      <c r="O249" s="226">
        <f t="shared" si="62"/>
        <v>330</v>
      </c>
      <c r="P249" s="226">
        <f t="shared" si="62"/>
        <v>170</v>
      </c>
      <c r="Q249" s="199">
        <f t="shared" si="61"/>
        <v>51.515151515151516</v>
      </c>
      <c r="R249" s="200"/>
      <c r="S249" s="200"/>
    </row>
    <row r="250" spans="1:19" s="197" customFormat="1" ht="60" customHeight="1" x14ac:dyDescent="0.25">
      <c r="A250" s="285"/>
      <c r="B250" s="198" t="s">
        <v>287</v>
      </c>
      <c r="C250" s="198" t="s">
        <v>51</v>
      </c>
      <c r="D250" s="201" t="s">
        <v>262</v>
      </c>
      <c r="E250" s="201" t="s">
        <v>288</v>
      </c>
      <c r="F250" s="201" t="s">
        <v>11</v>
      </c>
      <c r="G250" s="202">
        <f>G251</f>
        <v>330</v>
      </c>
      <c r="H250" s="202">
        <f>H252+H251</f>
        <v>0</v>
      </c>
      <c r="I250" s="202">
        <f>I251</f>
        <v>330</v>
      </c>
      <c r="J250" s="202">
        <f t="shared" si="62"/>
        <v>0</v>
      </c>
      <c r="K250" s="202">
        <f>K252+K251</f>
        <v>0</v>
      </c>
      <c r="L250" s="202">
        <f t="shared" si="62"/>
        <v>0</v>
      </c>
      <c r="M250" s="202">
        <f t="shared" si="62"/>
        <v>330</v>
      </c>
      <c r="N250" s="202">
        <f t="shared" si="62"/>
        <v>0</v>
      </c>
      <c r="O250" s="226">
        <f t="shared" si="62"/>
        <v>330</v>
      </c>
      <c r="P250" s="226">
        <f t="shared" si="62"/>
        <v>170</v>
      </c>
      <c r="Q250" s="199">
        <f t="shared" si="61"/>
        <v>51.515151515151516</v>
      </c>
      <c r="R250" s="200"/>
      <c r="S250" s="200"/>
    </row>
    <row r="251" spans="1:19" s="197" customFormat="1" ht="61.5" customHeight="1" x14ac:dyDescent="0.25">
      <c r="A251" s="285"/>
      <c r="B251" s="198" t="s">
        <v>285</v>
      </c>
      <c r="C251" s="198" t="s">
        <v>51</v>
      </c>
      <c r="D251" s="201" t="s">
        <v>262</v>
      </c>
      <c r="E251" s="201" t="s">
        <v>289</v>
      </c>
      <c r="F251" s="201" t="s">
        <v>11</v>
      </c>
      <c r="G251" s="202">
        <f>G253+G252</f>
        <v>330</v>
      </c>
      <c r="H251" s="202"/>
      <c r="I251" s="202">
        <f>I253+I252</f>
        <v>330</v>
      </c>
      <c r="J251" s="202">
        <f>J253+J252</f>
        <v>0</v>
      </c>
      <c r="K251" s="202"/>
      <c r="L251" s="202">
        <f>L253+L252</f>
        <v>0</v>
      </c>
      <c r="M251" s="202">
        <f>M253+M252</f>
        <v>330</v>
      </c>
      <c r="N251" s="202">
        <f>N253+N252</f>
        <v>0</v>
      </c>
      <c r="O251" s="226">
        <f>O253+O252</f>
        <v>330</v>
      </c>
      <c r="P251" s="226">
        <f>P253+P252</f>
        <v>170</v>
      </c>
      <c r="Q251" s="199">
        <f t="shared" si="61"/>
        <v>51.515151515151516</v>
      </c>
      <c r="R251" s="200"/>
      <c r="S251" s="200"/>
    </row>
    <row r="252" spans="1:19" s="197" customFormat="1" ht="75" x14ac:dyDescent="0.25">
      <c r="A252" s="285"/>
      <c r="B252" s="198" t="s">
        <v>40</v>
      </c>
      <c r="C252" s="198" t="s">
        <v>51</v>
      </c>
      <c r="D252" s="201" t="s">
        <v>262</v>
      </c>
      <c r="E252" s="201" t="s">
        <v>289</v>
      </c>
      <c r="F252" s="201">
        <v>200</v>
      </c>
      <c r="G252" s="202">
        <v>200</v>
      </c>
      <c r="H252" s="202"/>
      <c r="I252" s="202">
        <v>200</v>
      </c>
      <c r="J252" s="202">
        <v>0</v>
      </c>
      <c r="K252" s="202"/>
      <c r="L252" s="202">
        <v>0</v>
      </c>
      <c r="M252" s="202">
        <v>200</v>
      </c>
      <c r="N252" s="202"/>
      <c r="O252" s="226">
        <v>200</v>
      </c>
      <c r="P252" s="226">
        <v>170</v>
      </c>
      <c r="Q252" s="199">
        <f t="shared" si="61"/>
        <v>85</v>
      </c>
      <c r="R252" s="200"/>
      <c r="S252" s="200"/>
    </row>
    <row r="253" spans="1:19" s="197" customFormat="1" ht="21" customHeight="1" x14ac:dyDescent="0.25">
      <c r="A253" s="285"/>
      <c r="B253" s="198" t="s">
        <v>70</v>
      </c>
      <c r="C253" s="198" t="s">
        <v>51</v>
      </c>
      <c r="D253" s="201" t="s">
        <v>262</v>
      </c>
      <c r="E253" s="201" t="s">
        <v>289</v>
      </c>
      <c r="F253" s="201" t="s">
        <v>71</v>
      </c>
      <c r="G253" s="202">
        <v>130</v>
      </c>
      <c r="H253" s="202"/>
      <c r="I253" s="202">
        <v>130</v>
      </c>
      <c r="J253" s="206">
        <v>0</v>
      </c>
      <c r="K253" s="202"/>
      <c r="L253" s="206">
        <v>0</v>
      </c>
      <c r="M253" s="202">
        <v>130</v>
      </c>
      <c r="N253" s="202"/>
      <c r="O253" s="226">
        <v>130</v>
      </c>
      <c r="P253" s="226">
        <v>0</v>
      </c>
      <c r="Q253" s="199">
        <v>0</v>
      </c>
      <c r="R253" s="200"/>
      <c r="S253" s="200"/>
    </row>
    <row r="254" spans="1:19" s="197" customFormat="1" ht="46.5" customHeight="1" x14ac:dyDescent="0.25">
      <c r="A254" s="285"/>
      <c r="B254" s="198" t="s">
        <v>290</v>
      </c>
      <c r="C254" s="198" t="s">
        <v>51</v>
      </c>
      <c r="D254" s="201" t="s">
        <v>262</v>
      </c>
      <c r="E254" s="201" t="s">
        <v>291</v>
      </c>
      <c r="F254" s="201" t="s">
        <v>11</v>
      </c>
      <c r="G254" s="202">
        <f t="shared" ref="G254:P255" si="63">G255</f>
        <v>4396.1000000000004</v>
      </c>
      <c r="H254" s="202">
        <f t="shared" si="63"/>
        <v>0</v>
      </c>
      <c r="I254" s="202">
        <f t="shared" si="63"/>
        <v>4396.1000000000004</v>
      </c>
      <c r="J254" s="202">
        <f t="shared" si="63"/>
        <v>0</v>
      </c>
      <c r="K254" s="202">
        <f t="shared" si="63"/>
        <v>0</v>
      </c>
      <c r="L254" s="202">
        <f t="shared" si="63"/>
        <v>0</v>
      </c>
      <c r="M254" s="202">
        <f t="shared" si="63"/>
        <v>4396.1000000000004</v>
      </c>
      <c r="N254" s="202">
        <f t="shared" si="63"/>
        <v>0</v>
      </c>
      <c r="O254" s="226">
        <f t="shared" si="63"/>
        <v>4396.1000000000004</v>
      </c>
      <c r="P254" s="226">
        <f t="shared" si="63"/>
        <v>4386.6000000000004</v>
      </c>
      <c r="Q254" s="199">
        <f>P254/O254*100</f>
        <v>99.783899365346556</v>
      </c>
      <c r="R254" s="200"/>
      <c r="S254" s="200"/>
    </row>
    <row r="255" spans="1:19" s="197" customFormat="1" ht="97.5" customHeight="1" x14ac:dyDescent="0.25">
      <c r="A255" s="285"/>
      <c r="B255" s="198" t="s">
        <v>292</v>
      </c>
      <c r="C255" s="198" t="s">
        <v>51</v>
      </c>
      <c r="D255" s="201" t="s">
        <v>262</v>
      </c>
      <c r="E255" s="201" t="s">
        <v>293</v>
      </c>
      <c r="F255" s="201" t="s">
        <v>11</v>
      </c>
      <c r="G255" s="202">
        <f t="shared" si="63"/>
        <v>4396.1000000000004</v>
      </c>
      <c r="H255" s="202">
        <f t="shared" si="63"/>
        <v>0</v>
      </c>
      <c r="I255" s="202">
        <f t="shared" si="63"/>
        <v>4396.1000000000004</v>
      </c>
      <c r="J255" s="202">
        <f t="shared" si="63"/>
        <v>0</v>
      </c>
      <c r="K255" s="202">
        <f>K256+K257</f>
        <v>0</v>
      </c>
      <c r="L255" s="202">
        <f t="shared" si="63"/>
        <v>0</v>
      </c>
      <c r="M255" s="202">
        <f t="shared" si="63"/>
        <v>4396.1000000000004</v>
      </c>
      <c r="N255" s="202">
        <f>SUM(H255)</f>
        <v>0</v>
      </c>
      <c r="O255" s="226">
        <f t="shared" si="63"/>
        <v>4396.1000000000004</v>
      </c>
      <c r="P255" s="226">
        <f t="shared" si="63"/>
        <v>4386.6000000000004</v>
      </c>
      <c r="Q255" s="199">
        <f t="shared" ref="Q255:Q288" si="64">P255/O255*100</f>
        <v>99.783899365346556</v>
      </c>
      <c r="R255" s="200"/>
      <c r="S255" s="200"/>
    </row>
    <row r="256" spans="1:19" s="197" customFormat="1" ht="56.25" x14ac:dyDescent="0.25">
      <c r="A256" s="285"/>
      <c r="B256" s="198" t="s">
        <v>134</v>
      </c>
      <c r="C256" s="198" t="s">
        <v>51</v>
      </c>
      <c r="D256" s="201" t="s">
        <v>262</v>
      </c>
      <c r="E256" s="201" t="s">
        <v>294</v>
      </c>
      <c r="F256" s="201" t="s">
        <v>11</v>
      </c>
      <c r="G256" s="202">
        <f>G257+G258</f>
        <v>4396.1000000000004</v>
      </c>
      <c r="H256" s="202"/>
      <c r="I256" s="202">
        <f>I257+I258</f>
        <v>4396.1000000000004</v>
      </c>
      <c r="J256" s="202">
        <f>J257+J258</f>
        <v>0</v>
      </c>
      <c r="K256" s="202"/>
      <c r="L256" s="202">
        <f>L257+L258</f>
        <v>0</v>
      </c>
      <c r="M256" s="202">
        <f>M257+M258</f>
        <v>4396.1000000000004</v>
      </c>
      <c r="N256" s="202">
        <f>N257+N258</f>
        <v>0</v>
      </c>
      <c r="O256" s="226">
        <f>O257+O258</f>
        <v>4396.1000000000004</v>
      </c>
      <c r="P256" s="226">
        <f>P257+P258</f>
        <v>4386.6000000000004</v>
      </c>
      <c r="Q256" s="199">
        <f t="shared" si="64"/>
        <v>99.783899365346556</v>
      </c>
      <c r="R256" s="200"/>
      <c r="S256" s="200"/>
    </row>
    <row r="257" spans="1:19" s="197" customFormat="1" ht="158.25" customHeight="1" x14ac:dyDescent="0.25">
      <c r="A257" s="285"/>
      <c r="B257" s="198" t="s">
        <v>61</v>
      </c>
      <c r="C257" s="198" t="s">
        <v>51</v>
      </c>
      <c r="D257" s="201" t="s">
        <v>262</v>
      </c>
      <c r="E257" s="201" t="s">
        <v>294</v>
      </c>
      <c r="F257" s="201" t="s">
        <v>62</v>
      </c>
      <c r="G257" s="202">
        <v>4250.6000000000004</v>
      </c>
      <c r="H257" s="202"/>
      <c r="I257" s="202">
        <f>SUM(G257)</f>
        <v>4250.6000000000004</v>
      </c>
      <c r="J257" s="206">
        <v>0</v>
      </c>
      <c r="K257" s="202"/>
      <c r="L257" s="206">
        <v>0</v>
      </c>
      <c r="M257" s="202">
        <f>SUM(G257)</f>
        <v>4250.6000000000004</v>
      </c>
      <c r="N257" s="202">
        <f>SUM(H257)</f>
        <v>0</v>
      </c>
      <c r="O257" s="226">
        <f>SUM(I257)</f>
        <v>4250.6000000000004</v>
      </c>
      <c r="P257" s="226">
        <v>4241.1000000000004</v>
      </c>
      <c r="Q257" s="199">
        <f t="shared" si="64"/>
        <v>99.776502140874229</v>
      </c>
      <c r="R257" s="200"/>
      <c r="S257" s="200"/>
    </row>
    <row r="258" spans="1:19" s="197" customFormat="1" ht="75" x14ac:dyDescent="0.25">
      <c r="A258" s="285"/>
      <c r="B258" s="198" t="s">
        <v>40</v>
      </c>
      <c r="C258" s="198" t="s">
        <v>51</v>
      </c>
      <c r="D258" s="201" t="s">
        <v>262</v>
      </c>
      <c r="E258" s="201" t="s">
        <v>294</v>
      </c>
      <c r="F258" s="201" t="s">
        <v>41</v>
      </c>
      <c r="G258" s="202">
        <v>145.5</v>
      </c>
      <c r="H258" s="202"/>
      <c r="I258" s="202">
        <v>145.5</v>
      </c>
      <c r="J258" s="206">
        <v>0</v>
      </c>
      <c r="K258" s="202"/>
      <c r="L258" s="206">
        <v>0</v>
      </c>
      <c r="M258" s="202">
        <v>145.5</v>
      </c>
      <c r="N258" s="202"/>
      <c r="O258" s="226">
        <v>145.5</v>
      </c>
      <c r="P258" s="226">
        <v>145.5</v>
      </c>
      <c r="Q258" s="199">
        <f t="shared" si="64"/>
        <v>100</v>
      </c>
      <c r="R258" s="200"/>
      <c r="S258" s="200"/>
    </row>
    <row r="259" spans="1:19" s="197" customFormat="1" ht="150" hidden="1" customHeight="1" x14ac:dyDescent="0.25">
      <c r="A259" s="285"/>
      <c r="B259" s="207" t="s">
        <v>560</v>
      </c>
      <c r="C259" s="198">
        <v>992</v>
      </c>
      <c r="D259" s="201" t="s">
        <v>262</v>
      </c>
      <c r="E259" s="201" t="s">
        <v>559</v>
      </c>
      <c r="F259" s="201"/>
      <c r="G259" s="202"/>
      <c r="H259" s="202"/>
      <c r="I259" s="202">
        <f>SUM(H259)</f>
        <v>0</v>
      </c>
      <c r="J259" s="206"/>
      <c r="K259" s="202"/>
      <c r="L259" s="206"/>
      <c r="M259" s="202"/>
      <c r="N259" s="202">
        <f>SUM(H259)</f>
        <v>0</v>
      </c>
      <c r="O259" s="226">
        <f>SUM(H259)</f>
        <v>0</v>
      </c>
      <c r="P259" s="226"/>
      <c r="Q259" s="199" t="e">
        <f t="shared" si="64"/>
        <v>#DIV/0!</v>
      </c>
      <c r="R259" s="200"/>
      <c r="S259" s="200"/>
    </row>
    <row r="260" spans="1:19" s="197" customFormat="1" ht="18.75" hidden="1" customHeight="1" x14ac:dyDescent="0.25">
      <c r="A260" s="285"/>
      <c r="B260" s="198" t="s">
        <v>47</v>
      </c>
      <c r="C260" s="198">
        <v>992</v>
      </c>
      <c r="D260" s="201" t="s">
        <v>262</v>
      </c>
      <c r="E260" s="201" t="s">
        <v>559</v>
      </c>
      <c r="F260" s="201">
        <v>500</v>
      </c>
      <c r="G260" s="202"/>
      <c r="H260" s="202"/>
      <c r="I260" s="202">
        <f>SUM(H260)</f>
        <v>0</v>
      </c>
      <c r="J260" s="206"/>
      <c r="K260" s="202"/>
      <c r="L260" s="206"/>
      <c r="M260" s="202"/>
      <c r="N260" s="202">
        <f>SUM(H260)</f>
        <v>0</v>
      </c>
      <c r="O260" s="226">
        <f>SUM(H260)</f>
        <v>0</v>
      </c>
      <c r="P260" s="226"/>
      <c r="Q260" s="199" t="e">
        <f t="shared" si="64"/>
        <v>#DIV/0!</v>
      </c>
      <c r="R260" s="200"/>
      <c r="S260" s="200"/>
    </row>
    <row r="261" spans="1:19" s="197" customFormat="1" ht="95.25" customHeight="1" x14ac:dyDescent="0.25">
      <c r="A261" s="285"/>
      <c r="B261" s="198" t="s">
        <v>295</v>
      </c>
      <c r="C261" s="198" t="s">
        <v>51</v>
      </c>
      <c r="D261" s="201" t="s">
        <v>262</v>
      </c>
      <c r="E261" s="201" t="s">
        <v>296</v>
      </c>
      <c r="F261" s="201" t="s">
        <v>11</v>
      </c>
      <c r="G261" s="202">
        <f t="shared" ref="G261:P263" si="65">G262</f>
        <v>600</v>
      </c>
      <c r="H261" s="202">
        <f t="shared" si="65"/>
        <v>0</v>
      </c>
      <c r="I261" s="202">
        <f t="shared" si="65"/>
        <v>600</v>
      </c>
      <c r="J261" s="202">
        <f t="shared" si="65"/>
        <v>0</v>
      </c>
      <c r="K261" s="202">
        <f>K262</f>
        <v>0</v>
      </c>
      <c r="L261" s="202">
        <f t="shared" si="65"/>
        <v>0</v>
      </c>
      <c r="M261" s="202">
        <f t="shared" si="65"/>
        <v>600</v>
      </c>
      <c r="N261" s="202">
        <f t="shared" si="65"/>
        <v>0</v>
      </c>
      <c r="O261" s="226">
        <f t="shared" si="65"/>
        <v>600</v>
      </c>
      <c r="P261" s="226">
        <f t="shared" si="65"/>
        <v>600</v>
      </c>
      <c r="Q261" s="199">
        <f t="shared" si="64"/>
        <v>100</v>
      </c>
      <c r="R261" s="200"/>
      <c r="S261" s="200"/>
    </row>
    <row r="262" spans="1:19" s="197" customFormat="1" ht="78" customHeight="1" x14ac:dyDescent="0.25">
      <c r="A262" s="285"/>
      <c r="B262" s="198" t="s">
        <v>297</v>
      </c>
      <c r="C262" s="198" t="s">
        <v>51</v>
      </c>
      <c r="D262" s="201" t="s">
        <v>262</v>
      </c>
      <c r="E262" s="201" t="s">
        <v>298</v>
      </c>
      <c r="F262" s="201" t="s">
        <v>11</v>
      </c>
      <c r="G262" s="202">
        <f t="shared" si="65"/>
        <v>600</v>
      </c>
      <c r="H262" s="202">
        <f>H263</f>
        <v>0</v>
      </c>
      <c r="I262" s="202">
        <f t="shared" si="65"/>
        <v>600</v>
      </c>
      <c r="J262" s="202">
        <f t="shared" si="65"/>
        <v>0</v>
      </c>
      <c r="K262" s="202">
        <f>K263</f>
        <v>0</v>
      </c>
      <c r="L262" s="202">
        <f t="shared" si="65"/>
        <v>0</v>
      </c>
      <c r="M262" s="202">
        <f t="shared" si="65"/>
        <v>600</v>
      </c>
      <c r="N262" s="202">
        <f t="shared" si="65"/>
        <v>0</v>
      </c>
      <c r="O262" s="226">
        <f t="shared" si="65"/>
        <v>600</v>
      </c>
      <c r="P262" s="226">
        <f t="shared" si="65"/>
        <v>600</v>
      </c>
      <c r="Q262" s="199">
        <f t="shared" si="64"/>
        <v>100</v>
      </c>
      <c r="R262" s="200"/>
      <c r="S262" s="200"/>
    </row>
    <row r="263" spans="1:19" s="197" customFormat="1" ht="42.75" customHeight="1" x14ac:dyDescent="0.25">
      <c r="A263" s="285"/>
      <c r="B263" s="198" t="s">
        <v>299</v>
      </c>
      <c r="C263" s="198" t="s">
        <v>51</v>
      </c>
      <c r="D263" s="201" t="s">
        <v>262</v>
      </c>
      <c r="E263" s="201" t="s">
        <v>300</v>
      </c>
      <c r="F263" s="201" t="s">
        <v>11</v>
      </c>
      <c r="G263" s="202">
        <f>G264</f>
        <v>600</v>
      </c>
      <c r="H263" s="202">
        <f>H264</f>
        <v>0</v>
      </c>
      <c r="I263" s="202">
        <f>I264</f>
        <v>600</v>
      </c>
      <c r="J263" s="202">
        <f t="shared" si="65"/>
        <v>0</v>
      </c>
      <c r="K263" s="202"/>
      <c r="L263" s="202">
        <f t="shared" si="65"/>
        <v>0</v>
      </c>
      <c r="M263" s="202">
        <f t="shared" si="65"/>
        <v>600</v>
      </c>
      <c r="N263" s="202">
        <f t="shared" si="65"/>
        <v>0</v>
      </c>
      <c r="O263" s="226">
        <f t="shared" si="65"/>
        <v>600</v>
      </c>
      <c r="P263" s="226">
        <f t="shared" si="65"/>
        <v>600</v>
      </c>
      <c r="Q263" s="199">
        <f t="shared" si="64"/>
        <v>100</v>
      </c>
      <c r="R263" s="200"/>
      <c r="S263" s="200"/>
    </row>
    <row r="264" spans="1:19" s="197" customFormat="1" ht="79.5" customHeight="1" x14ac:dyDescent="0.25">
      <c r="A264" s="285"/>
      <c r="B264" s="198" t="s">
        <v>40</v>
      </c>
      <c r="C264" s="198" t="s">
        <v>51</v>
      </c>
      <c r="D264" s="201" t="s">
        <v>262</v>
      </c>
      <c r="E264" s="201" t="s">
        <v>300</v>
      </c>
      <c r="F264" s="201" t="s">
        <v>41</v>
      </c>
      <c r="G264" s="202">
        <v>600</v>
      </c>
      <c r="H264" s="202"/>
      <c r="I264" s="202">
        <f>G264+H264</f>
        <v>600</v>
      </c>
      <c r="J264" s="206"/>
      <c r="K264" s="202"/>
      <c r="L264" s="206"/>
      <c r="M264" s="202">
        <f>SUM(G264)</f>
        <v>600</v>
      </c>
      <c r="N264" s="202">
        <f>SUM(H264)</f>
        <v>0</v>
      </c>
      <c r="O264" s="226">
        <f>SUM(I264)</f>
        <v>600</v>
      </c>
      <c r="P264" s="226">
        <v>600</v>
      </c>
      <c r="Q264" s="199">
        <v>100</v>
      </c>
      <c r="R264" s="200"/>
      <c r="S264" s="200"/>
    </row>
    <row r="265" spans="1:19" s="197" customFormat="1" ht="56.25" x14ac:dyDescent="0.25">
      <c r="A265" s="285"/>
      <c r="B265" s="198" t="s">
        <v>302</v>
      </c>
      <c r="C265" s="198" t="s">
        <v>51</v>
      </c>
      <c r="D265" s="201" t="s">
        <v>303</v>
      </c>
      <c r="E265" s="201" t="s">
        <v>11</v>
      </c>
      <c r="F265" s="201" t="s">
        <v>11</v>
      </c>
      <c r="G265" s="202">
        <f>SUM(G293+G336+G397)+G266</f>
        <v>262082.30000000002</v>
      </c>
      <c r="H265" s="202">
        <f>SUM(H293+H336+H397)+H266</f>
        <v>5454.4</v>
      </c>
      <c r="I265" s="202">
        <f>SUM(I293+I336+I397)+I266</f>
        <v>267536.7</v>
      </c>
      <c r="J265" s="202">
        <f>J267+J293+J336+J397</f>
        <v>1769766.4999999998</v>
      </c>
      <c r="K265" s="205">
        <f>K267+K293+K336</f>
        <v>-1842.4</v>
      </c>
      <c r="L265" s="202">
        <f>L267+L293+L336+L397</f>
        <v>1767924.0999999999</v>
      </c>
      <c r="M265" s="202">
        <f>SUM(M293+M336+M397)+M266</f>
        <v>2031848.8</v>
      </c>
      <c r="N265" s="202">
        <f>SUM(N293+N336+N397)+N266</f>
        <v>3611.9999999999995</v>
      </c>
      <c r="O265" s="226">
        <f>SUM(O293+O336+O397)+O266</f>
        <v>2036060.8</v>
      </c>
      <c r="P265" s="226">
        <f>SUM(P293+P336+P397)+P266</f>
        <v>384095.7</v>
      </c>
      <c r="Q265" s="199">
        <f t="shared" si="64"/>
        <v>18.864647853345048</v>
      </c>
      <c r="R265" s="200"/>
      <c r="S265" s="200"/>
    </row>
    <row r="266" spans="1:19" s="197" customFormat="1" ht="18.75" x14ac:dyDescent="0.25">
      <c r="A266" s="285"/>
      <c r="B266" s="198" t="s">
        <v>305</v>
      </c>
      <c r="C266" s="208">
        <v>992</v>
      </c>
      <c r="D266" s="204" t="s">
        <v>306</v>
      </c>
      <c r="E266" s="201"/>
      <c r="F266" s="201"/>
      <c r="G266" s="202">
        <f>SUM(G282)+G267</f>
        <v>7619.0999999999995</v>
      </c>
      <c r="H266" s="202">
        <f>SUM(H282)</f>
        <v>227.8</v>
      </c>
      <c r="I266" s="202">
        <f>SUM(I282)+I267</f>
        <v>7846.9</v>
      </c>
      <c r="J266" s="202"/>
      <c r="K266" s="205"/>
      <c r="L266" s="202"/>
      <c r="M266" s="202">
        <f>SUM(G266)</f>
        <v>7619.0999999999995</v>
      </c>
      <c r="N266" s="202">
        <f>SUM(H266)</f>
        <v>227.8</v>
      </c>
      <c r="O266" s="226">
        <f>SUM(I266)</f>
        <v>7846.9</v>
      </c>
      <c r="P266" s="226">
        <f>320.1+P282</f>
        <v>7602.6</v>
      </c>
      <c r="Q266" s="199">
        <f t="shared" si="64"/>
        <v>96.88666862072921</v>
      </c>
      <c r="R266" s="200"/>
      <c r="S266" s="200"/>
    </row>
    <row r="267" spans="1:19" s="197" customFormat="1" ht="99" customHeight="1" x14ac:dyDescent="0.25">
      <c r="A267" s="285"/>
      <c r="B267" s="198" t="s">
        <v>230</v>
      </c>
      <c r="C267" s="203" t="s">
        <v>51</v>
      </c>
      <c r="D267" s="204" t="s">
        <v>306</v>
      </c>
      <c r="E267" s="212" t="s">
        <v>231</v>
      </c>
      <c r="F267" s="201" t="s">
        <v>11</v>
      </c>
      <c r="G267" s="205">
        <f>G273</f>
        <v>320.2</v>
      </c>
      <c r="H267" s="205">
        <f>H278+H268</f>
        <v>0</v>
      </c>
      <c r="I267" s="205">
        <f>I273</f>
        <v>320.2</v>
      </c>
      <c r="J267" s="205">
        <f>J282</f>
        <v>0</v>
      </c>
      <c r="K267" s="202">
        <f>K282</f>
        <v>0</v>
      </c>
      <c r="L267" s="205">
        <f>L282</f>
        <v>0</v>
      </c>
      <c r="M267" s="205">
        <f>M273</f>
        <v>320.2</v>
      </c>
      <c r="N267" s="202">
        <f>SUM(H267)</f>
        <v>0</v>
      </c>
      <c r="O267" s="227">
        <f>O273</f>
        <v>320.2</v>
      </c>
      <c r="P267" s="226">
        <v>320.10000000000002</v>
      </c>
      <c r="Q267" s="199">
        <f t="shared" si="64"/>
        <v>99.96876951905061</v>
      </c>
      <c r="R267" s="200"/>
      <c r="S267" s="200"/>
    </row>
    <row r="268" spans="1:19" s="197" customFormat="1" ht="39.75" customHeight="1" x14ac:dyDescent="0.25">
      <c r="A268" s="285"/>
      <c r="B268" s="198" t="s">
        <v>185</v>
      </c>
      <c r="C268" s="210">
        <v>992</v>
      </c>
      <c r="D268" s="211" t="s">
        <v>306</v>
      </c>
      <c r="E268" s="211" t="s">
        <v>271</v>
      </c>
      <c r="F268" s="201"/>
      <c r="G268" s="202">
        <f>G273</f>
        <v>320.2</v>
      </c>
      <c r="H268" s="202">
        <f>H273+H269</f>
        <v>0</v>
      </c>
      <c r="I268" s="202">
        <f>SUM(G268:H268)</f>
        <v>320.2</v>
      </c>
      <c r="J268" s="205"/>
      <c r="K268" s="202"/>
      <c r="L268" s="205"/>
      <c r="M268" s="202">
        <f>M273</f>
        <v>320.2</v>
      </c>
      <c r="N268" s="202">
        <f>SUM(N270)</f>
        <v>0</v>
      </c>
      <c r="O268" s="226">
        <f>O273+N268</f>
        <v>320.2</v>
      </c>
      <c r="P268" s="226">
        <v>320.10000000000002</v>
      </c>
      <c r="Q268" s="199">
        <f t="shared" si="64"/>
        <v>99.96876951905061</v>
      </c>
      <c r="R268" s="200"/>
      <c r="S268" s="200"/>
    </row>
    <row r="269" spans="1:19" s="197" customFormat="1" ht="131.25" hidden="1" customHeight="1" x14ac:dyDescent="0.25">
      <c r="A269" s="285"/>
      <c r="B269" s="198" t="s">
        <v>591</v>
      </c>
      <c r="C269" s="210" t="s">
        <v>51</v>
      </c>
      <c r="D269" s="211" t="s">
        <v>306</v>
      </c>
      <c r="E269" s="211" t="s">
        <v>276</v>
      </c>
      <c r="F269" s="201"/>
      <c r="G269" s="202"/>
      <c r="H269" s="202"/>
      <c r="I269" s="202">
        <f>SUM(H269)</f>
        <v>0</v>
      </c>
      <c r="J269" s="205"/>
      <c r="K269" s="202"/>
      <c r="L269" s="205"/>
      <c r="M269" s="202"/>
      <c r="N269" s="202">
        <f t="shared" ref="N269:O271" si="66">SUM(H269)</f>
        <v>0</v>
      </c>
      <c r="O269" s="226">
        <f t="shared" si="66"/>
        <v>0</v>
      </c>
      <c r="P269" s="226"/>
      <c r="Q269" s="199" t="e">
        <f t="shared" si="64"/>
        <v>#DIV/0!</v>
      </c>
      <c r="R269" s="200"/>
      <c r="S269" s="200"/>
    </row>
    <row r="270" spans="1:19" s="197" customFormat="1" ht="56.25" hidden="1" customHeight="1" x14ac:dyDescent="0.25">
      <c r="A270" s="285"/>
      <c r="B270" s="198" t="s">
        <v>592</v>
      </c>
      <c r="C270" s="210" t="s">
        <v>51</v>
      </c>
      <c r="D270" s="211" t="s">
        <v>306</v>
      </c>
      <c r="E270" s="211" t="s">
        <v>590</v>
      </c>
      <c r="F270" s="201"/>
      <c r="G270" s="202"/>
      <c r="H270" s="202"/>
      <c r="I270" s="202">
        <f>SUM(H270)</f>
        <v>0</v>
      </c>
      <c r="J270" s="205"/>
      <c r="K270" s="202"/>
      <c r="L270" s="205"/>
      <c r="M270" s="202"/>
      <c r="N270" s="202">
        <f t="shared" si="66"/>
        <v>0</v>
      </c>
      <c r="O270" s="226">
        <f t="shared" si="66"/>
        <v>0</v>
      </c>
      <c r="P270" s="226"/>
      <c r="Q270" s="199" t="e">
        <f t="shared" si="64"/>
        <v>#DIV/0!</v>
      </c>
      <c r="R270" s="200"/>
      <c r="S270" s="200"/>
    </row>
    <row r="271" spans="1:19" s="197" customFormat="1" ht="75" hidden="1" customHeight="1" x14ac:dyDescent="0.25">
      <c r="A271" s="285"/>
      <c r="B271" s="198" t="s">
        <v>225</v>
      </c>
      <c r="C271" s="210" t="s">
        <v>51</v>
      </c>
      <c r="D271" s="211" t="s">
        <v>306</v>
      </c>
      <c r="E271" s="211" t="s">
        <v>590</v>
      </c>
      <c r="F271" s="201">
        <v>400</v>
      </c>
      <c r="G271" s="202"/>
      <c r="H271" s="202"/>
      <c r="I271" s="202">
        <f>SUM(H271)</f>
        <v>0</v>
      </c>
      <c r="J271" s="205"/>
      <c r="K271" s="202"/>
      <c r="L271" s="205"/>
      <c r="M271" s="202"/>
      <c r="N271" s="202">
        <f t="shared" si="66"/>
        <v>0</v>
      </c>
      <c r="O271" s="226">
        <f t="shared" si="66"/>
        <v>0</v>
      </c>
      <c r="P271" s="226"/>
      <c r="Q271" s="199" t="e">
        <f t="shared" si="64"/>
        <v>#DIV/0!</v>
      </c>
      <c r="R271" s="200"/>
      <c r="S271" s="200"/>
    </row>
    <row r="272" spans="1:19" s="197" customFormat="1" ht="0.75" hidden="1" customHeight="1" x14ac:dyDescent="0.25">
      <c r="A272" s="285"/>
      <c r="B272" s="198"/>
      <c r="C272" s="210"/>
      <c r="D272" s="211"/>
      <c r="E272" s="211"/>
      <c r="F272" s="201"/>
      <c r="G272" s="202"/>
      <c r="H272" s="202"/>
      <c r="I272" s="202"/>
      <c r="J272" s="205"/>
      <c r="K272" s="202"/>
      <c r="L272" s="205"/>
      <c r="M272" s="202"/>
      <c r="N272" s="202"/>
      <c r="O272" s="226"/>
      <c r="P272" s="226"/>
      <c r="Q272" s="199" t="e">
        <f t="shared" si="64"/>
        <v>#DIV/0!</v>
      </c>
      <c r="R272" s="200"/>
      <c r="S272" s="200"/>
    </row>
    <row r="273" spans="1:19" s="197" customFormat="1" ht="43.5" customHeight="1" x14ac:dyDescent="0.25">
      <c r="A273" s="285"/>
      <c r="B273" s="198" t="s">
        <v>307</v>
      </c>
      <c r="C273" s="198">
        <v>992</v>
      </c>
      <c r="D273" s="201" t="s">
        <v>306</v>
      </c>
      <c r="E273" s="211" t="s">
        <v>308</v>
      </c>
      <c r="F273" s="201"/>
      <c r="G273" s="202">
        <f>SUM(G274)</f>
        <v>320.2</v>
      </c>
      <c r="H273" s="202">
        <f>SUM(H274)</f>
        <v>0</v>
      </c>
      <c r="I273" s="202">
        <f>SUM(G273:H273)</f>
        <v>320.2</v>
      </c>
      <c r="J273" s="205"/>
      <c r="K273" s="202"/>
      <c r="L273" s="205"/>
      <c r="M273" s="202">
        <f t="shared" ref="M273:O276" si="67">SUM(G273)</f>
        <v>320.2</v>
      </c>
      <c r="N273" s="202">
        <f t="shared" si="67"/>
        <v>0</v>
      </c>
      <c r="O273" s="226">
        <f t="shared" si="67"/>
        <v>320.2</v>
      </c>
      <c r="P273" s="226">
        <v>320.10000000000002</v>
      </c>
      <c r="Q273" s="199">
        <f t="shared" si="64"/>
        <v>99.96876951905061</v>
      </c>
      <c r="R273" s="200"/>
      <c r="S273" s="200"/>
    </row>
    <row r="274" spans="1:19" s="197" customFormat="1" ht="80.25" customHeight="1" x14ac:dyDescent="0.25">
      <c r="A274" s="285"/>
      <c r="B274" s="207" t="s">
        <v>309</v>
      </c>
      <c r="C274" s="198">
        <v>992</v>
      </c>
      <c r="D274" s="201" t="s">
        <v>306</v>
      </c>
      <c r="E274" s="211" t="s">
        <v>310</v>
      </c>
      <c r="F274" s="201"/>
      <c r="G274" s="202">
        <f>SUM(G276)+G275</f>
        <v>320.2</v>
      </c>
      <c r="H274" s="202">
        <f>SUM(H276)+H275</f>
        <v>0</v>
      </c>
      <c r="I274" s="202">
        <f>SUM(G274:H274)</f>
        <v>320.2</v>
      </c>
      <c r="J274" s="205"/>
      <c r="K274" s="202"/>
      <c r="L274" s="205"/>
      <c r="M274" s="202">
        <f>SUM(G274)</f>
        <v>320.2</v>
      </c>
      <c r="N274" s="202">
        <f t="shared" si="67"/>
        <v>0</v>
      </c>
      <c r="O274" s="226">
        <f>SUM(I274)</f>
        <v>320.2</v>
      </c>
      <c r="P274" s="226">
        <v>320.10000000000002</v>
      </c>
      <c r="Q274" s="199">
        <f t="shared" si="64"/>
        <v>99.96876951905061</v>
      </c>
      <c r="R274" s="200"/>
      <c r="S274" s="200"/>
    </row>
    <row r="275" spans="1:19" s="197" customFormat="1" ht="75" x14ac:dyDescent="0.25">
      <c r="A275" s="285"/>
      <c r="B275" s="198" t="s">
        <v>40</v>
      </c>
      <c r="C275" s="198">
        <v>992</v>
      </c>
      <c r="D275" s="201" t="s">
        <v>306</v>
      </c>
      <c r="E275" s="211" t="s">
        <v>310</v>
      </c>
      <c r="F275" s="201">
        <v>200</v>
      </c>
      <c r="G275" s="202">
        <v>320.2</v>
      </c>
      <c r="H275" s="202"/>
      <c r="I275" s="202">
        <f>SUM(G275)+H275</f>
        <v>320.2</v>
      </c>
      <c r="J275" s="205"/>
      <c r="K275" s="202"/>
      <c r="L275" s="205"/>
      <c r="M275" s="202">
        <f>SUM(G275)</f>
        <v>320.2</v>
      </c>
      <c r="N275" s="202">
        <f>SUM(H275)</f>
        <v>0</v>
      </c>
      <c r="O275" s="226">
        <f t="shared" si="67"/>
        <v>320.2</v>
      </c>
      <c r="P275" s="226">
        <v>320.10000000000002</v>
      </c>
      <c r="Q275" s="199">
        <f t="shared" si="64"/>
        <v>99.96876951905061</v>
      </c>
      <c r="R275" s="200"/>
      <c r="S275" s="200"/>
    </row>
    <row r="276" spans="1:19" s="197" customFormat="1" ht="0.75" customHeight="1" x14ac:dyDescent="0.25">
      <c r="A276" s="285"/>
      <c r="B276" s="198" t="s">
        <v>225</v>
      </c>
      <c r="C276" s="198">
        <v>992</v>
      </c>
      <c r="D276" s="201" t="s">
        <v>306</v>
      </c>
      <c r="E276" s="211" t="s">
        <v>310</v>
      </c>
      <c r="F276" s="201">
        <v>400</v>
      </c>
      <c r="G276" s="202">
        <v>0</v>
      </c>
      <c r="H276" s="202"/>
      <c r="I276" s="202">
        <f>SUM(G276)+H276</f>
        <v>0</v>
      </c>
      <c r="J276" s="205"/>
      <c r="K276" s="202"/>
      <c r="L276" s="205"/>
      <c r="M276" s="202">
        <f>SUM(G276)</f>
        <v>0</v>
      </c>
      <c r="N276" s="202">
        <f t="shared" si="67"/>
        <v>0</v>
      </c>
      <c r="O276" s="226">
        <f t="shared" si="67"/>
        <v>0</v>
      </c>
      <c r="P276" s="226"/>
      <c r="Q276" s="199" t="e">
        <f t="shared" si="64"/>
        <v>#DIV/0!</v>
      </c>
      <c r="R276" s="200"/>
      <c r="S276" s="200"/>
    </row>
    <row r="277" spans="1:19" s="197" customFormat="1" ht="18.75" hidden="1" customHeight="1" x14ac:dyDescent="0.25">
      <c r="A277" s="285"/>
      <c r="B277" s="203"/>
      <c r="C277" s="203"/>
      <c r="D277" s="204"/>
      <c r="E277" s="204"/>
      <c r="F277" s="204"/>
      <c r="G277" s="202"/>
      <c r="H277" s="202"/>
      <c r="I277" s="202"/>
      <c r="J277" s="205"/>
      <c r="K277" s="202"/>
      <c r="L277" s="205"/>
      <c r="M277" s="205"/>
      <c r="N277" s="205"/>
      <c r="O277" s="227"/>
      <c r="P277" s="227"/>
      <c r="Q277" s="199" t="e">
        <f t="shared" si="64"/>
        <v>#DIV/0!</v>
      </c>
      <c r="R277" s="200"/>
      <c r="S277" s="200"/>
    </row>
    <row r="278" spans="1:19" s="197" customFormat="1" ht="18.75" hidden="1" customHeight="1" x14ac:dyDescent="0.25">
      <c r="A278" s="285"/>
      <c r="B278" s="203"/>
      <c r="C278" s="203">
        <v>992</v>
      </c>
      <c r="D278" s="201" t="s">
        <v>306</v>
      </c>
      <c r="E278" s="204"/>
      <c r="F278" s="204"/>
      <c r="G278" s="202"/>
      <c r="H278" s="202"/>
      <c r="I278" s="202">
        <f>SUM(H278)</f>
        <v>0</v>
      </c>
      <c r="J278" s="205"/>
      <c r="K278" s="202"/>
      <c r="L278" s="205"/>
      <c r="M278" s="205"/>
      <c r="N278" s="205"/>
      <c r="O278" s="227">
        <f>SUM(I278)</f>
        <v>0</v>
      </c>
      <c r="P278" s="227"/>
      <c r="Q278" s="199" t="e">
        <f t="shared" si="64"/>
        <v>#DIV/0!</v>
      </c>
      <c r="R278" s="200"/>
      <c r="S278" s="200"/>
    </row>
    <row r="279" spans="1:19" s="197" customFormat="1" ht="18.75" hidden="1" customHeight="1" x14ac:dyDescent="0.25">
      <c r="A279" s="285"/>
      <c r="B279" s="203"/>
      <c r="C279" s="203"/>
      <c r="D279" s="204"/>
      <c r="E279" s="204"/>
      <c r="F279" s="204"/>
      <c r="G279" s="202"/>
      <c r="H279" s="202"/>
      <c r="I279" s="202">
        <f>SUM(H279)</f>
        <v>0</v>
      </c>
      <c r="J279" s="205"/>
      <c r="K279" s="202"/>
      <c r="L279" s="205"/>
      <c r="M279" s="205"/>
      <c r="N279" s="205"/>
      <c r="O279" s="227">
        <f>SUM(I279)</f>
        <v>0</v>
      </c>
      <c r="P279" s="227"/>
      <c r="Q279" s="199" t="e">
        <f t="shared" si="64"/>
        <v>#DIV/0!</v>
      </c>
      <c r="R279" s="200"/>
      <c r="S279" s="200"/>
    </row>
    <row r="280" spans="1:19" s="197" customFormat="1" ht="18.75" hidden="1" customHeight="1" x14ac:dyDescent="0.25">
      <c r="A280" s="285"/>
      <c r="B280" s="203"/>
      <c r="C280" s="203"/>
      <c r="D280" s="204"/>
      <c r="E280" s="204"/>
      <c r="F280" s="204"/>
      <c r="G280" s="202"/>
      <c r="H280" s="202"/>
      <c r="I280" s="202">
        <f>SUM(H280)</f>
        <v>0</v>
      </c>
      <c r="J280" s="205"/>
      <c r="K280" s="202"/>
      <c r="L280" s="205"/>
      <c r="M280" s="205"/>
      <c r="N280" s="205">
        <f>SUM(H280)</f>
        <v>0</v>
      </c>
      <c r="O280" s="227">
        <f>SUM(I280)</f>
        <v>0</v>
      </c>
      <c r="P280" s="227"/>
      <c r="Q280" s="199" t="e">
        <f t="shared" si="64"/>
        <v>#DIV/0!</v>
      </c>
      <c r="R280" s="200"/>
      <c r="S280" s="200"/>
    </row>
    <row r="281" spans="1:19" s="197" customFormat="1" ht="75" hidden="1" customHeight="1" x14ac:dyDescent="0.25">
      <c r="A281" s="285"/>
      <c r="B281" s="198" t="s">
        <v>225</v>
      </c>
      <c r="C281" s="203"/>
      <c r="D281" s="204"/>
      <c r="E281" s="204"/>
      <c r="F281" s="204">
        <v>400</v>
      </c>
      <c r="G281" s="202"/>
      <c r="H281" s="202"/>
      <c r="I281" s="202">
        <f>SUM(H281)</f>
        <v>0</v>
      </c>
      <c r="J281" s="205"/>
      <c r="K281" s="202"/>
      <c r="L281" s="205"/>
      <c r="M281" s="205"/>
      <c r="N281" s="205">
        <f>SUM(H281)</f>
        <v>0</v>
      </c>
      <c r="O281" s="227">
        <f>SUM(I281)</f>
        <v>0</v>
      </c>
      <c r="P281" s="227"/>
      <c r="Q281" s="199" t="e">
        <f t="shared" si="64"/>
        <v>#DIV/0!</v>
      </c>
      <c r="R281" s="200"/>
      <c r="S281" s="200"/>
    </row>
    <row r="282" spans="1:19" s="197" customFormat="1" ht="57" customHeight="1" x14ac:dyDescent="0.25">
      <c r="A282" s="285"/>
      <c r="B282" s="198" t="s">
        <v>245</v>
      </c>
      <c r="C282" s="198" t="s">
        <v>51</v>
      </c>
      <c r="D282" s="201" t="s">
        <v>306</v>
      </c>
      <c r="E282" s="201" t="s">
        <v>246</v>
      </c>
      <c r="F282" s="201" t="s">
        <v>11</v>
      </c>
      <c r="G282" s="202">
        <f>G287</f>
        <v>7298.9</v>
      </c>
      <c r="H282" s="202">
        <f>H287+H283</f>
        <v>227.8</v>
      </c>
      <c r="I282" s="202">
        <f>I287+I283</f>
        <v>7526.7</v>
      </c>
      <c r="J282" s="202">
        <f>J287</f>
        <v>0</v>
      </c>
      <c r="K282" s="202">
        <f>K287</f>
        <v>0</v>
      </c>
      <c r="L282" s="202">
        <f>L287</f>
        <v>0</v>
      </c>
      <c r="M282" s="202">
        <f>M287</f>
        <v>7298.9</v>
      </c>
      <c r="N282" s="202">
        <f>N287+N283</f>
        <v>227.8</v>
      </c>
      <c r="O282" s="226">
        <f>O287+O283</f>
        <v>7526.7</v>
      </c>
      <c r="P282" s="226">
        <f>P287+P283</f>
        <v>7282.5</v>
      </c>
      <c r="Q282" s="199">
        <f t="shared" si="64"/>
        <v>96.755550241141535</v>
      </c>
      <c r="R282" s="200"/>
      <c r="S282" s="200"/>
    </row>
    <row r="283" spans="1:19" s="197" customFormat="1" ht="56.25" hidden="1" customHeight="1" x14ac:dyDescent="0.25">
      <c r="A283" s="285"/>
      <c r="B283" s="198" t="s">
        <v>595</v>
      </c>
      <c r="C283" s="198">
        <v>992</v>
      </c>
      <c r="D283" s="201" t="s">
        <v>306</v>
      </c>
      <c r="E283" s="211" t="s">
        <v>439</v>
      </c>
      <c r="F283" s="201"/>
      <c r="G283" s="202"/>
      <c r="H283" s="202">
        <f>SUM(H284)</f>
        <v>0</v>
      </c>
      <c r="I283" s="202">
        <f>SUM(H283)</f>
        <v>0</v>
      </c>
      <c r="J283" s="202"/>
      <c r="K283" s="202"/>
      <c r="L283" s="202"/>
      <c r="M283" s="202"/>
      <c r="N283" s="202">
        <f t="shared" ref="N283:O286" si="68">SUM(H283)</f>
        <v>0</v>
      </c>
      <c r="O283" s="226">
        <f t="shared" si="68"/>
        <v>0</v>
      </c>
      <c r="P283" s="226"/>
      <c r="Q283" s="199" t="e">
        <f t="shared" si="64"/>
        <v>#DIV/0!</v>
      </c>
      <c r="R283" s="200"/>
      <c r="S283" s="200"/>
    </row>
    <row r="284" spans="1:19" s="197" customFormat="1" ht="37.5" hidden="1" customHeight="1" x14ac:dyDescent="0.25">
      <c r="A284" s="285"/>
      <c r="B284" s="198" t="s">
        <v>596</v>
      </c>
      <c r="C284" s="198">
        <v>992</v>
      </c>
      <c r="D284" s="201" t="s">
        <v>306</v>
      </c>
      <c r="E284" s="211" t="s">
        <v>593</v>
      </c>
      <c r="F284" s="201"/>
      <c r="G284" s="202"/>
      <c r="H284" s="202">
        <f>SUM(H285)</f>
        <v>0</v>
      </c>
      <c r="I284" s="202">
        <f>SUM(H284)</f>
        <v>0</v>
      </c>
      <c r="J284" s="202"/>
      <c r="K284" s="202"/>
      <c r="L284" s="202"/>
      <c r="M284" s="202"/>
      <c r="N284" s="202">
        <f t="shared" si="68"/>
        <v>0</v>
      </c>
      <c r="O284" s="226">
        <f t="shared" si="68"/>
        <v>0</v>
      </c>
      <c r="P284" s="226"/>
      <c r="Q284" s="199" t="e">
        <f t="shared" si="64"/>
        <v>#DIV/0!</v>
      </c>
      <c r="R284" s="200"/>
      <c r="S284" s="200"/>
    </row>
    <row r="285" spans="1:19" s="197" customFormat="1" ht="112.5" hidden="1" customHeight="1" x14ac:dyDescent="0.25">
      <c r="A285" s="285"/>
      <c r="B285" s="198" t="s">
        <v>597</v>
      </c>
      <c r="C285" s="198">
        <v>992</v>
      </c>
      <c r="D285" s="201" t="s">
        <v>306</v>
      </c>
      <c r="E285" s="211" t="s">
        <v>594</v>
      </c>
      <c r="F285" s="201"/>
      <c r="G285" s="202"/>
      <c r="H285" s="202">
        <f>SUM(H286)</f>
        <v>0</v>
      </c>
      <c r="I285" s="202">
        <f>SUM(H285)</f>
        <v>0</v>
      </c>
      <c r="J285" s="202"/>
      <c r="K285" s="202"/>
      <c r="L285" s="202"/>
      <c r="M285" s="202"/>
      <c r="N285" s="202">
        <f t="shared" si="68"/>
        <v>0</v>
      </c>
      <c r="O285" s="226">
        <f t="shared" si="68"/>
        <v>0</v>
      </c>
      <c r="P285" s="226"/>
      <c r="Q285" s="199" t="e">
        <f t="shared" si="64"/>
        <v>#DIV/0!</v>
      </c>
      <c r="R285" s="200"/>
      <c r="S285" s="200"/>
    </row>
    <row r="286" spans="1:19" s="197" customFormat="1" ht="75" hidden="1" customHeight="1" x14ac:dyDescent="0.25">
      <c r="A286" s="285"/>
      <c r="B286" s="198" t="s">
        <v>225</v>
      </c>
      <c r="C286" s="198">
        <v>992</v>
      </c>
      <c r="D286" s="201" t="s">
        <v>306</v>
      </c>
      <c r="E286" s="211" t="s">
        <v>594</v>
      </c>
      <c r="F286" s="201">
        <v>400</v>
      </c>
      <c r="G286" s="202"/>
      <c r="H286" s="202"/>
      <c r="I286" s="202">
        <f>SUM(H286)</f>
        <v>0</v>
      </c>
      <c r="J286" s="202"/>
      <c r="K286" s="202"/>
      <c r="L286" s="202"/>
      <c r="M286" s="202"/>
      <c r="N286" s="202">
        <f t="shared" si="68"/>
        <v>0</v>
      </c>
      <c r="O286" s="226">
        <f t="shared" si="68"/>
        <v>0</v>
      </c>
      <c r="P286" s="226"/>
      <c r="Q286" s="199" t="e">
        <f t="shared" si="64"/>
        <v>#DIV/0!</v>
      </c>
      <c r="R286" s="200"/>
      <c r="S286" s="200"/>
    </row>
    <row r="287" spans="1:19" s="197" customFormat="1" ht="56.25" x14ac:dyDescent="0.25">
      <c r="A287" s="285"/>
      <c r="B287" s="198" t="s">
        <v>311</v>
      </c>
      <c r="C287" s="198" t="s">
        <v>51</v>
      </c>
      <c r="D287" s="201" t="s">
        <v>306</v>
      </c>
      <c r="E287" s="201" t="s">
        <v>312</v>
      </c>
      <c r="F287" s="201" t="s">
        <v>11</v>
      </c>
      <c r="G287" s="202">
        <f>G288</f>
        <v>7298.9</v>
      </c>
      <c r="H287" s="202">
        <f>H288</f>
        <v>227.8</v>
      </c>
      <c r="I287" s="202">
        <f>I288</f>
        <v>7526.7</v>
      </c>
      <c r="J287" s="202">
        <f t="shared" ref="J287:P287" si="69">J288</f>
        <v>0</v>
      </c>
      <c r="K287" s="202">
        <f>K288+K290</f>
        <v>0</v>
      </c>
      <c r="L287" s="202">
        <f t="shared" si="69"/>
        <v>0</v>
      </c>
      <c r="M287" s="202">
        <f t="shared" si="69"/>
        <v>7298.9</v>
      </c>
      <c r="N287" s="202">
        <f t="shared" si="69"/>
        <v>227.8</v>
      </c>
      <c r="O287" s="226">
        <f t="shared" si="69"/>
        <v>7526.7</v>
      </c>
      <c r="P287" s="226">
        <f t="shared" si="69"/>
        <v>7282.5</v>
      </c>
      <c r="Q287" s="199">
        <f t="shared" si="64"/>
        <v>96.755550241141535</v>
      </c>
      <c r="R287" s="200"/>
      <c r="S287" s="200"/>
    </row>
    <row r="288" spans="1:19" s="197" customFormat="1" ht="78.75" customHeight="1" x14ac:dyDescent="0.25">
      <c r="A288" s="285"/>
      <c r="B288" s="198" t="s">
        <v>313</v>
      </c>
      <c r="C288" s="198" t="s">
        <v>51</v>
      </c>
      <c r="D288" s="201" t="s">
        <v>306</v>
      </c>
      <c r="E288" s="201" t="s">
        <v>314</v>
      </c>
      <c r="F288" s="201" t="s">
        <v>11</v>
      </c>
      <c r="G288" s="202">
        <f>G289+G291</f>
        <v>7298.9</v>
      </c>
      <c r="H288" s="202">
        <f>H289+H291</f>
        <v>227.8</v>
      </c>
      <c r="I288" s="202">
        <f>I289+I291</f>
        <v>7526.7</v>
      </c>
      <c r="J288" s="202">
        <f>J289+J291</f>
        <v>0</v>
      </c>
      <c r="K288" s="202">
        <f>K289</f>
        <v>0</v>
      </c>
      <c r="L288" s="202">
        <f>L289+L291</f>
        <v>0</v>
      </c>
      <c r="M288" s="202">
        <f>M289+M291</f>
        <v>7298.9</v>
      </c>
      <c r="N288" s="202">
        <f>N289+N291</f>
        <v>227.8</v>
      </c>
      <c r="O288" s="226">
        <f>O289+O291</f>
        <v>7526.7</v>
      </c>
      <c r="P288" s="226">
        <f>P289+P291</f>
        <v>7282.5</v>
      </c>
      <c r="Q288" s="199">
        <f t="shared" si="64"/>
        <v>96.755550241141535</v>
      </c>
      <c r="R288" s="200"/>
      <c r="S288" s="200"/>
    </row>
    <row r="289" spans="1:19" s="197" customFormat="1" ht="76.5" customHeight="1" x14ac:dyDescent="0.25">
      <c r="A289" s="285"/>
      <c r="B289" s="198" t="s">
        <v>315</v>
      </c>
      <c r="C289" s="198" t="s">
        <v>51</v>
      </c>
      <c r="D289" s="201" t="s">
        <v>306</v>
      </c>
      <c r="E289" s="201" t="s">
        <v>316</v>
      </c>
      <c r="F289" s="201" t="s">
        <v>11</v>
      </c>
      <c r="G289" s="202">
        <f>G290</f>
        <v>3111.7</v>
      </c>
      <c r="H289" s="202">
        <f>H290</f>
        <v>27.8</v>
      </c>
      <c r="I289" s="202">
        <f>I290</f>
        <v>3139.5</v>
      </c>
      <c r="J289" s="202">
        <f>J290</f>
        <v>0</v>
      </c>
      <c r="K289" s="202"/>
      <c r="L289" s="202">
        <f>L290</f>
        <v>0</v>
      </c>
      <c r="M289" s="202">
        <f>M290</f>
        <v>3111.7</v>
      </c>
      <c r="N289" s="202">
        <f>N290</f>
        <v>27.8</v>
      </c>
      <c r="O289" s="226">
        <f>O290</f>
        <v>3139.5</v>
      </c>
      <c r="P289" s="226">
        <v>3137.9</v>
      </c>
      <c r="Q289" s="199">
        <f>SUM(P289/O289*100)</f>
        <v>99.94903647077561</v>
      </c>
      <c r="R289" s="200"/>
      <c r="S289" s="200"/>
    </row>
    <row r="290" spans="1:19" s="197" customFormat="1" ht="75" x14ac:dyDescent="0.25">
      <c r="A290" s="285"/>
      <c r="B290" s="198" t="s">
        <v>40</v>
      </c>
      <c r="C290" s="198" t="s">
        <v>51</v>
      </c>
      <c r="D290" s="201" t="s">
        <v>306</v>
      </c>
      <c r="E290" s="201" t="s">
        <v>316</v>
      </c>
      <c r="F290" s="201" t="s">
        <v>41</v>
      </c>
      <c r="G290" s="202">
        <v>3111.7</v>
      </c>
      <c r="H290" s="202">
        <f>21+6.8</f>
        <v>27.8</v>
      </c>
      <c r="I290" s="202">
        <f>G290+H290</f>
        <v>3139.5</v>
      </c>
      <c r="J290" s="206"/>
      <c r="K290" s="202"/>
      <c r="L290" s="206"/>
      <c r="M290" s="202">
        <f>G290+J290</f>
        <v>3111.7</v>
      </c>
      <c r="N290" s="202">
        <f>H290+K290</f>
        <v>27.8</v>
      </c>
      <c r="O290" s="226">
        <f>I290+L290</f>
        <v>3139.5</v>
      </c>
      <c r="P290" s="226">
        <v>3137.9</v>
      </c>
      <c r="Q290" s="199">
        <f t="shared" ref="Q290:Q298" si="70">SUM(P290/O290*100)</f>
        <v>99.94903647077561</v>
      </c>
      <c r="R290" s="200"/>
      <c r="S290" s="200"/>
    </row>
    <row r="291" spans="1:19" s="197" customFormat="1" ht="78" customHeight="1" x14ac:dyDescent="0.25">
      <c r="A291" s="285"/>
      <c r="B291" s="198" t="s">
        <v>317</v>
      </c>
      <c r="C291" s="198" t="s">
        <v>51</v>
      </c>
      <c r="D291" s="201" t="s">
        <v>306</v>
      </c>
      <c r="E291" s="201" t="s">
        <v>318</v>
      </c>
      <c r="F291" s="201" t="s">
        <v>11</v>
      </c>
      <c r="G291" s="202">
        <f>G292</f>
        <v>4187.2</v>
      </c>
      <c r="H291" s="202">
        <f>H292</f>
        <v>200</v>
      </c>
      <c r="I291" s="202">
        <f>I292</f>
        <v>4387.2</v>
      </c>
      <c r="J291" s="202">
        <f>J292</f>
        <v>0</v>
      </c>
      <c r="K291" s="202"/>
      <c r="L291" s="202">
        <f>L292</f>
        <v>0</v>
      </c>
      <c r="M291" s="202">
        <f>M292</f>
        <v>4187.2</v>
      </c>
      <c r="N291" s="202">
        <f>N292</f>
        <v>200</v>
      </c>
      <c r="O291" s="226">
        <f>O292</f>
        <v>4387.2</v>
      </c>
      <c r="P291" s="226">
        <v>4144.6000000000004</v>
      </c>
      <c r="Q291" s="199">
        <f t="shared" si="70"/>
        <v>94.470277169948957</v>
      </c>
      <c r="R291" s="200"/>
      <c r="S291" s="200"/>
    </row>
    <row r="292" spans="1:19" s="197" customFormat="1" ht="75" x14ac:dyDescent="0.25">
      <c r="A292" s="285"/>
      <c r="B292" s="198" t="s">
        <v>40</v>
      </c>
      <c r="C292" s="198" t="s">
        <v>51</v>
      </c>
      <c r="D292" s="201" t="s">
        <v>306</v>
      </c>
      <c r="E292" s="201" t="s">
        <v>318</v>
      </c>
      <c r="F292" s="201" t="s">
        <v>41</v>
      </c>
      <c r="G292" s="202">
        <v>4187.2</v>
      </c>
      <c r="H292" s="205">
        <v>200</v>
      </c>
      <c r="I292" s="202">
        <f>SUM(G292)+H292</f>
        <v>4387.2</v>
      </c>
      <c r="J292" s="206"/>
      <c r="K292" s="205"/>
      <c r="L292" s="206"/>
      <c r="M292" s="202">
        <f>SUM(G292)</f>
        <v>4187.2</v>
      </c>
      <c r="N292" s="202">
        <f>SUM(H292)</f>
        <v>200</v>
      </c>
      <c r="O292" s="226">
        <f>SUM(M292)+N292</f>
        <v>4387.2</v>
      </c>
      <c r="P292" s="226">
        <v>4144.6000000000004</v>
      </c>
      <c r="Q292" s="199">
        <f t="shared" si="70"/>
        <v>94.470277169948957</v>
      </c>
      <c r="R292" s="200"/>
      <c r="S292" s="200"/>
    </row>
    <row r="293" spans="1:19" s="197" customFormat="1" ht="26.25" customHeight="1" x14ac:dyDescent="0.25">
      <c r="A293" s="285"/>
      <c r="B293" s="198" t="s">
        <v>320</v>
      </c>
      <c r="C293" s="198" t="s">
        <v>51</v>
      </c>
      <c r="D293" s="201" t="s">
        <v>321</v>
      </c>
      <c r="E293" s="201" t="s">
        <v>11</v>
      </c>
      <c r="F293" s="201" t="s">
        <v>11</v>
      </c>
      <c r="G293" s="202">
        <f t="shared" ref="G293:P293" si="71">G294+G316</f>
        <v>64527.3</v>
      </c>
      <c r="H293" s="202">
        <f t="shared" si="71"/>
        <v>0</v>
      </c>
      <c r="I293" s="202">
        <f t="shared" si="71"/>
        <v>64527.3</v>
      </c>
      <c r="J293" s="202">
        <f t="shared" si="71"/>
        <v>1754709.2999999998</v>
      </c>
      <c r="K293" s="202">
        <f t="shared" si="71"/>
        <v>0</v>
      </c>
      <c r="L293" s="202">
        <f t="shared" si="71"/>
        <v>1754709.2999999998</v>
      </c>
      <c r="M293" s="202">
        <f t="shared" si="71"/>
        <v>1819236.6</v>
      </c>
      <c r="N293" s="202">
        <f t="shared" si="71"/>
        <v>0</v>
      </c>
      <c r="O293" s="226">
        <f t="shared" si="71"/>
        <v>1819236.6</v>
      </c>
      <c r="P293" s="226">
        <f t="shared" si="71"/>
        <v>175551.5</v>
      </c>
      <c r="Q293" s="199">
        <f t="shared" si="70"/>
        <v>9.6497343995827691</v>
      </c>
      <c r="R293" s="200"/>
      <c r="S293" s="200"/>
    </row>
    <row r="294" spans="1:19" s="197" customFormat="1" ht="56.25" customHeight="1" x14ac:dyDescent="0.25">
      <c r="A294" s="285"/>
      <c r="B294" s="198" t="s">
        <v>245</v>
      </c>
      <c r="C294" s="198" t="s">
        <v>51</v>
      </c>
      <c r="D294" s="201" t="s">
        <v>321</v>
      </c>
      <c r="E294" s="201" t="s">
        <v>246</v>
      </c>
      <c r="F294" s="201" t="s">
        <v>11</v>
      </c>
      <c r="G294" s="202">
        <f>G295+G311+G308</f>
        <v>20858.5</v>
      </c>
      <c r="H294" s="202">
        <f>H295+H306</f>
        <v>0</v>
      </c>
      <c r="I294" s="202">
        <f>I295+I311+I308</f>
        <v>20858.5</v>
      </c>
      <c r="J294" s="202">
        <f>J295+J306</f>
        <v>1648707.7999999998</v>
      </c>
      <c r="K294" s="202">
        <f>K295+K306</f>
        <v>0</v>
      </c>
      <c r="L294" s="202">
        <f>L295+L306</f>
        <v>1648707.7999999998</v>
      </c>
      <c r="M294" s="202">
        <f>M295+M311+M308</f>
        <v>1669566.3</v>
      </c>
      <c r="N294" s="202">
        <f>N295+N306</f>
        <v>0</v>
      </c>
      <c r="O294" s="226">
        <f>O295+O311+O308</f>
        <v>1669566.3</v>
      </c>
      <c r="P294" s="226">
        <f>P295+P311+P308</f>
        <v>83687.600000000006</v>
      </c>
      <c r="Q294" s="199">
        <f t="shared" si="70"/>
        <v>5.0125352913508143</v>
      </c>
      <c r="R294" s="200"/>
      <c r="S294" s="200"/>
    </row>
    <row r="295" spans="1:19" s="197" customFormat="1" ht="56.25" x14ac:dyDescent="0.25">
      <c r="A295" s="285"/>
      <c r="B295" s="198" t="s">
        <v>322</v>
      </c>
      <c r="C295" s="198" t="s">
        <v>51</v>
      </c>
      <c r="D295" s="201" t="s">
        <v>321</v>
      </c>
      <c r="E295" s="201" t="s">
        <v>323</v>
      </c>
      <c r="F295" s="201" t="s">
        <v>11</v>
      </c>
      <c r="G295" s="202">
        <f t="shared" ref="G295:P295" si="72">G296</f>
        <v>9123.2000000000007</v>
      </c>
      <c r="H295" s="202">
        <f>SUM(H296)</f>
        <v>0</v>
      </c>
      <c r="I295" s="202">
        <f t="shared" si="72"/>
        <v>9123.2000000000007</v>
      </c>
      <c r="J295" s="202">
        <f t="shared" si="72"/>
        <v>1576707.7999999998</v>
      </c>
      <c r="K295" s="202">
        <f>SUM(K296)</f>
        <v>0</v>
      </c>
      <c r="L295" s="202">
        <f t="shared" si="72"/>
        <v>1576707.7999999998</v>
      </c>
      <c r="M295" s="202">
        <f t="shared" si="72"/>
        <v>1585831</v>
      </c>
      <c r="N295" s="202">
        <f t="shared" si="72"/>
        <v>0</v>
      </c>
      <c r="O295" s="226">
        <f t="shared" si="72"/>
        <v>1585831</v>
      </c>
      <c r="P295" s="226">
        <f t="shared" si="72"/>
        <v>4981.6000000000004</v>
      </c>
      <c r="Q295" s="199">
        <f t="shared" si="70"/>
        <v>0.3141318337199866</v>
      </c>
      <c r="R295" s="200"/>
      <c r="S295" s="200"/>
    </row>
    <row r="296" spans="1:19" s="197" customFormat="1" ht="84.75" customHeight="1" x14ac:dyDescent="0.25">
      <c r="A296" s="285"/>
      <c r="B296" s="198" t="s">
        <v>324</v>
      </c>
      <c r="C296" s="198" t="s">
        <v>51</v>
      </c>
      <c r="D296" s="201" t="s">
        <v>321</v>
      </c>
      <c r="E296" s="201" t="s">
        <v>325</v>
      </c>
      <c r="F296" s="201" t="s">
        <v>11</v>
      </c>
      <c r="G296" s="202">
        <f>G297+G300+G302+G304</f>
        <v>9123.2000000000007</v>
      </c>
      <c r="H296" s="202">
        <f>H297+H302+H304+H300</f>
        <v>0</v>
      </c>
      <c r="I296" s="202">
        <f>I297+I300+I302+I304</f>
        <v>9123.2000000000007</v>
      </c>
      <c r="J296" s="202">
        <f>J297+J300+J302+J304</f>
        <v>1576707.7999999998</v>
      </c>
      <c r="K296" s="202">
        <f>K297+K300+K304</f>
        <v>0</v>
      </c>
      <c r="L296" s="202">
        <f>L297+L300+L302+L304</f>
        <v>1576707.7999999998</v>
      </c>
      <c r="M296" s="202">
        <f>M297+M300+M302+M304</f>
        <v>1585831</v>
      </c>
      <c r="N296" s="202">
        <f>N297+N300+N302+N304</f>
        <v>0</v>
      </c>
      <c r="O296" s="226">
        <f>O297+O300+O302+O304</f>
        <v>1585831</v>
      </c>
      <c r="P296" s="226">
        <f>P297+P300+P302+P304</f>
        <v>4981.6000000000004</v>
      </c>
      <c r="Q296" s="199">
        <f t="shared" si="70"/>
        <v>0.3141318337199866</v>
      </c>
      <c r="R296" s="200"/>
      <c r="S296" s="200"/>
    </row>
    <row r="297" spans="1:19" s="197" customFormat="1" ht="37.5" x14ac:dyDescent="0.25">
      <c r="A297" s="285"/>
      <c r="B297" s="198" t="s">
        <v>326</v>
      </c>
      <c r="C297" s="198" t="s">
        <v>51</v>
      </c>
      <c r="D297" s="201" t="s">
        <v>321</v>
      </c>
      <c r="E297" s="201" t="s">
        <v>327</v>
      </c>
      <c r="F297" s="201" t="s">
        <v>11</v>
      </c>
      <c r="G297" s="202">
        <f>G298+G299</f>
        <v>183</v>
      </c>
      <c r="H297" s="202">
        <f>SUM(H298)+H299</f>
        <v>0</v>
      </c>
      <c r="I297" s="202">
        <f>I298+I299</f>
        <v>183</v>
      </c>
      <c r="J297" s="202">
        <f>J298</f>
        <v>1529.5</v>
      </c>
      <c r="K297" s="202">
        <f>SUM(K298)</f>
        <v>0</v>
      </c>
      <c r="L297" s="202">
        <f>L298</f>
        <v>1529.5</v>
      </c>
      <c r="M297" s="202">
        <f>M298+M299</f>
        <v>1712.5</v>
      </c>
      <c r="N297" s="202">
        <f>N298+N299</f>
        <v>0</v>
      </c>
      <c r="O297" s="226">
        <f>O298+O299</f>
        <v>1712.5</v>
      </c>
      <c r="P297" s="226">
        <f>P298+P299</f>
        <v>1681.6</v>
      </c>
      <c r="Q297" s="199">
        <f t="shared" si="70"/>
        <v>98.195620437956194</v>
      </c>
      <c r="R297" s="200"/>
      <c r="S297" s="200"/>
    </row>
    <row r="298" spans="1:19" s="197" customFormat="1" ht="75" x14ac:dyDescent="0.25">
      <c r="A298" s="285"/>
      <c r="B298" s="198" t="s">
        <v>40</v>
      </c>
      <c r="C298" s="198" t="s">
        <v>51</v>
      </c>
      <c r="D298" s="201" t="s">
        <v>321</v>
      </c>
      <c r="E298" s="201" t="s">
        <v>327</v>
      </c>
      <c r="F298" s="201" t="s">
        <v>41</v>
      </c>
      <c r="G298" s="202">
        <v>152.19999999999999</v>
      </c>
      <c r="H298" s="202"/>
      <c r="I298" s="202">
        <f>G298+H298</f>
        <v>152.19999999999999</v>
      </c>
      <c r="J298" s="206">
        <v>1529.5</v>
      </c>
      <c r="K298" s="202"/>
      <c r="L298" s="202">
        <f>SUM(J298)</f>
        <v>1529.5</v>
      </c>
      <c r="M298" s="202">
        <f>G298+J298</f>
        <v>1681.7</v>
      </c>
      <c r="N298" s="202">
        <f>SUM(H298+K298)</f>
        <v>0</v>
      </c>
      <c r="O298" s="226">
        <f>I298+L298</f>
        <v>1681.7</v>
      </c>
      <c r="P298" s="226">
        <v>1681.6</v>
      </c>
      <c r="Q298" s="199">
        <f t="shared" si="70"/>
        <v>99.994053636201457</v>
      </c>
      <c r="R298" s="200"/>
      <c r="S298" s="200"/>
    </row>
    <row r="299" spans="1:19" s="197" customFormat="1" ht="61.5" customHeight="1" x14ac:dyDescent="0.25">
      <c r="A299" s="285"/>
      <c r="B299" s="198" t="s">
        <v>225</v>
      </c>
      <c r="C299" s="198">
        <v>992</v>
      </c>
      <c r="D299" s="201" t="s">
        <v>321</v>
      </c>
      <c r="E299" s="201" t="s">
        <v>327</v>
      </c>
      <c r="F299" s="201">
        <v>400</v>
      </c>
      <c r="G299" s="202">
        <v>30.8</v>
      </c>
      <c r="H299" s="202"/>
      <c r="I299" s="202">
        <f>SUM(G299)+H299</f>
        <v>30.8</v>
      </c>
      <c r="J299" s="206"/>
      <c r="K299" s="202"/>
      <c r="L299" s="202"/>
      <c r="M299" s="202">
        <f>SUM(G299)</f>
        <v>30.8</v>
      </c>
      <c r="N299" s="202">
        <f>SUM(H299)</f>
        <v>0</v>
      </c>
      <c r="O299" s="226">
        <f>SUM(M299)+N299</f>
        <v>30.8</v>
      </c>
      <c r="P299" s="226">
        <v>0</v>
      </c>
      <c r="Q299" s="199">
        <v>0</v>
      </c>
      <c r="R299" s="200"/>
      <c r="S299" s="200"/>
    </row>
    <row r="300" spans="1:19" s="197" customFormat="1" ht="39" customHeight="1" x14ac:dyDescent="0.25">
      <c r="A300" s="285"/>
      <c r="B300" s="198" t="s">
        <v>328</v>
      </c>
      <c r="C300" s="198" t="s">
        <v>51</v>
      </c>
      <c r="D300" s="201" t="s">
        <v>321</v>
      </c>
      <c r="E300" s="201" t="s">
        <v>329</v>
      </c>
      <c r="F300" s="201" t="s">
        <v>11</v>
      </c>
      <c r="G300" s="202">
        <f t="shared" ref="G300:O300" si="73">G301</f>
        <v>7807.5</v>
      </c>
      <c r="H300" s="202">
        <f t="shared" si="73"/>
        <v>0</v>
      </c>
      <c r="I300" s="202">
        <f t="shared" si="73"/>
        <v>7807.5</v>
      </c>
      <c r="J300" s="202">
        <f t="shared" si="73"/>
        <v>1553657.4</v>
      </c>
      <c r="K300" s="202">
        <f t="shared" si="73"/>
        <v>0</v>
      </c>
      <c r="L300" s="202">
        <f t="shared" si="73"/>
        <v>1553657.4</v>
      </c>
      <c r="M300" s="202">
        <f t="shared" si="73"/>
        <v>1561464.9</v>
      </c>
      <c r="N300" s="202">
        <f t="shared" si="73"/>
        <v>0</v>
      </c>
      <c r="O300" s="226">
        <f t="shared" si="73"/>
        <v>1561464.9</v>
      </c>
      <c r="P300" s="226">
        <v>0</v>
      </c>
      <c r="Q300" s="199">
        <v>0</v>
      </c>
      <c r="R300" s="200"/>
      <c r="S300" s="200"/>
    </row>
    <row r="301" spans="1:19" s="197" customFormat="1" ht="59.25" customHeight="1" x14ac:dyDescent="0.25">
      <c r="A301" s="285"/>
      <c r="B301" s="198" t="s">
        <v>225</v>
      </c>
      <c r="C301" s="198" t="s">
        <v>51</v>
      </c>
      <c r="D301" s="201" t="s">
        <v>321</v>
      </c>
      <c r="E301" s="201" t="s">
        <v>329</v>
      </c>
      <c r="F301" s="201" t="s">
        <v>226</v>
      </c>
      <c r="G301" s="202">
        <v>7807.5</v>
      </c>
      <c r="H301" s="202"/>
      <c r="I301" s="202">
        <v>7807.5</v>
      </c>
      <c r="J301" s="206">
        <v>1553657.4</v>
      </c>
      <c r="K301" s="202"/>
      <c r="L301" s="206">
        <f>1553657.4+K301</f>
        <v>1553657.4</v>
      </c>
      <c r="M301" s="202">
        <f>SUM(G301+J301)</f>
        <v>1561464.9</v>
      </c>
      <c r="N301" s="202">
        <f>SUM(H301+K301)</f>
        <v>0</v>
      </c>
      <c r="O301" s="226">
        <f>SUM(I301+L301)</f>
        <v>1561464.9</v>
      </c>
      <c r="P301" s="226">
        <v>0</v>
      </c>
      <c r="Q301" s="199">
        <v>0</v>
      </c>
      <c r="R301" s="200"/>
      <c r="S301" s="200"/>
    </row>
    <row r="302" spans="1:19" s="197" customFormat="1" ht="24.75" customHeight="1" x14ac:dyDescent="0.25">
      <c r="A302" s="285"/>
      <c r="B302" s="198" t="s">
        <v>330</v>
      </c>
      <c r="C302" s="198" t="s">
        <v>51</v>
      </c>
      <c r="D302" s="201" t="s">
        <v>321</v>
      </c>
      <c r="E302" s="201" t="s">
        <v>331</v>
      </c>
      <c r="F302" s="201" t="s">
        <v>11</v>
      </c>
      <c r="G302" s="202">
        <f>G303</f>
        <v>386.1</v>
      </c>
      <c r="H302" s="202">
        <f>SUM(H303)</f>
        <v>0</v>
      </c>
      <c r="I302" s="202">
        <f>I303</f>
        <v>386.1</v>
      </c>
      <c r="J302" s="202">
        <f>J303</f>
        <v>7335.5</v>
      </c>
      <c r="K302" s="202">
        <v>0</v>
      </c>
      <c r="L302" s="202">
        <f>L303</f>
        <v>7335.5</v>
      </c>
      <c r="M302" s="202">
        <f>M303</f>
        <v>7721.6</v>
      </c>
      <c r="N302" s="202">
        <f>N303</f>
        <v>0</v>
      </c>
      <c r="O302" s="226">
        <f>O303</f>
        <v>7721.6</v>
      </c>
      <c r="P302" s="226">
        <v>0</v>
      </c>
      <c r="Q302" s="199">
        <v>0</v>
      </c>
      <c r="R302" s="200"/>
      <c r="S302" s="200"/>
    </row>
    <row r="303" spans="1:19" s="197" customFormat="1" ht="57" customHeight="1" x14ac:dyDescent="0.25">
      <c r="A303" s="285"/>
      <c r="B303" s="198" t="s">
        <v>225</v>
      </c>
      <c r="C303" s="198" t="s">
        <v>51</v>
      </c>
      <c r="D303" s="201" t="s">
        <v>321</v>
      </c>
      <c r="E303" s="201" t="s">
        <v>331</v>
      </c>
      <c r="F303" s="201" t="s">
        <v>226</v>
      </c>
      <c r="G303" s="202">
        <v>386.1</v>
      </c>
      <c r="H303" s="202"/>
      <c r="I303" s="202">
        <f>SUM(G303)</f>
        <v>386.1</v>
      </c>
      <c r="J303" s="206">
        <f>14200-6864.5</f>
        <v>7335.5</v>
      </c>
      <c r="K303" s="202"/>
      <c r="L303" s="206">
        <f>14200-6864.5</f>
        <v>7335.5</v>
      </c>
      <c r="M303" s="202">
        <f>SUM(J303)+G303</f>
        <v>7721.6</v>
      </c>
      <c r="N303" s="202">
        <f>SUM(H303)</f>
        <v>0</v>
      </c>
      <c r="O303" s="226">
        <f>SUM(L303)+N303+I303</f>
        <v>7721.6</v>
      </c>
      <c r="P303" s="226">
        <v>0</v>
      </c>
      <c r="Q303" s="199">
        <v>0</v>
      </c>
      <c r="R303" s="200"/>
      <c r="S303" s="200"/>
    </row>
    <row r="304" spans="1:19" s="197" customFormat="1" ht="42" customHeight="1" x14ac:dyDescent="0.25">
      <c r="A304" s="285"/>
      <c r="B304" s="198" t="s">
        <v>332</v>
      </c>
      <c r="C304" s="198" t="s">
        <v>51</v>
      </c>
      <c r="D304" s="201" t="s">
        <v>321</v>
      </c>
      <c r="E304" s="201" t="s">
        <v>333</v>
      </c>
      <c r="F304" s="201" t="s">
        <v>11</v>
      </c>
      <c r="G304" s="202">
        <f>G305</f>
        <v>746.6</v>
      </c>
      <c r="H304" s="202"/>
      <c r="I304" s="202">
        <f>I305</f>
        <v>746.6</v>
      </c>
      <c r="J304" s="202">
        <f>J305</f>
        <v>14185.4</v>
      </c>
      <c r="K304" s="202"/>
      <c r="L304" s="202">
        <f>L305</f>
        <v>14185.4</v>
      </c>
      <c r="M304" s="202">
        <f>M305</f>
        <v>14932</v>
      </c>
      <c r="N304" s="202">
        <f>N305</f>
        <v>0</v>
      </c>
      <c r="O304" s="226">
        <f>O305</f>
        <v>14932</v>
      </c>
      <c r="P304" s="226">
        <f>P305</f>
        <v>3300</v>
      </c>
      <c r="Q304" s="199">
        <f>P304/O304*100</f>
        <v>22.100187516742569</v>
      </c>
      <c r="R304" s="200"/>
      <c r="S304" s="200"/>
    </row>
    <row r="305" spans="1:19" s="197" customFormat="1" ht="60" customHeight="1" x14ac:dyDescent="0.25">
      <c r="A305" s="285"/>
      <c r="B305" s="198" t="s">
        <v>225</v>
      </c>
      <c r="C305" s="198" t="s">
        <v>51</v>
      </c>
      <c r="D305" s="201" t="s">
        <v>321</v>
      </c>
      <c r="E305" s="201" t="s">
        <v>333</v>
      </c>
      <c r="F305" s="201" t="s">
        <v>226</v>
      </c>
      <c r="G305" s="202">
        <v>746.6</v>
      </c>
      <c r="H305" s="202"/>
      <c r="I305" s="202">
        <f>SUM(G305)+H305</f>
        <v>746.6</v>
      </c>
      <c r="J305" s="206">
        <v>14185.4</v>
      </c>
      <c r="K305" s="202"/>
      <c r="L305" s="206">
        <f>SUM(J305)</f>
        <v>14185.4</v>
      </c>
      <c r="M305" s="202">
        <f>SUM(G305+J305)</f>
        <v>14932</v>
      </c>
      <c r="N305" s="202">
        <f>SUM(K305)+H305</f>
        <v>0</v>
      </c>
      <c r="O305" s="226">
        <f>SUM(I305+L305)</f>
        <v>14932</v>
      </c>
      <c r="P305" s="226">
        <v>3300</v>
      </c>
      <c r="Q305" s="199">
        <f t="shared" ref="Q305:Q312" si="74">P305/O305*100</f>
        <v>22.100187516742569</v>
      </c>
      <c r="R305" s="200"/>
      <c r="S305" s="200"/>
    </row>
    <row r="306" spans="1:19" s="197" customFormat="1" ht="60" customHeight="1" x14ac:dyDescent="0.25">
      <c r="A306" s="285"/>
      <c r="B306" s="210" t="s">
        <v>245</v>
      </c>
      <c r="C306" s="210" t="s">
        <v>51</v>
      </c>
      <c r="D306" s="211" t="s">
        <v>321</v>
      </c>
      <c r="E306" s="211" t="s">
        <v>246</v>
      </c>
      <c r="F306" s="211"/>
      <c r="G306" s="202">
        <f>G307</f>
        <v>11735.3</v>
      </c>
      <c r="H306" s="202">
        <f t="shared" ref="H306:P306" si="75">H307</f>
        <v>0</v>
      </c>
      <c r="I306" s="202">
        <f t="shared" si="75"/>
        <v>11735.3</v>
      </c>
      <c r="J306" s="202">
        <f t="shared" si="75"/>
        <v>72000</v>
      </c>
      <c r="K306" s="202">
        <f t="shared" si="75"/>
        <v>0</v>
      </c>
      <c r="L306" s="202">
        <f t="shared" si="75"/>
        <v>72000</v>
      </c>
      <c r="M306" s="202">
        <f t="shared" si="75"/>
        <v>83735.3</v>
      </c>
      <c r="N306" s="202">
        <f t="shared" si="75"/>
        <v>0</v>
      </c>
      <c r="O306" s="226">
        <f t="shared" si="75"/>
        <v>83735.3</v>
      </c>
      <c r="P306" s="226">
        <f t="shared" si="75"/>
        <v>78706</v>
      </c>
      <c r="Q306" s="199">
        <f t="shared" si="74"/>
        <v>93.993811451084539</v>
      </c>
      <c r="R306" s="200"/>
      <c r="S306" s="200"/>
    </row>
    <row r="307" spans="1:19" s="197" customFormat="1" ht="37.5" x14ac:dyDescent="0.25">
      <c r="A307" s="285"/>
      <c r="B307" s="210" t="s">
        <v>247</v>
      </c>
      <c r="C307" s="210" t="s">
        <v>51</v>
      </c>
      <c r="D307" s="211" t="s">
        <v>321</v>
      </c>
      <c r="E307" s="211" t="s">
        <v>248</v>
      </c>
      <c r="F307" s="211"/>
      <c r="G307" s="202">
        <f>G311+G308</f>
        <v>11735.3</v>
      </c>
      <c r="H307" s="202">
        <f>H311+H308</f>
        <v>0</v>
      </c>
      <c r="I307" s="202">
        <f>I311+I308</f>
        <v>11735.3</v>
      </c>
      <c r="J307" s="202">
        <f>SUM(J308)</f>
        <v>72000</v>
      </c>
      <c r="K307" s="202"/>
      <c r="L307" s="202">
        <v>72000</v>
      </c>
      <c r="M307" s="242">
        <f t="shared" ref="M307:O309" si="76">SUM(G307)+J307</f>
        <v>83735.3</v>
      </c>
      <c r="N307" s="202">
        <f t="shared" si="76"/>
        <v>0</v>
      </c>
      <c r="O307" s="229">
        <f t="shared" si="76"/>
        <v>83735.3</v>
      </c>
      <c r="P307" s="229">
        <f>SUM(P308+P311)</f>
        <v>78706</v>
      </c>
      <c r="Q307" s="199">
        <f t="shared" si="74"/>
        <v>93.993811451084539</v>
      </c>
      <c r="R307" s="200"/>
      <c r="S307" s="200"/>
    </row>
    <row r="308" spans="1:19" s="197" customFormat="1" ht="115.5" customHeight="1" x14ac:dyDescent="0.25">
      <c r="A308" s="285"/>
      <c r="B308" s="210" t="s">
        <v>569</v>
      </c>
      <c r="C308" s="210" t="s">
        <v>51</v>
      </c>
      <c r="D308" s="211" t="s">
        <v>321</v>
      </c>
      <c r="E308" s="211" t="s">
        <v>567</v>
      </c>
      <c r="F308" s="211"/>
      <c r="G308" s="202">
        <f>SUM(G309)</f>
        <v>567.29999999999995</v>
      </c>
      <c r="H308" s="202"/>
      <c r="I308" s="202">
        <f>SUM(H308)+G308</f>
        <v>567.29999999999995</v>
      </c>
      <c r="J308" s="202">
        <f>SUM(J309)</f>
        <v>72000</v>
      </c>
      <c r="K308" s="202"/>
      <c r="L308" s="202">
        <v>72000</v>
      </c>
      <c r="M308" s="242">
        <f t="shared" si="76"/>
        <v>72567.3</v>
      </c>
      <c r="N308" s="202">
        <f t="shared" si="76"/>
        <v>0</v>
      </c>
      <c r="O308" s="226">
        <f t="shared" si="76"/>
        <v>72567.3</v>
      </c>
      <c r="P308" s="226">
        <v>68127.600000000006</v>
      </c>
      <c r="Q308" s="199">
        <f t="shared" si="74"/>
        <v>93.881955095476883</v>
      </c>
      <c r="R308" s="200"/>
      <c r="S308" s="200"/>
    </row>
    <row r="309" spans="1:19" s="197" customFormat="1" ht="254.25" customHeight="1" x14ac:dyDescent="0.25">
      <c r="A309" s="285"/>
      <c r="B309" s="210" t="s">
        <v>609</v>
      </c>
      <c r="C309" s="210" t="s">
        <v>51</v>
      </c>
      <c r="D309" s="211" t="s">
        <v>321</v>
      </c>
      <c r="E309" s="211" t="s">
        <v>606</v>
      </c>
      <c r="F309" s="211"/>
      <c r="G309" s="202">
        <f>SUM(G310)</f>
        <v>567.29999999999995</v>
      </c>
      <c r="H309" s="202"/>
      <c r="I309" s="202">
        <f>SUM(H309)+G309</f>
        <v>567.29999999999995</v>
      </c>
      <c r="J309" s="202">
        <f>SUM(J310)</f>
        <v>72000</v>
      </c>
      <c r="K309" s="202"/>
      <c r="L309" s="202">
        <v>72000</v>
      </c>
      <c r="M309" s="242">
        <f t="shared" si="76"/>
        <v>72567.3</v>
      </c>
      <c r="N309" s="202">
        <f t="shared" si="76"/>
        <v>0</v>
      </c>
      <c r="O309" s="226">
        <f t="shared" si="76"/>
        <v>72567.3</v>
      </c>
      <c r="P309" s="226">
        <v>68127.600000000006</v>
      </c>
      <c r="Q309" s="199">
        <f t="shared" si="74"/>
        <v>93.881955095476883</v>
      </c>
      <c r="R309" s="200"/>
      <c r="S309" s="200"/>
    </row>
    <row r="310" spans="1:19" s="197" customFormat="1" ht="24" customHeight="1" x14ac:dyDescent="0.25">
      <c r="A310" s="285"/>
      <c r="B310" s="198" t="s">
        <v>338</v>
      </c>
      <c r="C310" s="210" t="s">
        <v>51</v>
      </c>
      <c r="D310" s="211" t="s">
        <v>321</v>
      </c>
      <c r="E310" s="211" t="s">
        <v>606</v>
      </c>
      <c r="F310" s="211" t="s">
        <v>71</v>
      </c>
      <c r="G310" s="202">
        <v>567.29999999999995</v>
      </c>
      <c r="H310" s="202"/>
      <c r="I310" s="202">
        <f>SUM(H310)+G310</f>
        <v>567.29999999999995</v>
      </c>
      <c r="J310" s="202">
        <v>72000</v>
      </c>
      <c r="K310" s="202"/>
      <c r="L310" s="202">
        <v>72000</v>
      </c>
      <c r="M310" s="202">
        <f>SUM(G310+J310)</f>
        <v>72567.3</v>
      </c>
      <c r="N310" s="202">
        <f>SUM(H310)+K310</f>
        <v>0</v>
      </c>
      <c r="O310" s="226">
        <f>SUM(I310)+L310</f>
        <v>72567.3</v>
      </c>
      <c r="P310" s="226">
        <v>68127.600000000006</v>
      </c>
      <c r="Q310" s="199">
        <f t="shared" si="74"/>
        <v>93.881955095476883</v>
      </c>
      <c r="R310" s="200"/>
      <c r="S310" s="200"/>
    </row>
    <row r="311" spans="1:19" s="197" customFormat="1" ht="112.5" x14ac:dyDescent="0.25">
      <c r="A311" s="285"/>
      <c r="B311" s="246" t="s">
        <v>334</v>
      </c>
      <c r="C311" s="198">
        <v>992</v>
      </c>
      <c r="D311" s="201" t="s">
        <v>321</v>
      </c>
      <c r="E311" s="211" t="s">
        <v>335</v>
      </c>
      <c r="F311" s="201"/>
      <c r="G311" s="202">
        <f t="shared" ref="G311:I312" si="77">SUM(G312)</f>
        <v>11168</v>
      </c>
      <c r="H311" s="202">
        <f t="shared" si="77"/>
        <v>0</v>
      </c>
      <c r="I311" s="202">
        <f t="shared" si="77"/>
        <v>11168</v>
      </c>
      <c r="J311" s="206"/>
      <c r="K311" s="202"/>
      <c r="L311" s="206"/>
      <c r="M311" s="202">
        <f>SUM(G311)</f>
        <v>11168</v>
      </c>
      <c r="N311" s="202">
        <f t="shared" ref="N311:O313" si="78">SUM(H311)</f>
        <v>0</v>
      </c>
      <c r="O311" s="226">
        <f t="shared" si="78"/>
        <v>11168</v>
      </c>
      <c r="P311" s="226">
        <v>10578.4</v>
      </c>
      <c r="Q311" s="199">
        <f t="shared" si="74"/>
        <v>94.720630372492835</v>
      </c>
      <c r="R311" s="200"/>
      <c r="S311" s="200"/>
    </row>
    <row r="312" spans="1:19" s="197" customFormat="1" ht="171.75" customHeight="1" x14ac:dyDescent="0.25">
      <c r="A312" s="285"/>
      <c r="B312" s="259" t="s">
        <v>336</v>
      </c>
      <c r="C312" s="198">
        <v>992</v>
      </c>
      <c r="D312" s="201" t="s">
        <v>321</v>
      </c>
      <c r="E312" s="211" t="s">
        <v>337</v>
      </c>
      <c r="F312" s="201"/>
      <c r="G312" s="202">
        <f t="shared" si="77"/>
        <v>11168</v>
      </c>
      <c r="H312" s="202">
        <f t="shared" si="77"/>
        <v>0</v>
      </c>
      <c r="I312" s="202">
        <f t="shared" si="77"/>
        <v>11168</v>
      </c>
      <c r="J312" s="206"/>
      <c r="K312" s="202"/>
      <c r="L312" s="206"/>
      <c r="M312" s="202">
        <f>SUM(G312)</f>
        <v>11168</v>
      </c>
      <c r="N312" s="202">
        <f t="shared" si="78"/>
        <v>0</v>
      </c>
      <c r="O312" s="226">
        <f t="shared" si="78"/>
        <v>11168</v>
      </c>
      <c r="P312" s="226">
        <v>10578.4</v>
      </c>
      <c r="Q312" s="199">
        <f t="shared" si="74"/>
        <v>94.720630372492835</v>
      </c>
      <c r="R312" s="200"/>
      <c r="S312" s="200"/>
    </row>
    <row r="313" spans="1:19" s="197" customFormat="1" ht="22.5" customHeight="1" x14ac:dyDescent="0.25">
      <c r="A313" s="285"/>
      <c r="B313" s="198" t="s">
        <v>338</v>
      </c>
      <c r="C313" s="198">
        <v>992</v>
      </c>
      <c r="D313" s="201" t="s">
        <v>321</v>
      </c>
      <c r="E313" s="211" t="s">
        <v>337</v>
      </c>
      <c r="F313" s="201">
        <v>800</v>
      </c>
      <c r="G313" s="202">
        <v>11168</v>
      </c>
      <c r="H313" s="202"/>
      <c r="I313" s="202">
        <f>SUM(G313)+H313</f>
        <v>11168</v>
      </c>
      <c r="J313" s="206"/>
      <c r="K313" s="202"/>
      <c r="L313" s="206"/>
      <c r="M313" s="202">
        <f>SUM(G313)</f>
        <v>11168</v>
      </c>
      <c r="N313" s="202">
        <f t="shared" si="78"/>
        <v>0</v>
      </c>
      <c r="O313" s="226">
        <f t="shared" si="78"/>
        <v>11168</v>
      </c>
      <c r="P313" s="226">
        <v>10578.4</v>
      </c>
      <c r="Q313" s="199">
        <f t="shared" ref="Q313" si="79">SUM(P313/O313*100)</f>
        <v>94.720630372492835</v>
      </c>
      <c r="R313" s="200"/>
      <c r="S313" s="200"/>
    </row>
    <row r="314" spans="1:19" s="197" customFormat="1" ht="18.75" hidden="1" customHeight="1" x14ac:dyDescent="0.25">
      <c r="A314" s="285"/>
      <c r="B314" s="198"/>
      <c r="C314" s="198">
        <v>992</v>
      </c>
      <c r="D314" s="201" t="s">
        <v>321</v>
      </c>
      <c r="E314" s="211" t="s">
        <v>606</v>
      </c>
      <c r="F314" s="201"/>
      <c r="G314" s="202"/>
      <c r="H314" s="202"/>
      <c r="I314" s="202">
        <f>SUM(H314)</f>
        <v>0</v>
      </c>
      <c r="J314" s="206"/>
      <c r="K314" s="202"/>
      <c r="L314" s="202"/>
      <c r="M314" s="202"/>
      <c r="N314" s="202">
        <f>SUM(H314)+K314</f>
        <v>0</v>
      </c>
      <c r="O314" s="226">
        <f>SUM(L314)+I314</f>
        <v>0</v>
      </c>
      <c r="P314" s="226"/>
      <c r="Q314" s="199">
        <f t="shared" ref="Q314:Q357" si="80">P303/O303*100</f>
        <v>0</v>
      </c>
      <c r="R314" s="200"/>
      <c r="S314" s="200"/>
    </row>
    <row r="315" spans="1:19" s="197" customFormat="1" ht="18.75" hidden="1" customHeight="1" x14ac:dyDescent="0.25">
      <c r="A315" s="285"/>
      <c r="B315" s="260"/>
      <c r="C315" s="198">
        <v>992</v>
      </c>
      <c r="D315" s="201" t="s">
        <v>321</v>
      </c>
      <c r="E315" s="211" t="s">
        <v>606</v>
      </c>
      <c r="F315" s="201">
        <v>800</v>
      </c>
      <c r="G315" s="202"/>
      <c r="H315" s="202"/>
      <c r="I315" s="202">
        <f>SUM(H315)</f>
        <v>0</v>
      </c>
      <c r="J315" s="206"/>
      <c r="K315" s="202"/>
      <c r="L315" s="202"/>
      <c r="M315" s="202"/>
      <c r="N315" s="202">
        <f>SUM(H315)+K315</f>
        <v>0</v>
      </c>
      <c r="O315" s="226">
        <f>SUM(L315)+I315</f>
        <v>0</v>
      </c>
      <c r="P315" s="226"/>
      <c r="Q315" s="199">
        <f t="shared" si="80"/>
        <v>22.100187516742569</v>
      </c>
      <c r="R315" s="200"/>
      <c r="S315" s="200"/>
    </row>
    <row r="316" spans="1:19" s="197" customFormat="1" ht="75.75" customHeight="1" x14ac:dyDescent="0.25">
      <c r="A316" s="285"/>
      <c r="B316" s="198" t="s">
        <v>339</v>
      </c>
      <c r="C316" s="198" t="s">
        <v>51</v>
      </c>
      <c r="D316" s="201" t="s">
        <v>321</v>
      </c>
      <c r="E316" s="201" t="s">
        <v>340</v>
      </c>
      <c r="F316" s="201" t="s">
        <v>11</v>
      </c>
      <c r="G316" s="202">
        <f>G317+G329+G326</f>
        <v>43668.800000000003</v>
      </c>
      <c r="H316" s="202">
        <f>H317+H326+H329</f>
        <v>0</v>
      </c>
      <c r="I316" s="202">
        <f>I317+I329+I326</f>
        <v>43668.800000000003</v>
      </c>
      <c r="J316" s="202">
        <f>J317+J329</f>
        <v>106001.5</v>
      </c>
      <c r="K316" s="202">
        <f>K317+K329</f>
        <v>0</v>
      </c>
      <c r="L316" s="202">
        <f>L317+L329</f>
        <v>106001.5</v>
      </c>
      <c r="M316" s="202">
        <f>M317+M329+M326</f>
        <v>149670.29999999999</v>
      </c>
      <c r="N316" s="202">
        <f>N317+N326+N329</f>
        <v>0</v>
      </c>
      <c r="O316" s="226">
        <f>O317+O329+O326</f>
        <v>149670.29999999999</v>
      </c>
      <c r="P316" s="226">
        <f>P317+P329+P326</f>
        <v>91863.9</v>
      </c>
      <c r="Q316" s="199">
        <f>P316/O316*100</f>
        <v>61.377507762061015</v>
      </c>
      <c r="R316" s="200"/>
      <c r="S316" s="200"/>
    </row>
    <row r="317" spans="1:19" s="197" customFormat="1" ht="22.5" customHeight="1" x14ac:dyDescent="0.25">
      <c r="A317" s="285"/>
      <c r="B317" s="198" t="s">
        <v>341</v>
      </c>
      <c r="C317" s="198" t="s">
        <v>51</v>
      </c>
      <c r="D317" s="201" t="s">
        <v>321</v>
      </c>
      <c r="E317" s="201" t="s">
        <v>342</v>
      </c>
      <c r="F317" s="201" t="s">
        <v>11</v>
      </c>
      <c r="G317" s="202">
        <f t="shared" ref="G317:P317" si="81">G318</f>
        <v>27047.8</v>
      </c>
      <c r="H317" s="202">
        <f>H318</f>
        <v>0</v>
      </c>
      <c r="I317" s="202">
        <f t="shared" si="81"/>
        <v>27047.8</v>
      </c>
      <c r="J317" s="202">
        <f t="shared" si="81"/>
        <v>101001.5</v>
      </c>
      <c r="K317" s="202">
        <f>K318+K321</f>
        <v>0</v>
      </c>
      <c r="L317" s="202">
        <f t="shared" si="81"/>
        <v>101001.5</v>
      </c>
      <c r="M317" s="202">
        <f t="shared" si="81"/>
        <v>128049.29999999999</v>
      </c>
      <c r="N317" s="202">
        <f t="shared" si="81"/>
        <v>0</v>
      </c>
      <c r="O317" s="226">
        <f t="shared" si="81"/>
        <v>128049.29999999999</v>
      </c>
      <c r="P317" s="226">
        <f t="shared" si="81"/>
        <v>70242.899999999994</v>
      </c>
      <c r="Q317" s="199">
        <f t="shared" ref="Q317:Q320" si="82">P317/O317*100</f>
        <v>54.856137440813811</v>
      </c>
      <c r="R317" s="200"/>
      <c r="S317" s="200"/>
    </row>
    <row r="318" spans="1:19" s="197" customFormat="1" ht="95.25" customHeight="1" x14ac:dyDescent="0.25">
      <c r="A318" s="285"/>
      <c r="B318" s="198" t="s">
        <v>343</v>
      </c>
      <c r="C318" s="198" t="s">
        <v>51</v>
      </c>
      <c r="D318" s="201" t="s">
        <v>321</v>
      </c>
      <c r="E318" s="201" t="s">
        <v>344</v>
      </c>
      <c r="F318" s="201" t="s">
        <v>11</v>
      </c>
      <c r="G318" s="202">
        <f>G319+G322</f>
        <v>27047.8</v>
      </c>
      <c r="H318" s="202">
        <f>H319+H322</f>
        <v>0</v>
      </c>
      <c r="I318" s="202">
        <f>I319+I322</f>
        <v>27047.8</v>
      </c>
      <c r="J318" s="202">
        <f>J319+J322</f>
        <v>101001.5</v>
      </c>
      <c r="K318" s="202">
        <f>K319+K322</f>
        <v>0</v>
      </c>
      <c r="L318" s="202">
        <f>L319+L322</f>
        <v>101001.5</v>
      </c>
      <c r="M318" s="202">
        <f>M319+M322</f>
        <v>128049.29999999999</v>
      </c>
      <c r="N318" s="202">
        <f>N319+N322</f>
        <v>0</v>
      </c>
      <c r="O318" s="226">
        <f>O319+O322</f>
        <v>128049.29999999999</v>
      </c>
      <c r="P318" s="226">
        <f>P319+P322</f>
        <v>70242.899999999994</v>
      </c>
      <c r="Q318" s="199">
        <f t="shared" si="82"/>
        <v>54.856137440813811</v>
      </c>
      <c r="R318" s="200"/>
      <c r="S318" s="200"/>
    </row>
    <row r="319" spans="1:19" s="197" customFormat="1" ht="97.5" customHeight="1" x14ac:dyDescent="0.25">
      <c r="A319" s="285"/>
      <c r="B319" s="198" t="s">
        <v>345</v>
      </c>
      <c r="C319" s="198" t="s">
        <v>51</v>
      </c>
      <c r="D319" s="201" t="s">
        <v>321</v>
      </c>
      <c r="E319" s="201" t="s">
        <v>346</v>
      </c>
      <c r="F319" s="201" t="s">
        <v>11</v>
      </c>
      <c r="G319" s="202">
        <f>G320+G321</f>
        <v>10605.599999999999</v>
      </c>
      <c r="H319" s="202">
        <f>SUM(H320+H321)</f>
        <v>0</v>
      </c>
      <c r="I319" s="202">
        <f>I320+I321</f>
        <v>10605.599999999999</v>
      </c>
      <c r="J319" s="202">
        <f>J320+J321</f>
        <v>0</v>
      </c>
      <c r="K319" s="202"/>
      <c r="L319" s="202">
        <f>L320+L321</f>
        <v>0</v>
      </c>
      <c r="M319" s="202">
        <f>M320+M321</f>
        <v>10605.599999999999</v>
      </c>
      <c r="N319" s="202">
        <f>N320+N321</f>
        <v>0</v>
      </c>
      <c r="O319" s="226">
        <f>O320+O321</f>
        <v>10605.599999999999</v>
      </c>
      <c r="P319" s="226">
        <f>P320+P321</f>
        <v>8347.2000000000007</v>
      </c>
      <c r="Q319" s="199">
        <f t="shared" si="82"/>
        <v>78.705589499886869</v>
      </c>
      <c r="R319" s="200"/>
      <c r="S319" s="200"/>
    </row>
    <row r="320" spans="1:19" s="197" customFormat="1" ht="75" x14ac:dyDescent="0.25">
      <c r="A320" s="285"/>
      <c r="B320" s="198" t="s">
        <v>40</v>
      </c>
      <c r="C320" s="198" t="s">
        <v>51</v>
      </c>
      <c r="D320" s="201" t="s">
        <v>321</v>
      </c>
      <c r="E320" s="201" t="s">
        <v>346</v>
      </c>
      <c r="F320" s="201" t="s">
        <v>41</v>
      </c>
      <c r="G320" s="202">
        <v>2213.6999999999998</v>
      </c>
      <c r="H320" s="202"/>
      <c r="I320" s="202">
        <f>SUM(G320)+H320</f>
        <v>2213.6999999999998</v>
      </c>
      <c r="J320" s="206">
        <v>0</v>
      </c>
      <c r="K320" s="202">
        <f>2803.6+840-1820-983.6-840</f>
        <v>0</v>
      </c>
      <c r="L320" s="206">
        <v>0</v>
      </c>
      <c r="M320" s="202">
        <f>SUM(G320)</f>
        <v>2213.6999999999998</v>
      </c>
      <c r="N320" s="202">
        <f>SUM(H320)</f>
        <v>0</v>
      </c>
      <c r="O320" s="226">
        <f>SUM(I320)</f>
        <v>2213.6999999999998</v>
      </c>
      <c r="P320" s="226">
        <v>1628.1</v>
      </c>
      <c r="Q320" s="199">
        <f t="shared" si="82"/>
        <v>73.546551023173876</v>
      </c>
      <c r="R320" s="200"/>
      <c r="S320" s="200"/>
    </row>
    <row r="321" spans="1:19" s="197" customFormat="1" ht="63" customHeight="1" x14ac:dyDescent="0.25">
      <c r="A321" s="285"/>
      <c r="B321" s="198" t="s">
        <v>225</v>
      </c>
      <c r="C321" s="198" t="s">
        <v>51</v>
      </c>
      <c r="D321" s="201" t="s">
        <v>321</v>
      </c>
      <c r="E321" s="201" t="s">
        <v>346</v>
      </c>
      <c r="F321" s="201" t="s">
        <v>226</v>
      </c>
      <c r="G321" s="202">
        <v>8391.9</v>
      </c>
      <c r="H321" s="202"/>
      <c r="I321" s="202">
        <f>SUM(G321)+T322+H321</f>
        <v>8391.9</v>
      </c>
      <c r="J321" s="206">
        <v>0</v>
      </c>
      <c r="K321" s="202"/>
      <c r="L321" s="206">
        <v>0</v>
      </c>
      <c r="M321" s="202">
        <f>SUM(G321)</f>
        <v>8391.9</v>
      </c>
      <c r="N321" s="202">
        <f>SUM(H321)</f>
        <v>0</v>
      </c>
      <c r="O321" s="226">
        <f>SUM(M321)+N321</f>
        <v>8391.9</v>
      </c>
      <c r="P321" s="226">
        <v>6719.1</v>
      </c>
      <c r="Q321" s="199">
        <f>P321/O321*100</f>
        <v>80.066492689379061</v>
      </c>
      <c r="R321" s="200"/>
      <c r="S321" s="200"/>
    </row>
    <row r="322" spans="1:19" s="197" customFormat="1" ht="41.25" customHeight="1" x14ac:dyDescent="0.25">
      <c r="A322" s="285"/>
      <c r="B322" s="198" t="s">
        <v>347</v>
      </c>
      <c r="C322" s="198" t="s">
        <v>51</v>
      </c>
      <c r="D322" s="201" t="s">
        <v>321</v>
      </c>
      <c r="E322" s="201" t="s">
        <v>348</v>
      </c>
      <c r="F322" s="201" t="s">
        <v>11</v>
      </c>
      <c r="G322" s="202">
        <f>G323</f>
        <v>16442.2</v>
      </c>
      <c r="H322" s="202">
        <f>SUM(H323)</f>
        <v>0</v>
      </c>
      <c r="I322" s="202">
        <f>I323</f>
        <v>16442.2</v>
      </c>
      <c r="J322" s="202">
        <f>J323</f>
        <v>101001.5</v>
      </c>
      <c r="K322" s="202"/>
      <c r="L322" s="202">
        <f>L323</f>
        <v>101001.5</v>
      </c>
      <c r="M322" s="202">
        <f>M323</f>
        <v>117443.7</v>
      </c>
      <c r="N322" s="202">
        <f>N323</f>
        <v>0</v>
      </c>
      <c r="O322" s="226">
        <f>O323</f>
        <v>117443.7</v>
      </c>
      <c r="P322" s="226">
        <v>61895.7</v>
      </c>
      <c r="Q322" s="199">
        <f t="shared" ref="Q322:Q323" si="83">P322/O322*100</f>
        <v>52.702443809246468</v>
      </c>
      <c r="R322" s="200"/>
      <c r="S322" s="200"/>
    </row>
    <row r="323" spans="1:19" s="197" customFormat="1" ht="57" customHeight="1" x14ac:dyDescent="0.25">
      <c r="A323" s="285"/>
      <c r="B323" s="198" t="s">
        <v>225</v>
      </c>
      <c r="C323" s="198" t="s">
        <v>51</v>
      </c>
      <c r="D323" s="201" t="s">
        <v>321</v>
      </c>
      <c r="E323" s="201" t="s">
        <v>348</v>
      </c>
      <c r="F323" s="201" t="s">
        <v>226</v>
      </c>
      <c r="G323" s="202">
        <v>16442.2</v>
      </c>
      <c r="H323" s="202"/>
      <c r="I323" s="202">
        <v>16442.2</v>
      </c>
      <c r="J323" s="206">
        <v>101001.5</v>
      </c>
      <c r="K323" s="202"/>
      <c r="L323" s="206">
        <f>SUM(J323)+K323</f>
        <v>101001.5</v>
      </c>
      <c r="M323" s="202">
        <f>SUM(G323+J323)</f>
        <v>117443.7</v>
      </c>
      <c r="N323" s="202">
        <f>SUM(H323+K323)</f>
        <v>0</v>
      </c>
      <c r="O323" s="226">
        <f>SUM(I323+L323)</f>
        <v>117443.7</v>
      </c>
      <c r="P323" s="226">
        <v>61895.7</v>
      </c>
      <c r="Q323" s="199">
        <f t="shared" si="83"/>
        <v>52.702443809246468</v>
      </c>
      <c r="R323" s="200"/>
      <c r="S323" s="200"/>
    </row>
    <row r="324" spans="1:19" s="197" customFormat="1" ht="37.5" hidden="1" customHeight="1" x14ac:dyDescent="0.25">
      <c r="A324" s="285"/>
      <c r="B324" s="210" t="s">
        <v>580</v>
      </c>
      <c r="C324" s="210" t="s">
        <v>51</v>
      </c>
      <c r="D324" s="211" t="s">
        <v>321</v>
      </c>
      <c r="E324" s="211" t="s">
        <v>579</v>
      </c>
      <c r="F324" s="211"/>
      <c r="G324" s="202">
        <f>G325</f>
        <v>0</v>
      </c>
      <c r="H324" s="202">
        <f t="shared" ref="H324:O325" si="84">H325</f>
        <v>0</v>
      </c>
      <c r="I324" s="202">
        <f t="shared" si="84"/>
        <v>0</v>
      </c>
      <c r="J324" s="202">
        <f t="shared" si="84"/>
        <v>0</v>
      </c>
      <c r="K324" s="202">
        <f t="shared" si="84"/>
        <v>0</v>
      </c>
      <c r="L324" s="202">
        <f t="shared" si="84"/>
        <v>0</v>
      </c>
      <c r="M324" s="202">
        <f t="shared" si="84"/>
        <v>0</v>
      </c>
      <c r="N324" s="202">
        <f t="shared" si="84"/>
        <v>0</v>
      </c>
      <c r="O324" s="226">
        <f t="shared" si="84"/>
        <v>0</v>
      </c>
      <c r="P324" s="226"/>
      <c r="Q324" s="199">
        <f>P313/O313*100</f>
        <v>94.720630372492835</v>
      </c>
      <c r="R324" s="200"/>
      <c r="S324" s="200"/>
    </row>
    <row r="325" spans="1:19" s="197" customFormat="1" ht="3" hidden="1" customHeight="1" x14ac:dyDescent="0.25">
      <c r="A325" s="285"/>
      <c r="B325" s="210" t="s">
        <v>581</v>
      </c>
      <c r="C325" s="210" t="s">
        <v>51</v>
      </c>
      <c r="D325" s="211" t="s">
        <v>321</v>
      </c>
      <c r="E325" s="211" t="s">
        <v>578</v>
      </c>
      <c r="F325" s="211"/>
      <c r="G325" s="202">
        <f>G326</f>
        <v>0</v>
      </c>
      <c r="H325" s="202">
        <f t="shared" si="84"/>
        <v>0</v>
      </c>
      <c r="I325" s="202">
        <f t="shared" si="84"/>
        <v>0</v>
      </c>
      <c r="J325" s="202">
        <f t="shared" si="84"/>
        <v>0</v>
      </c>
      <c r="K325" s="202">
        <f t="shared" si="84"/>
        <v>0</v>
      </c>
      <c r="L325" s="202">
        <f t="shared" si="84"/>
        <v>0</v>
      </c>
      <c r="M325" s="202">
        <f t="shared" si="84"/>
        <v>0</v>
      </c>
      <c r="N325" s="202">
        <f t="shared" si="84"/>
        <v>0</v>
      </c>
      <c r="O325" s="226">
        <f t="shared" si="84"/>
        <v>0</v>
      </c>
      <c r="P325" s="226"/>
      <c r="Q325" s="199" t="e">
        <f>P314/O314*100</f>
        <v>#DIV/0!</v>
      </c>
      <c r="R325" s="200"/>
      <c r="S325" s="200"/>
    </row>
    <row r="326" spans="1:19" s="197" customFormat="1" ht="37.5" hidden="1" customHeight="1" x14ac:dyDescent="0.25">
      <c r="A326" s="285"/>
      <c r="B326" s="198" t="s">
        <v>349</v>
      </c>
      <c r="C326" s="198">
        <v>992</v>
      </c>
      <c r="D326" s="201" t="s">
        <v>321</v>
      </c>
      <c r="E326" s="201">
        <v>1120121140</v>
      </c>
      <c r="F326" s="201"/>
      <c r="G326" s="202">
        <f>SUM(G328)</f>
        <v>0</v>
      </c>
      <c r="H326" s="202">
        <f>SUM(H328)</f>
        <v>0</v>
      </c>
      <c r="I326" s="202">
        <f>SUM(G326:H326)</f>
        <v>0</v>
      </c>
      <c r="J326" s="206"/>
      <c r="K326" s="202"/>
      <c r="L326" s="206"/>
      <c r="M326" s="202">
        <f>SUM(G326)</f>
        <v>0</v>
      </c>
      <c r="N326" s="202">
        <f t="shared" ref="N326:O328" si="85">SUM(H326)</f>
        <v>0</v>
      </c>
      <c r="O326" s="226">
        <f t="shared" si="85"/>
        <v>0</v>
      </c>
      <c r="P326" s="226"/>
      <c r="Q326" s="199" t="e">
        <f>P315/O315*100</f>
        <v>#DIV/0!</v>
      </c>
      <c r="R326" s="200"/>
      <c r="S326" s="200"/>
    </row>
    <row r="327" spans="1:19" s="197" customFormat="1" ht="25.9" hidden="1" customHeight="1" x14ac:dyDescent="0.25">
      <c r="A327" s="285"/>
      <c r="B327" s="198"/>
      <c r="C327" s="198">
        <v>992</v>
      </c>
      <c r="D327" s="201" t="s">
        <v>321</v>
      </c>
      <c r="E327" s="201">
        <v>1120121140</v>
      </c>
      <c r="F327" s="201">
        <v>400</v>
      </c>
      <c r="G327" s="202"/>
      <c r="H327" s="202">
        <f>SUM(H328)</f>
        <v>0</v>
      </c>
      <c r="I327" s="202">
        <f>SUM(H327)</f>
        <v>0</v>
      </c>
      <c r="J327" s="206"/>
      <c r="K327" s="202"/>
      <c r="L327" s="206"/>
      <c r="M327" s="202"/>
      <c r="N327" s="202">
        <f t="shared" si="85"/>
        <v>0</v>
      </c>
      <c r="O327" s="226">
        <f t="shared" si="85"/>
        <v>0</v>
      </c>
      <c r="P327" s="226"/>
      <c r="Q327" s="199">
        <f t="shared" si="80"/>
        <v>61.377507762061015</v>
      </c>
      <c r="R327" s="200"/>
      <c r="S327" s="200"/>
    </row>
    <row r="328" spans="1:19" s="197" customFormat="1" ht="0.75" customHeight="1" x14ac:dyDescent="0.25">
      <c r="A328" s="285"/>
      <c r="B328" s="198" t="s">
        <v>225</v>
      </c>
      <c r="C328" s="198">
        <v>992</v>
      </c>
      <c r="D328" s="201" t="s">
        <v>321</v>
      </c>
      <c r="E328" s="201">
        <v>1120121140</v>
      </c>
      <c r="F328" s="201">
        <v>400</v>
      </c>
      <c r="G328" s="202">
        <v>0</v>
      </c>
      <c r="H328" s="202"/>
      <c r="I328" s="202">
        <f>SUM(G328:H328)</f>
        <v>0</v>
      </c>
      <c r="J328" s="206"/>
      <c r="K328" s="202"/>
      <c r="L328" s="206"/>
      <c r="M328" s="202">
        <f>SUM(G328)</f>
        <v>0</v>
      </c>
      <c r="N328" s="202">
        <f t="shared" si="85"/>
        <v>0</v>
      </c>
      <c r="O328" s="226">
        <f t="shared" si="85"/>
        <v>0</v>
      </c>
      <c r="P328" s="226"/>
      <c r="Q328" s="199">
        <f t="shared" si="80"/>
        <v>54.856137440813811</v>
      </c>
      <c r="R328" s="200"/>
      <c r="S328" s="200"/>
    </row>
    <row r="329" spans="1:19" s="197" customFormat="1" ht="40.5" customHeight="1" x14ac:dyDescent="0.25">
      <c r="A329" s="285"/>
      <c r="B329" s="207" t="s">
        <v>350</v>
      </c>
      <c r="C329" s="198">
        <v>992</v>
      </c>
      <c r="D329" s="201" t="s">
        <v>321</v>
      </c>
      <c r="E329" s="201">
        <v>1130000000</v>
      </c>
      <c r="F329" s="201"/>
      <c r="G329" s="202">
        <f>SUM(G330)</f>
        <v>16621</v>
      </c>
      <c r="H329" s="202">
        <f>H330</f>
        <v>0</v>
      </c>
      <c r="I329" s="202">
        <f>SUM(I330)</f>
        <v>16621</v>
      </c>
      <c r="J329" s="202">
        <f t="shared" ref="J329:M330" si="86">SUM(J330)</f>
        <v>5000</v>
      </c>
      <c r="K329" s="202">
        <f t="shared" si="86"/>
        <v>0</v>
      </c>
      <c r="L329" s="202">
        <f t="shared" si="86"/>
        <v>5000</v>
      </c>
      <c r="M329" s="202">
        <f t="shared" si="86"/>
        <v>21621</v>
      </c>
      <c r="N329" s="202">
        <f>SUM(H329)+K329</f>
        <v>0</v>
      </c>
      <c r="O329" s="226">
        <f>SUM(O330)</f>
        <v>21621</v>
      </c>
      <c r="P329" s="226">
        <f>SUM(P330)</f>
        <v>21621</v>
      </c>
      <c r="Q329" s="199">
        <f>SUM(P329/O329*100)</f>
        <v>100</v>
      </c>
      <c r="R329" s="200"/>
      <c r="S329" s="200"/>
    </row>
    <row r="330" spans="1:19" s="197" customFormat="1" ht="97.5" customHeight="1" x14ac:dyDescent="0.25">
      <c r="A330" s="285"/>
      <c r="B330" s="207" t="s">
        <v>351</v>
      </c>
      <c r="C330" s="198">
        <v>992</v>
      </c>
      <c r="D330" s="201" t="s">
        <v>321</v>
      </c>
      <c r="E330" s="201">
        <v>1130100000</v>
      </c>
      <c r="F330" s="201"/>
      <c r="G330" s="202">
        <f>SUM(G331)</f>
        <v>16621</v>
      </c>
      <c r="H330" s="202">
        <f>H331</f>
        <v>0</v>
      </c>
      <c r="I330" s="202">
        <f>SUM(I331)</f>
        <v>16621</v>
      </c>
      <c r="J330" s="202">
        <f>SUM(J331)+J334</f>
        <v>5000</v>
      </c>
      <c r="K330" s="202">
        <f t="shared" si="86"/>
        <v>0</v>
      </c>
      <c r="L330" s="202">
        <f>SUM(L331)+L334</f>
        <v>5000</v>
      </c>
      <c r="M330" s="202">
        <f>SUM(M331)+M334</f>
        <v>21621</v>
      </c>
      <c r="N330" s="202">
        <f>SUM(H330)+K330+N334</f>
        <v>0</v>
      </c>
      <c r="O330" s="226">
        <f>SUM(O331)+O334</f>
        <v>21621</v>
      </c>
      <c r="P330" s="226">
        <f>SUM(P331)+P334</f>
        <v>21621</v>
      </c>
      <c r="Q330" s="199">
        <f t="shared" ref="Q330:Q339" si="87">SUM(P330/O330*100)</f>
        <v>100</v>
      </c>
      <c r="R330" s="200"/>
      <c r="S330" s="200"/>
    </row>
    <row r="331" spans="1:19" s="197" customFormat="1" ht="38.25" customHeight="1" x14ac:dyDescent="0.25">
      <c r="A331" s="285"/>
      <c r="B331" s="207" t="s">
        <v>582</v>
      </c>
      <c r="C331" s="198">
        <v>992</v>
      </c>
      <c r="D331" s="201" t="s">
        <v>321</v>
      </c>
      <c r="E331" s="201">
        <v>1130121070</v>
      </c>
      <c r="F331" s="201"/>
      <c r="G331" s="202">
        <f>SUM(G333)+G332</f>
        <v>16621</v>
      </c>
      <c r="H331" s="202">
        <f>H332+H333</f>
        <v>0</v>
      </c>
      <c r="I331" s="202">
        <f>SUM(G331:H331)</f>
        <v>16621</v>
      </c>
      <c r="J331" s="206"/>
      <c r="K331" s="202"/>
      <c r="L331" s="206">
        <f>SUM(J331)</f>
        <v>0</v>
      </c>
      <c r="M331" s="202">
        <f>SUM(G331)+J331</f>
        <v>16621</v>
      </c>
      <c r="N331" s="202">
        <f>N332+N333</f>
        <v>0</v>
      </c>
      <c r="O331" s="226">
        <f>SUM(I331)+L331</f>
        <v>16621</v>
      </c>
      <c r="P331" s="226">
        <f>SUM(J331)+M331</f>
        <v>16621</v>
      </c>
      <c r="Q331" s="199">
        <f t="shared" si="87"/>
        <v>100</v>
      </c>
      <c r="R331" s="200"/>
      <c r="S331" s="200"/>
    </row>
    <row r="332" spans="1:19" s="197" customFormat="1" ht="75" x14ac:dyDescent="0.25">
      <c r="A332" s="285"/>
      <c r="B332" s="198" t="s">
        <v>40</v>
      </c>
      <c r="C332" s="198">
        <v>992</v>
      </c>
      <c r="D332" s="201" t="s">
        <v>321</v>
      </c>
      <c r="E332" s="201">
        <v>1130121070</v>
      </c>
      <c r="F332" s="201">
        <v>200</v>
      </c>
      <c r="G332" s="202">
        <v>15090.2</v>
      </c>
      <c r="H332" s="202"/>
      <c r="I332" s="202">
        <f>SUM(G332:H332)</f>
        <v>15090.2</v>
      </c>
      <c r="J332" s="206"/>
      <c r="K332" s="202"/>
      <c r="L332" s="206">
        <f>SUM(J332)</f>
        <v>0</v>
      </c>
      <c r="M332" s="202">
        <f>SUM(G332)+J332</f>
        <v>15090.2</v>
      </c>
      <c r="N332" s="202">
        <f>SUM(H332)+K332</f>
        <v>0</v>
      </c>
      <c r="O332" s="226">
        <f>SUM(I332)+L332</f>
        <v>15090.2</v>
      </c>
      <c r="P332" s="226">
        <v>15090.2</v>
      </c>
      <c r="Q332" s="199">
        <f t="shared" si="87"/>
        <v>100</v>
      </c>
      <c r="R332" s="200"/>
      <c r="S332" s="200"/>
    </row>
    <row r="333" spans="1:19" s="197" customFormat="1" ht="61.5" customHeight="1" x14ac:dyDescent="0.25">
      <c r="A333" s="285"/>
      <c r="B333" s="198" t="s">
        <v>225</v>
      </c>
      <c r="C333" s="198">
        <v>992</v>
      </c>
      <c r="D333" s="201" t="s">
        <v>321</v>
      </c>
      <c r="E333" s="211" t="s">
        <v>352</v>
      </c>
      <c r="F333" s="201">
        <v>400</v>
      </c>
      <c r="G333" s="202">
        <v>1530.8</v>
      </c>
      <c r="H333" s="202"/>
      <c r="I333" s="202">
        <f>SUM(G333)</f>
        <v>1530.8</v>
      </c>
      <c r="J333" s="206"/>
      <c r="K333" s="205"/>
      <c r="L333" s="206"/>
      <c r="M333" s="202">
        <f>SUM(G333)</f>
        <v>1530.8</v>
      </c>
      <c r="N333" s="202">
        <f>SUM(H333)</f>
        <v>0</v>
      </c>
      <c r="O333" s="226">
        <f>SUM(I333)</f>
        <v>1530.8</v>
      </c>
      <c r="P333" s="226">
        <v>1530.8</v>
      </c>
      <c r="Q333" s="199">
        <f t="shared" si="87"/>
        <v>100</v>
      </c>
      <c r="R333" s="200"/>
      <c r="S333" s="200"/>
    </row>
    <row r="334" spans="1:19" s="197" customFormat="1" ht="57.75" customHeight="1" x14ac:dyDescent="0.25">
      <c r="A334" s="285"/>
      <c r="B334" s="198" t="s">
        <v>603</v>
      </c>
      <c r="C334" s="198">
        <v>992</v>
      </c>
      <c r="D334" s="201" t="s">
        <v>321</v>
      </c>
      <c r="E334" s="211" t="s">
        <v>602</v>
      </c>
      <c r="F334" s="201"/>
      <c r="G334" s="202"/>
      <c r="H334" s="202"/>
      <c r="I334" s="202"/>
      <c r="J334" s="206">
        <v>5000</v>
      </c>
      <c r="K334" s="205"/>
      <c r="L334" s="206">
        <v>5000</v>
      </c>
      <c r="M334" s="206">
        <v>5000</v>
      </c>
      <c r="N334" s="202"/>
      <c r="O334" s="226">
        <f>SUM(M334)</f>
        <v>5000</v>
      </c>
      <c r="P334" s="226">
        <v>5000</v>
      </c>
      <c r="Q334" s="199">
        <f t="shared" si="87"/>
        <v>100</v>
      </c>
      <c r="R334" s="200"/>
      <c r="S334" s="200"/>
    </row>
    <row r="335" spans="1:19" s="197" customFormat="1" ht="75" x14ac:dyDescent="0.25">
      <c r="A335" s="285"/>
      <c r="B335" s="198" t="s">
        <v>40</v>
      </c>
      <c r="C335" s="198">
        <v>992</v>
      </c>
      <c r="D335" s="201" t="s">
        <v>321</v>
      </c>
      <c r="E335" s="211" t="s">
        <v>602</v>
      </c>
      <c r="F335" s="201">
        <v>200</v>
      </c>
      <c r="G335" s="202"/>
      <c r="H335" s="202"/>
      <c r="I335" s="202"/>
      <c r="J335" s="206">
        <v>5000</v>
      </c>
      <c r="K335" s="205"/>
      <c r="L335" s="206">
        <v>5000</v>
      </c>
      <c r="M335" s="206">
        <v>5000</v>
      </c>
      <c r="N335" s="202"/>
      <c r="O335" s="226">
        <f>SUM(M335)</f>
        <v>5000</v>
      </c>
      <c r="P335" s="226">
        <v>5000</v>
      </c>
      <c r="Q335" s="199">
        <f t="shared" si="87"/>
        <v>100</v>
      </c>
      <c r="R335" s="200"/>
      <c r="S335" s="200"/>
    </row>
    <row r="336" spans="1:19" s="197" customFormat="1" ht="19.5" customHeight="1" x14ac:dyDescent="0.25">
      <c r="A336" s="285"/>
      <c r="B336" s="198" t="s">
        <v>354</v>
      </c>
      <c r="C336" s="198" t="s">
        <v>51</v>
      </c>
      <c r="D336" s="201" t="s">
        <v>355</v>
      </c>
      <c r="E336" s="201" t="s">
        <v>11</v>
      </c>
      <c r="F336" s="201" t="s">
        <v>11</v>
      </c>
      <c r="G336" s="202">
        <f>G337+G378+G385+G372+G392</f>
        <v>82211.700000000012</v>
      </c>
      <c r="H336" s="202">
        <f>H337+AB339+H385+H371</f>
        <v>5226.5999999999995</v>
      </c>
      <c r="I336" s="202">
        <f>I337+I378+I385+I372+I392</f>
        <v>87438.3</v>
      </c>
      <c r="J336" s="202">
        <f>J337+J378+J385+J372</f>
        <v>15057.2</v>
      </c>
      <c r="K336" s="202">
        <f>K337+K372+K378+K392+K385</f>
        <v>-1842.4</v>
      </c>
      <c r="L336" s="202">
        <f>L337+L372+L378+L392+L385</f>
        <v>13214.800000000001</v>
      </c>
      <c r="M336" s="202">
        <f>M337+M378+M385+M372+M392</f>
        <v>97268.900000000009</v>
      </c>
      <c r="N336" s="202">
        <f>N337+AH339+N385+N378+N371</f>
        <v>3384.1999999999994</v>
      </c>
      <c r="O336" s="226">
        <f>O337+O378+O385+O372+O392</f>
        <v>101253.1</v>
      </c>
      <c r="P336" s="226">
        <f>P337+P378+P385+P372+P392</f>
        <v>93217.400000000009</v>
      </c>
      <c r="Q336" s="199">
        <f t="shared" si="87"/>
        <v>92.063749159284995</v>
      </c>
      <c r="R336" s="200"/>
      <c r="S336" s="200"/>
    </row>
    <row r="337" spans="1:19" s="197" customFormat="1" ht="59.25" customHeight="1" x14ac:dyDescent="0.25">
      <c r="A337" s="285"/>
      <c r="B337" s="198" t="s">
        <v>245</v>
      </c>
      <c r="C337" s="198" t="s">
        <v>51</v>
      </c>
      <c r="D337" s="201" t="s">
        <v>355</v>
      </c>
      <c r="E337" s="201" t="s">
        <v>246</v>
      </c>
      <c r="F337" s="201" t="s">
        <v>11</v>
      </c>
      <c r="G337" s="202">
        <f>G338+G366</f>
        <v>74135.400000000009</v>
      </c>
      <c r="H337" s="202">
        <f>H338+H366</f>
        <v>6364.0999999999995</v>
      </c>
      <c r="I337" s="202">
        <f>I338+I366</f>
        <v>80499.5</v>
      </c>
      <c r="J337" s="202">
        <f t="shared" ref="G337:P338" si="88">J338</f>
        <v>11157.2</v>
      </c>
      <c r="K337" s="202">
        <f t="shared" si="88"/>
        <v>0</v>
      </c>
      <c r="L337" s="202">
        <f t="shared" si="88"/>
        <v>11157.2</v>
      </c>
      <c r="M337" s="202">
        <f>SUM(G337+J337)</f>
        <v>85292.6</v>
      </c>
      <c r="N337" s="202">
        <f>N338+N366</f>
        <v>6364.0999999999995</v>
      </c>
      <c r="O337" s="226">
        <f>O338+O366</f>
        <v>92256.7</v>
      </c>
      <c r="P337" s="226">
        <f>P338+P366</f>
        <v>84708.4</v>
      </c>
      <c r="Q337" s="199">
        <f t="shared" si="87"/>
        <v>91.818155212575348</v>
      </c>
      <c r="R337" s="200"/>
      <c r="S337" s="200"/>
    </row>
    <row r="338" spans="1:19" s="197" customFormat="1" ht="25.5" customHeight="1" x14ac:dyDescent="0.25">
      <c r="A338" s="285"/>
      <c r="B338" s="198" t="s">
        <v>356</v>
      </c>
      <c r="C338" s="198" t="s">
        <v>51</v>
      </c>
      <c r="D338" s="201" t="s">
        <v>355</v>
      </c>
      <c r="E338" s="201" t="s">
        <v>357</v>
      </c>
      <c r="F338" s="201" t="s">
        <v>11</v>
      </c>
      <c r="G338" s="202">
        <f t="shared" si="88"/>
        <v>70785.400000000009</v>
      </c>
      <c r="H338" s="202">
        <f t="shared" si="88"/>
        <v>6364.0999999999995</v>
      </c>
      <c r="I338" s="202">
        <f t="shared" si="88"/>
        <v>77149.5</v>
      </c>
      <c r="J338" s="202">
        <f t="shared" si="88"/>
        <v>11157.2</v>
      </c>
      <c r="K338" s="202">
        <f>K339+K341+K343+K345+K347+K353</f>
        <v>0</v>
      </c>
      <c r="L338" s="202">
        <f t="shared" si="88"/>
        <v>11157.2</v>
      </c>
      <c r="M338" s="202">
        <f t="shared" si="88"/>
        <v>81942.599999999991</v>
      </c>
      <c r="N338" s="202">
        <f t="shared" si="88"/>
        <v>6364.0999999999995</v>
      </c>
      <c r="O338" s="226">
        <f t="shared" si="88"/>
        <v>88906.7</v>
      </c>
      <c r="P338" s="226">
        <f t="shared" si="88"/>
        <v>81486.299999999988</v>
      </c>
      <c r="Q338" s="199">
        <f t="shared" si="87"/>
        <v>91.653722385377023</v>
      </c>
      <c r="R338" s="200"/>
      <c r="S338" s="200"/>
    </row>
    <row r="339" spans="1:19" s="197" customFormat="1" ht="95.25" customHeight="1" x14ac:dyDescent="0.25">
      <c r="A339" s="285"/>
      <c r="B339" s="198" t="s">
        <v>358</v>
      </c>
      <c r="C339" s="198" t="s">
        <v>51</v>
      </c>
      <c r="D339" s="201" t="s">
        <v>355</v>
      </c>
      <c r="E339" s="201" t="s">
        <v>359</v>
      </c>
      <c r="F339" s="201" t="s">
        <v>11</v>
      </c>
      <c r="G339" s="202">
        <f>G340+G342+G344+G346+G352+G354+G348+G364+G362+G360</f>
        <v>70785.400000000009</v>
      </c>
      <c r="H339" s="202">
        <f>H340+H342+H344+H346+H352+H354+H348+H364+H362+H360+H350</f>
        <v>6364.0999999999995</v>
      </c>
      <c r="I339" s="202">
        <f>I340+I342+I344+I346+I352+I354+I348+I364+I362+I360</f>
        <v>77149.5</v>
      </c>
      <c r="J339" s="202">
        <f>J340+J342+J344+J346+J348+J350+J352+J354+J360+J362+J364</f>
        <v>11157.2</v>
      </c>
      <c r="K339" s="202">
        <f>SUM(K364)+K360+K362+K350</f>
        <v>0</v>
      </c>
      <c r="L339" s="202">
        <f>L340+L342+L344+L346+L348+L350+L352+L354+L360+L362+L364</f>
        <v>11157.2</v>
      </c>
      <c r="M339" s="202">
        <f t="shared" ref="M339:P339" si="89">M340+M342+M344+M346+M348+M350+M352+M354+M360+M362+M364</f>
        <v>81942.599999999991</v>
      </c>
      <c r="N339" s="202">
        <f>N340+N342+N344+N346+N348+N350+N352+N354+N360+N362+N364</f>
        <v>6364.0999999999995</v>
      </c>
      <c r="O339" s="226">
        <f t="shared" si="89"/>
        <v>88906.7</v>
      </c>
      <c r="P339" s="226">
        <f t="shared" si="89"/>
        <v>81486.299999999988</v>
      </c>
      <c r="Q339" s="199">
        <f t="shared" si="87"/>
        <v>91.653722385377023</v>
      </c>
      <c r="R339" s="200"/>
      <c r="S339" s="200"/>
    </row>
    <row r="340" spans="1:19" s="197" customFormat="1" ht="22.5" customHeight="1" x14ac:dyDescent="0.25">
      <c r="A340" s="285"/>
      <c r="B340" s="198" t="s">
        <v>360</v>
      </c>
      <c r="C340" s="198" t="s">
        <v>51</v>
      </c>
      <c r="D340" s="201" t="s">
        <v>355</v>
      </c>
      <c r="E340" s="201" t="s">
        <v>361</v>
      </c>
      <c r="F340" s="201" t="s">
        <v>11</v>
      </c>
      <c r="G340" s="202">
        <f>G341</f>
        <v>26890.7</v>
      </c>
      <c r="H340" s="202">
        <f>H341</f>
        <v>6324.0999999999995</v>
      </c>
      <c r="I340" s="202">
        <f>I341</f>
        <v>33214.800000000003</v>
      </c>
      <c r="J340" s="202">
        <f>J341</f>
        <v>0</v>
      </c>
      <c r="K340" s="202"/>
      <c r="L340" s="202">
        <f>L341</f>
        <v>0</v>
      </c>
      <c r="M340" s="202">
        <f>M341</f>
        <v>26890.7</v>
      </c>
      <c r="N340" s="202">
        <f>N341</f>
        <v>6324.0999999999995</v>
      </c>
      <c r="O340" s="226">
        <f>O341</f>
        <v>33814.800000000003</v>
      </c>
      <c r="P340" s="226">
        <f>P341</f>
        <v>33096.1</v>
      </c>
      <c r="Q340" s="199">
        <f>SUM(P340/O340*100)</f>
        <v>97.874599287885772</v>
      </c>
      <c r="R340" s="200"/>
      <c r="S340" s="200"/>
    </row>
    <row r="341" spans="1:19" s="197" customFormat="1" ht="75" x14ac:dyDescent="0.25">
      <c r="A341" s="285"/>
      <c r="B341" s="198" t="s">
        <v>40</v>
      </c>
      <c r="C341" s="198" t="s">
        <v>51</v>
      </c>
      <c r="D341" s="201" t="s">
        <v>355</v>
      </c>
      <c r="E341" s="201" t="s">
        <v>361</v>
      </c>
      <c r="F341" s="201" t="s">
        <v>41</v>
      </c>
      <c r="G341" s="202">
        <v>26890.7</v>
      </c>
      <c r="H341" s="202">
        <f>-240+6408.4+155.7</f>
        <v>6324.0999999999995</v>
      </c>
      <c r="I341" s="202">
        <f>SUM(G341)+H341</f>
        <v>33214.800000000003</v>
      </c>
      <c r="J341" s="206"/>
      <c r="K341" s="202"/>
      <c r="L341" s="206"/>
      <c r="M341" s="202">
        <f>SUM(G341)</f>
        <v>26890.7</v>
      </c>
      <c r="N341" s="202">
        <f>SUM(H341)+K341</f>
        <v>6324.0999999999995</v>
      </c>
      <c r="O341" s="226">
        <v>33814.800000000003</v>
      </c>
      <c r="P341" s="226">
        <v>33096.1</v>
      </c>
      <c r="Q341" s="199">
        <f t="shared" ref="Q341:Q346" si="90">SUM(P341/O341*100)</f>
        <v>97.874599287885772</v>
      </c>
      <c r="R341" s="200"/>
      <c r="S341" s="200"/>
    </row>
    <row r="342" spans="1:19" s="197" customFormat="1" ht="17.25" customHeight="1" x14ac:dyDescent="0.25">
      <c r="A342" s="285"/>
      <c r="B342" s="198" t="s">
        <v>362</v>
      </c>
      <c r="C342" s="198" t="s">
        <v>51</v>
      </c>
      <c r="D342" s="201" t="s">
        <v>355</v>
      </c>
      <c r="E342" s="201" t="s">
        <v>363</v>
      </c>
      <c r="F342" s="201" t="s">
        <v>11</v>
      </c>
      <c r="G342" s="202">
        <f>G343</f>
        <v>18028.900000000001</v>
      </c>
      <c r="H342" s="202">
        <f>H343</f>
        <v>0</v>
      </c>
      <c r="I342" s="202">
        <f>I343</f>
        <v>18028.900000000001</v>
      </c>
      <c r="J342" s="202">
        <f>J343</f>
        <v>75</v>
      </c>
      <c r="K342" s="202">
        <f>SUM(K343)</f>
        <v>0</v>
      </c>
      <c r="L342" s="202">
        <f>L343</f>
        <v>75</v>
      </c>
      <c r="M342" s="202">
        <f>M343</f>
        <v>18103.900000000001</v>
      </c>
      <c r="N342" s="202">
        <f>N343</f>
        <v>0</v>
      </c>
      <c r="O342" s="226">
        <f>O343</f>
        <v>18103.900000000001</v>
      </c>
      <c r="P342" s="226">
        <f>P343</f>
        <v>13125</v>
      </c>
      <c r="Q342" s="199">
        <f t="shared" si="90"/>
        <v>72.498190997519856</v>
      </c>
      <c r="R342" s="200"/>
      <c r="S342" s="200"/>
    </row>
    <row r="343" spans="1:19" s="197" customFormat="1" ht="75" x14ac:dyDescent="0.25">
      <c r="A343" s="285"/>
      <c r="B343" s="198" t="s">
        <v>40</v>
      </c>
      <c r="C343" s="198" t="s">
        <v>51</v>
      </c>
      <c r="D343" s="201" t="s">
        <v>355</v>
      </c>
      <c r="E343" s="201" t="s">
        <v>363</v>
      </c>
      <c r="F343" s="201" t="s">
        <v>41</v>
      </c>
      <c r="G343" s="202">
        <v>18028.900000000001</v>
      </c>
      <c r="H343" s="202"/>
      <c r="I343" s="202">
        <f>SUM(G343)+H343</f>
        <v>18028.900000000001</v>
      </c>
      <c r="J343" s="206">
        <v>75</v>
      </c>
      <c r="K343" s="202"/>
      <c r="L343" s="202">
        <f>SUM(J343)</f>
        <v>75</v>
      </c>
      <c r="M343" s="202">
        <f>SUM(G343+J343)</f>
        <v>18103.900000000001</v>
      </c>
      <c r="N343" s="202">
        <f>SUM(H343)+K343</f>
        <v>0</v>
      </c>
      <c r="O343" s="226">
        <f>SUM(I343+L343)</f>
        <v>18103.900000000001</v>
      </c>
      <c r="P343" s="226">
        <v>13125</v>
      </c>
      <c r="Q343" s="199">
        <f t="shared" si="90"/>
        <v>72.498190997519856</v>
      </c>
      <c r="R343" s="200"/>
      <c r="S343" s="200"/>
    </row>
    <row r="344" spans="1:19" s="197" customFormat="1" ht="41.25" customHeight="1" x14ac:dyDescent="0.25">
      <c r="A344" s="285"/>
      <c r="B344" s="198" t="s">
        <v>364</v>
      </c>
      <c r="C344" s="198" t="s">
        <v>51</v>
      </c>
      <c r="D344" s="201" t="s">
        <v>355</v>
      </c>
      <c r="E344" s="201" t="s">
        <v>365</v>
      </c>
      <c r="F344" s="201" t="s">
        <v>11</v>
      </c>
      <c r="G344" s="202">
        <f>G345</f>
        <v>3522.9</v>
      </c>
      <c r="H344" s="202">
        <f>H345</f>
        <v>-200</v>
      </c>
      <c r="I344" s="202">
        <f>I345</f>
        <v>3322.9</v>
      </c>
      <c r="J344" s="202">
        <f>J345</f>
        <v>0</v>
      </c>
      <c r="K344" s="202"/>
      <c r="L344" s="202">
        <f>L345</f>
        <v>0</v>
      </c>
      <c r="M344" s="202">
        <f>M345</f>
        <v>3522.9</v>
      </c>
      <c r="N344" s="202">
        <f>N345</f>
        <v>-200</v>
      </c>
      <c r="O344" s="226">
        <f>O345</f>
        <v>3322.9</v>
      </c>
      <c r="P344" s="226">
        <f>P345</f>
        <v>3148.2</v>
      </c>
      <c r="Q344" s="199">
        <f t="shared" si="90"/>
        <v>94.742544163230903</v>
      </c>
      <c r="R344" s="200"/>
      <c r="S344" s="200"/>
    </row>
    <row r="345" spans="1:19" s="197" customFormat="1" ht="75" x14ac:dyDescent="0.25">
      <c r="A345" s="285"/>
      <c r="B345" s="198" t="s">
        <v>40</v>
      </c>
      <c r="C345" s="198" t="s">
        <v>51</v>
      </c>
      <c r="D345" s="201" t="s">
        <v>355</v>
      </c>
      <c r="E345" s="201" t="s">
        <v>365</v>
      </c>
      <c r="F345" s="201" t="s">
        <v>41</v>
      </c>
      <c r="G345" s="202">
        <v>3522.9</v>
      </c>
      <c r="H345" s="202">
        <v>-200</v>
      </c>
      <c r="I345" s="202">
        <f>G345+H345</f>
        <v>3322.9</v>
      </c>
      <c r="J345" s="206"/>
      <c r="K345" s="202"/>
      <c r="L345" s="206"/>
      <c r="M345" s="202">
        <f>SUM(G345)</f>
        <v>3522.9</v>
      </c>
      <c r="N345" s="202">
        <f>SUM(H345)</f>
        <v>-200</v>
      </c>
      <c r="O345" s="226">
        <f>SUM(I345)</f>
        <v>3322.9</v>
      </c>
      <c r="P345" s="226">
        <v>3148.2</v>
      </c>
      <c r="Q345" s="199">
        <f t="shared" si="90"/>
        <v>94.742544163230903</v>
      </c>
      <c r="R345" s="200"/>
      <c r="S345" s="200"/>
    </row>
    <row r="346" spans="1:19" s="197" customFormat="1" ht="37.5" x14ac:dyDescent="0.25">
      <c r="A346" s="285"/>
      <c r="B346" s="198" t="s">
        <v>366</v>
      </c>
      <c r="C346" s="198" t="s">
        <v>51</v>
      </c>
      <c r="D346" s="201" t="s">
        <v>355</v>
      </c>
      <c r="E346" s="201" t="s">
        <v>367</v>
      </c>
      <c r="F346" s="201" t="s">
        <v>11</v>
      </c>
      <c r="G346" s="202">
        <f>G347</f>
        <v>3204</v>
      </c>
      <c r="H346" s="202">
        <f>H347</f>
        <v>0</v>
      </c>
      <c r="I346" s="202">
        <f>I347</f>
        <v>3204</v>
      </c>
      <c r="J346" s="202">
        <f>J347</f>
        <v>0</v>
      </c>
      <c r="K346" s="202"/>
      <c r="L346" s="202">
        <f>L347</f>
        <v>0</v>
      </c>
      <c r="M346" s="202">
        <f>M347</f>
        <v>3204</v>
      </c>
      <c r="N346" s="202">
        <f>N347</f>
        <v>0</v>
      </c>
      <c r="O346" s="226">
        <f>O347</f>
        <v>3204</v>
      </c>
      <c r="P346" s="226">
        <f>P347</f>
        <v>3203.5</v>
      </c>
      <c r="Q346" s="199">
        <f t="shared" si="90"/>
        <v>99.984394506866408</v>
      </c>
      <c r="R346" s="200"/>
      <c r="S346" s="200"/>
    </row>
    <row r="347" spans="1:19" s="197" customFormat="1" ht="75" x14ac:dyDescent="0.25">
      <c r="A347" s="285"/>
      <c r="B347" s="198" t="s">
        <v>40</v>
      </c>
      <c r="C347" s="198" t="s">
        <v>51</v>
      </c>
      <c r="D347" s="201" t="s">
        <v>355</v>
      </c>
      <c r="E347" s="201" t="s">
        <v>367</v>
      </c>
      <c r="F347" s="201" t="s">
        <v>41</v>
      </c>
      <c r="G347" s="202">
        <v>3204</v>
      </c>
      <c r="H347" s="202"/>
      <c r="I347" s="202">
        <f>SUM(G347)+H347</f>
        <v>3204</v>
      </c>
      <c r="J347" s="206"/>
      <c r="K347" s="202"/>
      <c r="L347" s="206"/>
      <c r="M347" s="202">
        <f t="shared" ref="M347:O349" si="91">SUM(G347)</f>
        <v>3204</v>
      </c>
      <c r="N347" s="202">
        <f t="shared" si="91"/>
        <v>0</v>
      </c>
      <c r="O347" s="226">
        <f t="shared" si="91"/>
        <v>3204</v>
      </c>
      <c r="P347" s="226">
        <v>3203.5</v>
      </c>
      <c r="Q347" s="199">
        <f>SUM(P347/O347*100)</f>
        <v>99.984394506866408</v>
      </c>
      <c r="R347" s="200"/>
      <c r="S347" s="200"/>
    </row>
    <row r="348" spans="1:19" s="197" customFormat="1" ht="56.25" x14ac:dyDescent="0.25">
      <c r="A348" s="285"/>
      <c r="B348" s="207" t="s">
        <v>368</v>
      </c>
      <c r="C348" s="198">
        <v>992</v>
      </c>
      <c r="D348" s="201" t="s">
        <v>355</v>
      </c>
      <c r="E348" s="211" t="s">
        <v>369</v>
      </c>
      <c r="F348" s="201"/>
      <c r="G348" s="202">
        <v>583.6</v>
      </c>
      <c r="H348" s="202"/>
      <c r="I348" s="202">
        <f>SUM(G348)+H348</f>
        <v>583.6</v>
      </c>
      <c r="J348" s="206"/>
      <c r="K348" s="202"/>
      <c r="L348" s="206"/>
      <c r="M348" s="202">
        <f t="shared" si="91"/>
        <v>583.6</v>
      </c>
      <c r="N348" s="202">
        <f t="shared" si="91"/>
        <v>0</v>
      </c>
      <c r="O348" s="226">
        <f t="shared" si="91"/>
        <v>583.6</v>
      </c>
      <c r="P348" s="226">
        <v>583.5</v>
      </c>
      <c r="Q348" s="199">
        <f t="shared" ref="Q348:Q355" si="92">SUM(P348/O348*100)</f>
        <v>99.982864976010973</v>
      </c>
      <c r="R348" s="200"/>
      <c r="S348" s="200"/>
    </row>
    <row r="349" spans="1:19" s="197" customFormat="1" ht="75" x14ac:dyDescent="0.25">
      <c r="A349" s="285"/>
      <c r="B349" s="198" t="s">
        <v>40</v>
      </c>
      <c r="C349" s="198">
        <v>992</v>
      </c>
      <c r="D349" s="201" t="s">
        <v>355</v>
      </c>
      <c r="E349" s="211" t="s">
        <v>369</v>
      </c>
      <c r="F349" s="201">
        <v>200</v>
      </c>
      <c r="G349" s="202">
        <v>583.6</v>
      </c>
      <c r="H349" s="202"/>
      <c r="I349" s="202">
        <f>SUM(G349)+H349</f>
        <v>583.6</v>
      </c>
      <c r="J349" s="206"/>
      <c r="K349" s="202"/>
      <c r="L349" s="206"/>
      <c r="M349" s="202">
        <f t="shared" si="91"/>
        <v>583.6</v>
      </c>
      <c r="N349" s="202">
        <f t="shared" si="91"/>
        <v>0</v>
      </c>
      <c r="O349" s="226">
        <f t="shared" si="91"/>
        <v>583.6</v>
      </c>
      <c r="P349" s="226">
        <v>583.5</v>
      </c>
      <c r="Q349" s="199">
        <f t="shared" si="92"/>
        <v>99.982864976010973</v>
      </c>
      <c r="R349" s="200"/>
      <c r="S349" s="200"/>
    </row>
    <row r="350" spans="1:19" s="197" customFormat="1" ht="56.25" x14ac:dyDescent="0.25">
      <c r="A350" s="285"/>
      <c r="B350" s="210" t="s">
        <v>585</v>
      </c>
      <c r="C350" s="210" t="s">
        <v>51</v>
      </c>
      <c r="D350" s="211" t="s">
        <v>355</v>
      </c>
      <c r="E350" s="211" t="s">
        <v>584</v>
      </c>
      <c r="F350" s="211"/>
      <c r="G350" s="202"/>
      <c r="H350" s="202">
        <f t="shared" ref="H350:P350" si="93">H351</f>
        <v>0</v>
      </c>
      <c r="I350" s="202">
        <f t="shared" si="93"/>
        <v>0</v>
      </c>
      <c r="J350" s="206">
        <f t="shared" si="93"/>
        <v>3070</v>
      </c>
      <c r="K350" s="202">
        <f t="shared" si="93"/>
        <v>0</v>
      </c>
      <c r="L350" s="206">
        <f t="shared" si="93"/>
        <v>3070</v>
      </c>
      <c r="M350" s="202">
        <f t="shared" si="93"/>
        <v>3070</v>
      </c>
      <c r="N350" s="202">
        <f t="shared" si="93"/>
        <v>0</v>
      </c>
      <c r="O350" s="226">
        <f t="shared" si="93"/>
        <v>3070</v>
      </c>
      <c r="P350" s="226">
        <f t="shared" si="93"/>
        <v>3070</v>
      </c>
      <c r="Q350" s="199">
        <f t="shared" si="92"/>
        <v>100</v>
      </c>
      <c r="R350" s="200"/>
      <c r="S350" s="200"/>
    </row>
    <row r="351" spans="1:19" s="197" customFormat="1" ht="75" x14ac:dyDescent="0.25">
      <c r="A351" s="285"/>
      <c r="B351" s="198" t="s">
        <v>40</v>
      </c>
      <c r="C351" s="210" t="s">
        <v>51</v>
      </c>
      <c r="D351" s="211" t="s">
        <v>355</v>
      </c>
      <c r="E351" s="211" t="s">
        <v>584</v>
      </c>
      <c r="F351" s="211" t="s">
        <v>41</v>
      </c>
      <c r="G351" s="202"/>
      <c r="H351" s="202"/>
      <c r="I351" s="202">
        <f>SUM(G351:H351)</f>
        <v>0</v>
      </c>
      <c r="J351" s="206">
        <v>3070</v>
      </c>
      <c r="K351" s="202"/>
      <c r="L351" s="206">
        <f>SUM(J351:K351)</f>
        <v>3070</v>
      </c>
      <c r="M351" s="202">
        <f>G351+J351</f>
        <v>3070</v>
      </c>
      <c r="N351" s="202">
        <f>H351+K351</f>
        <v>0</v>
      </c>
      <c r="O351" s="226">
        <f>I351+L351</f>
        <v>3070</v>
      </c>
      <c r="P351" s="226">
        <v>3070</v>
      </c>
      <c r="Q351" s="199">
        <f t="shared" si="92"/>
        <v>100</v>
      </c>
      <c r="R351" s="200"/>
      <c r="S351" s="200"/>
    </row>
    <row r="352" spans="1:19" s="197" customFormat="1" ht="58.5" customHeight="1" x14ac:dyDescent="0.25">
      <c r="A352" s="285"/>
      <c r="B352" s="198" t="s">
        <v>370</v>
      </c>
      <c r="C352" s="198" t="s">
        <v>51</v>
      </c>
      <c r="D352" s="201" t="s">
        <v>355</v>
      </c>
      <c r="E352" s="201" t="s">
        <v>371</v>
      </c>
      <c r="F352" s="201" t="s">
        <v>11</v>
      </c>
      <c r="G352" s="202">
        <f>G353</f>
        <v>6053.5</v>
      </c>
      <c r="H352" s="202">
        <f>SUM(H353)</f>
        <v>-240</v>
      </c>
      <c r="I352" s="202">
        <f>I353</f>
        <v>5813.5</v>
      </c>
      <c r="J352" s="202">
        <f>J353</f>
        <v>0</v>
      </c>
      <c r="K352" s="202"/>
      <c r="L352" s="202">
        <f>L353</f>
        <v>0</v>
      </c>
      <c r="M352" s="202">
        <f>M353</f>
        <v>6053.5</v>
      </c>
      <c r="N352" s="202">
        <f>N353</f>
        <v>-240</v>
      </c>
      <c r="O352" s="226">
        <f>O353</f>
        <v>5813.5</v>
      </c>
      <c r="P352" s="226">
        <f>P353</f>
        <v>4733.1000000000004</v>
      </c>
      <c r="Q352" s="199">
        <f t="shared" si="92"/>
        <v>81.415670422292948</v>
      </c>
      <c r="R352" s="200"/>
      <c r="S352" s="200"/>
    </row>
    <row r="353" spans="1:19" s="197" customFormat="1" ht="75" x14ac:dyDescent="0.25">
      <c r="A353" s="285"/>
      <c r="B353" s="198" t="s">
        <v>40</v>
      </c>
      <c r="C353" s="198" t="s">
        <v>51</v>
      </c>
      <c r="D353" s="201" t="s">
        <v>355</v>
      </c>
      <c r="E353" s="201" t="s">
        <v>371</v>
      </c>
      <c r="F353" s="201" t="s">
        <v>41</v>
      </c>
      <c r="G353" s="202">
        <v>6053.5</v>
      </c>
      <c r="H353" s="202">
        <v>-240</v>
      </c>
      <c r="I353" s="202">
        <f>H353+G353</f>
        <v>5813.5</v>
      </c>
      <c r="J353" s="206"/>
      <c r="K353" s="202"/>
      <c r="L353" s="206"/>
      <c r="M353" s="202">
        <f>SUM(G353)</f>
        <v>6053.5</v>
      </c>
      <c r="N353" s="202">
        <f>SUM(H353)</f>
        <v>-240</v>
      </c>
      <c r="O353" s="226">
        <f>SUM(I353)</f>
        <v>5813.5</v>
      </c>
      <c r="P353" s="226">
        <v>4733.1000000000004</v>
      </c>
      <c r="Q353" s="199">
        <f t="shared" si="92"/>
        <v>81.415670422292948</v>
      </c>
      <c r="R353" s="200"/>
      <c r="S353" s="200"/>
    </row>
    <row r="354" spans="1:19" s="197" customFormat="1" ht="81" customHeight="1" x14ac:dyDescent="0.25">
      <c r="A354" s="285"/>
      <c r="B354" s="198" t="s">
        <v>372</v>
      </c>
      <c r="C354" s="198" t="s">
        <v>51</v>
      </c>
      <c r="D354" s="201" t="s">
        <v>355</v>
      </c>
      <c r="E354" s="201" t="s">
        <v>373</v>
      </c>
      <c r="F354" s="201" t="s">
        <v>11</v>
      </c>
      <c r="G354" s="202">
        <f>G355</f>
        <v>12435.4</v>
      </c>
      <c r="H354" s="202">
        <f>SUM(H355)</f>
        <v>480</v>
      </c>
      <c r="I354" s="202">
        <f>I355</f>
        <v>12915.4</v>
      </c>
      <c r="J354" s="202">
        <f>J355</f>
        <v>0</v>
      </c>
      <c r="K354" s="202">
        <f>SUM(K355)</f>
        <v>0</v>
      </c>
      <c r="L354" s="202">
        <f>L355</f>
        <v>0</v>
      </c>
      <c r="M354" s="202">
        <f>M355</f>
        <v>12435.4</v>
      </c>
      <c r="N354" s="202">
        <f>N355</f>
        <v>480</v>
      </c>
      <c r="O354" s="226">
        <f>SUM(M354+N354)</f>
        <v>12915.4</v>
      </c>
      <c r="P354" s="226">
        <v>12448.3</v>
      </c>
      <c r="Q354" s="199">
        <f t="shared" si="92"/>
        <v>96.38338727410688</v>
      </c>
      <c r="R354" s="200"/>
      <c r="S354" s="200"/>
    </row>
    <row r="355" spans="1:19" s="197" customFormat="1" ht="35.25" customHeight="1" x14ac:dyDescent="0.25">
      <c r="A355" s="285"/>
      <c r="B355" s="198" t="s">
        <v>40</v>
      </c>
      <c r="C355" s="198" t="s">
        <v>51</v>
      </c>
      <c r="D355" s="201" t="s">
        <v>355</v>
      </c>
      <c r="E355" s="201" t="s">
        <v>373</v>
      </c>
      <c r="F355" s="201" t="s">
        <v>41</v>
      </c>
      <c r="G355" s="202">
        <v>12435.4</v>
      </c>
      <c r="H355" s="202">
        <f>500-50+480-450</f>
        <v>480</v>
      </c>
      <c r="I355" s="202">
        <f>SUM(G355)+H355</f>
        <v>12915.4</v>
      </c>
      <c r="J355" s="206">
        <v>0</v>
      </c>
      <c r="K355" s="202"/>
      <c r="L355" s="206">
        <f>SUM(K355)</f>
        <v>0</v>
      </c>
      <c r="M355" s="202">
        <f>SUM(G355)</f>
        <v>12435.4</v>
      </c>
      <c r="N355" s="202">
        <f>SUM(H355)</f>
        <v>480</v>
      </c>
      <c r="O355" s="226">
        <f>SUM(I355)</f>
        <v>12915.4</v>
      </c>
      <c r="P355" s="226">
        <v>12448.3</v>
      </c>
      <c r="Q355" s="199">
        <f t="shared" si="92"/>
        <v>96.38338727410688</v>
      </c>
      <c r="R355" s="200"/>
      <c r="S355" s="200"/>
    </row>
    <row r="356" spans="1:19" s="197" customFormat="1" ht="18.75" hidden="1" customHeight="1" x14ac:dyDescent="0.25">
      <c r="A356" s="285"/>
      <c r="B356" s="198"/>
      <c r="C356" s="198"/>
      <c r="D356" s="201"/>
      <c r="E356" s="201"/>
      <c r="F356" s="201"/>
      <c r="G356" s="202"/>
      <c r="H356" s="202"/>
      <c r="I356" s="202"/>
      <c r="J356" s="206"/>
      <c r="K356" s="202">
        <v>4251.8</v>
      </c>
      <c r="L356" s="206">
        <f>SUM(K356)</f>
        <v>4251.8</v>
      </c>
      <c r="M356" s="202"/>
      <c r="N356" s="202">
        <f t="shared" ref="N356:O359" si="94">SUM(K356)</f>
        <v>4251.8</v>
      </c>
      <c r="O356" s="226">
        <f t="shared" si="94"/>
        <v>4251.8</v>
      </c>
      <c r="P356" s="226"/>
      <c r="Q356" s="199">
        <f t="shared" si="80"/>
        <v>94.742544163230903</v>
      </c>
      <c r="R356" s="200"/>
      <c r="S356" s="200"/>
    </row>
    <row r="357" spans="1:19" s="197" customFormat="1" ht="18.75" hidden="1" customHeight="1" x14ac:dyDescent="0.25">
      <c r="A357" s="285"/>
      <c r="B357" s="198"/>
      <c r="C357" s="198"/>
      <c r="D357" s="201"/>
      <c r="E357" s="201"/>
      <c r="F357" s="201">
        <v>200</v>
      </c>
      <c r="G357" s="202"/>
      <c r="H357" s="202"/>
      <c r="I357" s="202"/>
      <c r="J357" s="206"/>
      <c r="K357" s="202">
        <v>4251.8</v>
      </c>
      <c r="L357" s="206">
        <f>SUM(K357)</f>
        <v>4251.8</v>
      </c>
      <c r="M357" s="202"/>
      <c r="N357" s="202">
        <f t="shared" si="94"/>
        <v>4251.8</v>
      </c>
      <c r="O357" s="226">
        <f t="shared" si="94"/>
        <v>4251.8</v>
      </c>
      <c r="P357" s="226"/>
      <c r="Q357" s="199">
        <f t="shared" si="80"/>
        <v>99.984394506866408</v>
      </c>
      <c r="R357" s="200"/>
      <c r="S357" s="200"/>
    </row>
    <row r="358" spans="1:19" s="197" customFormat="1" ht="18.75" hidden="1" customHeight="1" x14ac:dyDescent="0.25">
      <c r="A358" s="285"/>
      <c r="B358" s="198"/>
      <c r="C358" s="198"/>
      <c r="D358" s="201"/>
      <c r="E358" s="201"/>
      <c r="F358" s="201"/>
      <c r="G358" s="202"/>
      <c r="H358" s="202"/>
      <c r="I358" s="202"/>
      <c r="J358" s="206"/>
      <c r="K358" s="202">
        <v>5</v>
      </c>
      <c r="L358" s="206">
        <f>SUM(K358)</f>
        <v>5</v>
      </c>
      <c r="M358" s="202"/>
      <c r="N358" s="202">
        <f t="shared" si="94"/>
        <v>5</v>
      </c>
      <c r="O358" s="226">
        <f t="shared" si="94"/>
        <v>5</v>
      </c>
      <c r="P358" s="226"/>
      <c r="Q358" s="199">
        <f t="shared" ref="Q358:Q418" si="95">P347/O347*100</f>
        <v>99.984394506866408</v>
      </c>
      <c r="R358" s="200"/>
      <c r="S358" s="200"/>
    </row>
    <row r="359" spans="1:19" s="197" customFormat="1" ht="18.75" hidden="1" customHeight="1" x14ac:dyDescent="0.25">
      <c r="A359" s="285"/>
      <c r="B359" s="198"/>
      <c r="C359" s="198"/>
      <c r="D359" s="201"/>
      <c r="E359" s="201"/>
      <c r="F359" s="201">
        <v>200</v>
      </c>
      <c r="G359" s="202"/>
      <c r="H359" s="202"/>
      <c r="I359" s="202"/>
      <c r="J359" s="206"/>
      <c r="K359" s="202">
        <v>5</v>
      </c>
      <c r="L359" s="206">
        <f>SUM(K359)</f>
        <v>5</v>
      </c>
      <c r="M359" s="202"/>
      <c r="N359" s="202">
        <f t="shared" si="94"/>
        <v>5</v>
      </c>
      <c r="O359" s="226">
        <f t="shared" si="94"/>
        <v>5</v>
      </c>
      <c r="P359" s="226"/>
      <c r="Q359" s="199">
        <f t="shared" si="95"/>
        <v>99.982864976010973</v>
      </c>
      <c r="R359" s="200"/>
      <c r="S359" s="200"/>
    </row>
    <row r="360" spans="1:19" s="197" customFormat="1" ht="141" customHeight="1" x14ac:dyDescent="0.25">
      <c r="A360" s="285"/>
      <c r="B360" s="207" t="s">
        <v>572</v>
      </c>
      <c r="C360" s="198">
        <v>992</v>
      </c>
      <c r="D360" s="201" t="s">
        <v>355</v>
      </c>
      <c r="E360" s="211" t="s">
        <v>573</v>
      </c>
      <c r="F360" s="201"/>
      <c r="G360" s="202">
        <v>0</v>
      </c>
      <c r="H360" s="202">
        <f>SUM(H361)</f>
        <v>0</v>
      </c>
      <c r="I360" s="202">
        <f>SUM(G360)</f>
        <v>0</v>
      </c>
      <c r="J360" s="206">
        <v>2500.4</v>
      </c>
      <c r="K360" s="202"/>
      <c r="L360" s="202">
        <f>SUM(L361)</f>
        <v>2500.4</v>
      </c>
      <c r="M360" s="202">
        <f>SUM(G360+J360)</f>
        <v>2500.4</v>
      </c>
      <c r="N360" s="202">
        <f t="shared" ref="N360:O363" si="96">SUM(K360)+H360</f>
        <v>0</v>
      </c>
      <c r="O360" s="226">
        <f t="shared" si="96"/>
        <v>2500.4</v>
      </c>
      <c r="P360" s="226">
        <v>2500.4</v>
      </c>
      <c r="Q360" s="199">
        <f>P360/O360*100</f>
        <v>100</v>
      </c>
      <c r="R360" s="200"/>
      <c r="S360" s="200"/>
    </row>
    <row r="361" spans="1:19" s="197" customFormat="1" ht="81.75" customHeight="1" x14ac:dyDescent="0.25">
      <c r="A361" s="285"/>
      <c r="B361" s="198" t="s">
        <v>40</v>
      </c>
      <c r="C361" s="198">
        <v>992</v>
      </c>
      <c r="D361" s="201" t="s">
        <v>355</v>
      </c>
      <c r="E361" s="211" t="s">
        <v>573</v>
      </c>
      <c r="F361" s="201">
        <v>200</v>
      </c>
      <c r="G361" s="202">
        <v>0</v>
      </c>
      <c r="H361" s="202"/>
      <c r="I361" s="202">
        <f>SUM(G361)</f>
        <v>0</v>
      </c>
      <c r="J361" s="206">
        <v>2500.4</v>
      </c>
      <c r="K361" s="202"/>
      <c r="L361" s="206">
        <v>2500.4</v>
      </c>
      <c r="M361" s="202">
        <f>SUM(G361+J361)</f>
        <v>2500.4</v>
      </c>
      <c r="N361" s="202">
        <f t="shared" si="96"/>
        <v>0</v>
      </c>
      <c r="O361" s="226">
        <f t="shared" si="96"/>
        <v>2500.4</v>
      </c>
      <c r="P361" s="226">
        <v>2500.4</v>
      </c>
      <c r="Q361" s="199">
        <f>P361/O361*100</f>
        <v>100</v>
      </c>
      <c r="R361" s="200"/>
      <c r="S361" s="200"/>
    </row>
    <row r="362" spans="1:19" s="197" customFormat="1" ht="37.5" customHeight="1" x14ac:dyDescent="0.25">
      <c r="A362" s="285"/>
      <c r="B362" s="198" t="s">
        <v>575</v>
      </c>
      <c r="C362" s="198">
        <v>992</v>
      </c>
      <c r="D362" s="201" t="s">
        <v>355</v>
      </c>
      <c r="E362" s="211" t="s">
        <v>574</v>
      </c>
      <c r="F362" s="201"/>
      <c r="G362" s="202"/>
      <c r="H362" s="202"/>
      <c r="I362" s="202">
        <f>SUM(H362)</f>
        <v>0</v>
      </c>
      <c r="J362" s="206">
        <v>4251.8</v>
      </c>
      <c r="K362" s="202"/>
      <c r="L362" s="206">
        <f>SUM(J362)</f>
        <v>4251.8</v>
      </c>
      <c r="M362" s="202">
        <f>SUM(J362)</f>
        <v>4251.8</v>
      </c>
      <c r="N362" s="202">
        <f t="shared" si="96"/>
        <v>0</v>
      </c>
      <c r="O362" s="226">
        <f t="shared" si="96"/>
        <v>4251.8</v>
      </c>
      <c r="P362" s="226">
        <v>4251.8</v>
      </c>
      <c r="Q362" s="199">
        <f t="shared" si="95"/>
        <v>100</v>
      </c>
      <c r="R362" s="200"/>
      <c r="S362" s="200"/>
    </row>
    <row r="363" spans="1:19" s="197" customFormat="1" ht="79.5" customHeight="1" x14ac:dyDescent="0.25">
      <c r="A363" s="285"/>
      <c r="B363" s="198" t="s">
        <v>40</v>
      </c>
      <c r="C363" s="198">
        <v>992</v>
      </c>
      <c r="D363" s="201" t="s">
        <v>355</v>
      </c>
      <c r="E363" s="211" t="s">
        <v>574</v>
      </c>
      <c r="F363" s="201">
        <v>200</v>
      </c>
      <c r="G363" s="202"/>
      <c r="H363" s="202"/>
      <c r="I363" s="202">
        <f>SUM(H363)</f>
        <v>0</v>
      </c>
      <c r="J363" s="206">
        <v>4251.8</v>
      </c>
      <c r="K363" s="202"/>
      <c r="L363" s="206">
        <f>SUM(J363)</f>
        <v>4251.8</v>
      </c>
      <c r="M363" s="202">
        <f>SUM(J363)</f>
        <v>4251.8</v>
      </c>
      <c r="N363" s="202">
        <f t="shared" si="96"/>
        <v>0</v>
      </c>
      <c r="O363" s="226">
        <f t="shared" si="96"/>
        <v>4251.8</v>
      </c>
      <c r="P363" s="226">
        <v>4251.8</v>
      </c>
      <c r="Q363" s="199">
        <f>SUM(P363/O363*100)</f>
        <v>100</v>
      </c>
      <c r="R363" s="200"/>
      <c r="S363" s="200"/>
    </row>
    <row r="364" spans="1:19" s="197" customFormat="1" ht="236.25" customHeight="1" x14ac:dyDescent="0.25">
      <c r="A364" s="285"/>
      <c r="B364" s="207" t="s">
        <v>598</v>
      </c>
      <c r="C364" s="198">
        <v>992</v>
      </c>
      <c r="D364" s="211" t="s">
        <v>355</v>
      </c>
      <c r="E364" s="201" t="s">
        <v>550</v>
      </c>
      <c r="F364" s="201"/>
      <c r="G364" s="202">
        <f>SUM(G365)</f>
        <v>66.400000000000006</v>
      </c>
      <c r="H364" s="202">
        <f>SUM(H365)</f>
        <v>0</v>
      </c>
      <c r="I364" s="202">
        <f>SUM(G364)</f>
        <v>66.400000000000006</v>
      </c>
      <c r="J364" s="206">
        <f>SUM(J365)</f>
        <v>1260</v>
      </c>
      <c r="K364" s="202">
        <f>SUM(K365)</f>
        <v>0</v>
      </c>
      <c r="L364" s="202">
        <f>SUM(L365)</f>
        <v>1260</v>
      </c>
      <c r="M364" s="202">
        <f t="shared" ref="M364:O365" si="97">SUM(G364+J364)</f>
        <v>1326.4</v>
      </c>
      <c r="N364" s="202">
        <f t="shared" si="97"/>
        <v>0</v>
      </c>
      <c r="O364" s="226">
        <f t="shared" si="97"/>
        <v>1326.4</v>
      </c>
      <c r="P364" s="226">
        <v>1326.4</v>
      </c>
      <c r="Q364" s="199">
        <f>SUM(P364/O364*100)</f>
        <v>100</v>
      </c>
      <c r="R364" s="200"/>
      <c r="S364" s="200"/>
    </row>
    <row r="365" spans="1:19" s="197" customFormat="1" ht="75" x14ac:dyDescent="0.25">
      <c r="A365" s="285"/>
      <c r="B365" s="198" t="s">
        <v>40</v>
      </c>
      <c r="C365" s="198">
        <v>992</v>
      </c>
      <c r="D365" s="201" t="s">
        <v>355</v>
      </c>
      <c r="E365" s="201" t="s">
        <v>550</v>
      </c>
      <c r="F365" s="201">
        <v>200</v>
      </c>
      <c r="G365" s="202">
        <v>66.400000000000006</v>
      </c>
      <c r="H365" s="202">
        <f>SUM(H368)</f>
        <v>0</v>
      </c>
      <c r="I365" s="202">
        <f>SUM(G365)</f>
        <v>66.400000000000006</v>
      </c>
      <c r="J365" s="206">
        <v>1260</v>
      </c>
      <c r="K365" s="202"/>
      <c r="L365" s="206">
        <f>SUM(J365)</f>
        <v>1260</v>
      </c>
      <c r="M365" s="202">
        <f t="shared" si="97"/>
        <v>1326.4</v>
      </c>
      <c r="N365" s="202">
        <f t="shared" si="97"/>
        <v>0</v>
      </c>
      <c r="O365" s="226">
        <f t="shared" si="97"/>
        <v>1326.4</v>
      </c>
      <c r="P365" s="226">
        <v>1326.4</v>
      </c>
      <c r="Q365" s="199">
        <f>SUM(P365/O365*100)</f>
        <v>100</v>
      </c>
      <c r="R365" s="200"/>
      <c r="S365" s="200"/>
    </row>
    <row r="366" spans="1:19" s="197" customFormat="1" ht="37.5" x14ac:dyDescent="0.25">
      <c r="A366" s="285"/>
      <c r="B366" s="246" t="s">
        <v>247</v>
      </c>
      <c r="C366" s="198">
        <v>992</v>
      </c>
      <c r="D366" s="201" t="s">
        <v>355</v>
      </c>
      <c r="E366" s="211" t="s">
        <v>248</v>
      </c>
      <c r="F366" s="201"/>
      <c r="G366" s="202">
        <f>SUM(G369)</f>
        <v>3350</v>
      </c>
      <c r="H366" s="202">
        <f>SUM(H367)</f>
        <v>0</v>
      </c>
      <c r="I366" s="202">
        <f>SUM(I369)</f>
        <v>3350</v>
      </c>
      <c r="J366" s="206"/>
      <c r="K366" s="202"/>
      <c r="L366" s="206"/>
      <c r="M366" s="202">
        <f t="shared" ref="M366:O367" si="98">SUM(G366)</f>
        <v>3350</v>
      </c>
      <c r="N366" s="202">
        <f t="shared" si="98"/>
        <v>0</v>
      </c>
      <c r="O366" s="226">
        <f t="shared" si="98"/>
        <v>3350</v>
      </c>
      <c r="P366" s="226">
        <v>3222.1</v>
      </c>
      <c r="Q366" s="199">
        <f>P366/O366*100</f>
        <v>96.182089552238807</v>
      </c>
      <c r="R366" s="200"/>
      <c r="S366" s="200"/>
    </row>
    <row r="367" spans="1:19" s="197" customFormat="1" ht="114.75" customHeight="1" x14ac:dyDescent="0.25">
      <c r="A367" s="285"/>
      <c r="B367" s="246" t="s">
        <v>569</v>
      </c>
      <c r="C367" s="198">
        <v>992</v>
      </c>
      <c r="D367" s="201" t="s">
        <v>355</v>
      </c>
      <c r="E367" s="211" t="s">
        <v>567</v>
      </c>
      <c r="F367" s="201"/>
      <c r="G367" s="202">
        <f>SUM(G369)</f>
        <v>3350</v>
      </c>
      <c r="H367" s="202">
        <f>SUM(H369)</f>
        <v>0</v>
      </c>
      <c r="I367" s="202">
        <f>SUM(I369)</f>
        <v>3350</v>
      </c>
      <c r="J367" s="206"/>
      <c r="K367" s="202"/>
      <c r="L367" s="206"/>
      <c r="M367" s="202">
        <f t="shared" si="98"/>
        <v>3350</v>
      </c>
      <c r="N367" s="202">
        <f t="shared" si="98"/>
        <v>0</v>
      </c>
      <c r="O367" s="226">
        <f t="shared" si="98"/>
        <v>3350</v>
      </c>
      <c r="P367" s="226">
        <v>3222.1</v>
      </c>
      <c r="Q367" s="199">
        <f>SUM(P367/O367*100)</f>
        <v>96.182089552238807</v>
      </c>
      <c r="R367" s="200"/>
      <c r="S367" s="200"/>
    </row>
    <row r="368" spans="1:19" s="197" customFormat="1" ht="0.75" hidden="1" customHeight="1" x14ac:dyDescent="0.25">
      <c r="A368" s="285"/>
      <c r="B368" s="246"/>
      <c r="C368" s="198"/>
      <c r="D368" s="201"/>
      <c r="E368" s="211"/>
      <c r="F368" s="201"/>
      <c r="G368" s="202"/>
      <c r="H368" s="202"/>
      <c r="I368" s="202"/>
      <c r="J368" s="206"/>
      <c r="K368" s="202"/>
      <c r="L368" s="206"/>
      <c r="M368" s="202"/>
      <c r="N368" s="202"/>
      <c r="O368" s="226"/>
      <c r="P368" s="226"/>
      <c r="Q368" s="199">
        <f t="shared" si="95"/>
        <v>0</v>
      </c>
      <c r="R368" s="200"/>
      <c r="S368" s="200"/>
    </row>
    <row r="369" spans="1:19" s="197" customFormat="1" ht="78" customHeight="1" x14ac:dyDescent="0.25">
      <c r="A369" s="285"/>
      <c r="B369" s="241" t="s">
        <v>570</v>
      </c>
      <c r="C369" s="198">
        <v>992</v>
      </c>
      <c r="D369" s="201" t="s">
        <v>355</v>
      </c>
      <c r="E369" s="211" t="s">
        <v>568</v>
      </c>
      <c r="F369" s="201"/>
      <c r="G369" s="202">
        <f>SUM(G370)</f>
        <v>3350</v>
      </c>
      <c r="H369" s="202">
        <f>SUM(H370)</f>
        <v>0</v>
      </c>
      <c r="I369" s="202">
        <f>SUM(G369)+H369</f>
        <v>3350</v>
      </c>
      <c r="J369" s="206"/>
      <c r="K369" s="202"/>
      <c r="L369" s="206"/>
      <c r="M369" s="202">
        <f t="shared" ref="M369:O370" si="99">SUM(G369)</f>
        <v>3350</v>
      </c>
      <c r="N369" s="202">
        <f t="shared" si="99"/>
        <v>0</v>
      </c>
      <c r="O369" s="226">
        <f t="shared" si="99"/>
        <v>3350</v>
      </c>
      <c r="P369" s="226">
        <v>3222.1</v>
      </c>
      <c r="Q369" s="199">
        <f t="shared" ref="Q369:Q388" si="100">SUM(P369/O369*100)</f>
        <v>96.182089552238807</v>
      </c>
      <c r="R369" s="200"/>
      <c r="S369" s="200"/>
    </row>
    <row r="370" spans="1:19" s="197" customFormat="1" ht="27" customHeight="1" x14ac:dyDescent="0.25">
      <c r="A370" s="285"/>
      <c r="B370" s="198" t="s">
        <v>70</v>
      </c>
      <c r="C370" s="198">
        <v>992</v>
      </c>
      <c r="D370" s="201" t="s">
        <v>355</v>
      </c>
      <c r="E370" s="211" t="s">
        <v>568</v>
      </c>
      <c r="F370" s="201">
        <v>800</v>
      </c>
      <c r="G370" s="202">
        <v>3350</v>
      </c>
      <c r="H370" s="202"/>
      <c r="I370" s="202">
        <f>SUM(G370)+H370</f>
        <v>3350</v>
      </c>
      <c r="J370" s="206"/>
      <c r="K370" s="202"/>
      <c r="L370" s="206"/>
      <c r="M370" s="202">
        <f t="shared" si="99"/>
        <v>3350</v>
      </c>
      <c r="N370" s="202">
        <f t="shared" si="99"/>
        <v>0</v>
      </c>
      <c r="O370" s="226">
        <f t="shared" si="99"/>
        <v>3350</v>
      </c>
      <c r="P370" s="226">
        <v>3222.1</v>
      </c>
      <c r="Q370" s="199">
        <f t="shared" si="100"/>
        <v>96.182089552238807</v>
      </c>
      <c r="R370" s="200"/>
      <c r="S370" s="200"/>
    </row>
    <row r="371" spans="1:19" s="197" customFormat="1" ht="63" customHeight="1" x14ac:dyDescent="0.25">
      <c r="A371" s="285"/>
      <c r="B371" s="210" t="s">
        <v>218</v>
      </c>
      <c r="C371" s="210" t="s">
        <v>51</v>
      </c>
      <c r="D371" s="211" t="s">
        <v>355</v>
      </c>
      <c r="E371" s="211" t="s">
        <v>219</v>
      </c>
      <c r="F371" s="211"/>
      <c r="G371" s="202">
        <f>G372</f>
        <v>3623</v>
      </c>
      <c r="H371" s="202">
        <f t="shared" ref="H371:P371" si="101">H372</f>
        <v>-1137.5</v>
      </c>
      <c r="I371" s="202">
        <f t="shared" si="101"/>
        <v>2485.5</v>
      </c>
      <c r="J371" s="202">
        <f t="shared" si="101"/>
        <v>3300</v>
      </c>
      <c r="K371" s="202">
        <f t="shared" si="101"/>
        <v>-1842.4</v>
      </c>
      <c r="L371" s="202">
        <f t="shared" si="101"/>
        <v>1457.6</v>
      </c>
      <c r="M371" s="202">
        <f t="shared" si="101"/>
        <v>6923</v>
      </c>
      <c r="N371" s="202">
        <f t="shared" si="101"/>
        <v>-2979.9</v>
      </c>
      <c r="O371" s="226">
        <f t="shared" si="101"/>
        <v>3943.1</v>
      </c>
      <c r="P371" s="226">
        <f t="shared" si="101"/>
        <v>3499.5</v>
      </c>
      <c r="Q371" s="199">
        <f t="shared" si="100"/>
        <v>88.749968299054046</v>
      </c>
      <c r="R371" s="200"/>
      <c r="S371" s="200"/>
    </row>
    <row r="372" spans="1:19" s="197" customFormat="1" ht="37.5" x14ac:dyDescent="0.25">
      <c r="A372" s="285"/>
      <c r="B372" s="207" t="s">
        <v>374</v>
      </c>
      <c r="C372" s="198">
        <v>992</v>
      </c>
      <c r="D372" s="201" t="s">
        <v>355</v>
      </c>
      <c r="E372" s="211" t="s">
        <v>375</v>
      </c>
      <c r="F372" s="201"/>
      <c r="G372" s="202">
        <f t="shared" ref="G372:P374" si="102">G373</f>
        <v>3623</v>
      </c>
      <c r="H372" s="202">
        <f t="shared" si="102"/>
        <v>-1137.5</v>
      </c>
      <c r="I372" s="202">
        <f t="shared" si="102"/>
        <v>2485.5</v>
      </c>
      <c r="J372" s="206">
        <f t="shared" si="102"/>
        <v>3300</v>
      </c>
      <c r="K372" s="202">
        <f t="shared" si="102"/>
        <v>-1842.4</v>
      </c>
      <c r="L372" s="206">
        <f t="shared" si="102"/>
        <v>1457.6</v>
      </c>
      <c r="M372" s="202">
        <f t="shared" si="102"/>
        <v>6923</v>
      </c>
      <c r="N372" s="202">
        <f t="shared" si="102"/>
        <v>-2979.9</v>
      </c>
      <c r="O372" s="226">
        <f t="shared" si="102"/>
        <v>3943.1</v>
      </c>
      <c r="P372" s="226">
        <f t="shared" si="102"/>
        <v>3499.5</v>
      </c>
      <c r="Q372" s="199">
        <f t="shared" si="100"/>
        <v>88.749968299054046</v>
      </c>
      <c r="R372" s="200"/>
      <c r="S372" s="200"/>
    </row>
    <row r="373" spans="1:19" s="197" customFormat="1" ht="42.75" customHeight="1" x14ac:dyDescent="0.25">
      <c r="A373" s="285"/>
      <c r="B373" s="207" t="s">
        <v>376</v>
      </c>
      <c r="C373" s="198">
        <v>992</v>
      </c>
      <c r="D373" s="201" t="s">
        <v>355</v>
      </c>
      <c r="E373" s="211" t="s">
        <v>377</v>
      </c>
      <c r="F373" s="201"/>
      <c r="G373" s="202">
        <f t="shared" ref="G373:M373" si="103">G374+G376</f>
        <v>3623</v>
      </c>
      <c r="H373" s="202">
        <f t="shared" si="103"/>
        <v>-1137.5</v>
      </c>
      <c r="I373" s="202">
        <f t="shared" si="103"/>
        <v>2485.5</v>
      </c>
      <c r="J373" s="206">
        <f t="shared" si="103"/>
        <v>3300</v>
      </c>
      <c r="K373" s="202">
        <f t="shared" si="103"/>
        <v>-1842.4</v>
      </c>
      <c r="L373" s="206">
        <f t="shared" si="103"/>
        <v>1457.6</v>
      </c>
      <c r="M373" s="202">
        <f t="shared" si="103"/>
        <v>6923</v>
      </c>
      <c r="N373" s="202">
        <f>SUM(H373)+K373</f>
        <v>-2979.9</v>
      </c>
      <c r="O373" s="226">
        <f>O374+O376</f>
        <v>3943.1</v>
      </c>
      <c r="P373" s="226">
        <f>P374+P376</f>
        <v>3499.5</v>
      </c>
      <c r="Q373" s="199">
        <f t="shared" si="100"/>
        <v>88.749968299054046</v>
      </c>
      <c r="R373" s="200"/>
      <c r="S373" s="200"/>
    </row>
    <row r="374" spans="1:19" s="197" customFormat="1" ht="37.5" x14ac:dyDescent="0.25">
      <c r="A374" s="285"/>
      <c r="B374" s="207" t="s">
        <v>378</v>
      </c>
      <c r="C374" s="198">
        <v>992</v>
      </c>
      <c r="D374" s="201" t="s">
        <v>355</v>
      </c>
      <c r="E374" s="211" t="s">
        <v>379</v>
      </c>
      <c r="F374" s="201"/>
      <c r="G374" s="202">
        <f t="shared" si="102"/>
        <v>2059</v>
      </c>
      <c r="H374" s="202">
        <f t="shared" si="102"/>
        <v>0</v>
      </c>
      <c r="I374" s="202">
        <f t="shared" si="102"/>
        <v>2059</v>
      </c>
      <c r="J374" s="206">
        <f t="shared" si="102"/>
        <v>0</v>
      </c>
      <c r="K374" s="202"/>
      <c r="L374" s="206">
        <f t="shared" si="102"/>
        <v>0</v>
      </c>
      <c r="M374" s="202">
        <f t="shared" si="102"/>
        <v>2059</v>
      </c>
      <c r="N374" s="202">
        <f t="shared" si="102"/>
        <v>0</v>
      </c>
      <c r="O374" s="226">
        <f t="shared" si="102"/>
        <v>2059</v>
      </c>
      <c r="P374" s="226">
        <v>2041.8</v>
      </c>
      <c r="Q374" s="199">
        <f t="shared" si="100"/>
        <v>99.164643030597375</v>
      </c>
      <c r="R374" s="200"/>
      <c r="S374" s="200"/>
    </row>
    <row r="375" spans="1:19" s="197" customFormat="1" ht="75" x14ac:dyDescent="0.25">
      <c r="A375" s="285"/>
      <c r="B375" s="198" t="s">
        <v>40</v>
      </c>
      <c r="C375" s="198">
        <v>992</v>
      </c>
      <c r="D375" s="201" t="s">
        <v>355</v>
      </c>
      <c r="E375" s="211" t="s">
        <v>379</v>
      </c>
      <c r="F375" s="201">
        <v>200</v>
      </c>
      <c r="G375" s="202">
        <v>2059</v>
      </c>
      <c r="H375" s="202"/>
      <c r="I375" s="202">
        <f>SUM(G375)+H375</f>
        <v>2059</v>
      </c>
      <c r="J375" s="206">
        <v>0</v>
      </c>
      <c r="K375" s="202"/>
      <c r="L375" s="206">
        <f>SUM(K375)</f>
        <v>0</v>
      </c>
      <c r="M375" s="202">
        <f>SUM(G375)</f>
        <v>2059</v>
      </c>
      <c r="N375" s="202">
        <f>SUM(H375)+K375</f>
        <v>0</v>
      </c>
      <c r="O375" s="226">
        <f>SUM(I375)+L375</f>
        <v>2059</v>
      </c>
      <c r="P375" s="226">
        <v>2041.8</v>
      </c>
      <c r="Q375" s="199">
        <f t="shared" si="100"/>
        <v>99.164643030597375</v>
      </c>
      <c r="R375" s="200"/>
      <c r="S375" s="200"/>
    </row>
    <row r="376" spans="1:19" s="197" customFormat="1" ht="78" customHeight="1" x14ac:dyDescent="0.25">
      <c r="A376" s="285"/>
      <c r="B376" s="198" t="s">
        <v>372</v>
      </c>
      <c r="C376" s="198">
        <v>992</v>
      </c>
      <c r="D376" s="201" t="s">
        <v>355</v>
      </c>
      <c r="E376" s="211" t="s">
        <v>549</v>
      </c>
      <c r="F376" s="201"/>
      <c r="G376" s="202">
        <f>SUM(G377)</f>
        <v>1564</v>
      </c>
      <c r="H376" s="202">
        <f>SUM(H377)</f>
        <v>-1137.5</v>
      </c>
      <c r="I376" s="202">
        <f>SUM(G376)+H376</f>
        <v>426.5</v>
      </c>
      <c r="J376" s="206">
        <f>SUM(J377)</f>
        <v>3300</v>
      </c>
      <c r="K376" s="202">
        <f>SUM(K377)</f>
        <v>-1842.4</v>
      </c>
      <c r="L376" s="206">
        <f>3300+K376</f>
        <v>1457.6</v>
      </c>
      <c r="M376" s="202">
        <f t="shared" ref="M376:O377" si="104">SUM(G376+J376)</f>
        <v>4864</v>
      </c>
      <c r="N376" s="202">
        <f t="shared" si="104"/>
        <v>-2979.9</v>
      </c>
      <c r="O376" s="226">
        <f t="shared" si="104"/>
        <v>1884.1</v>
      </c>
      <c r="P376" s="226">
        <v>1457.7</v>
      </c>
      <c r="Q376" s="199">
        <f t="shared" si="100"/>
        <v>77.368504856430135</v>
      </c>
      <c r="R376" s="200"/>
      <c r="S376" s="200"/>
    </row>
    <row r="377" spans="1:19" s="197" customFormat="1" ht="75" x14ac:dyDescent="0.25">
      <c r="A377" s="285"/>
      <c r="B377" s="198" t="s">
        <v>40</v>
      </c>
      <c r="C377" s="198">
        <v>992</v>
      </c>
      <c r="D377" s="201" t="s">
        <v>355</v>
      </c>
      <c r="E377" s="211" t="s">
        <v>549</v>
      </c>
      <c r="F377" s="201">
        <v>200</v>
      </c>
      <c r="G377" s="202">
        <v>1564</v>
      </c>
      <c r="H377" s="202">
        <v>-1137.5</v>
      </c>
      <c r="I377" s="202">
        <f>SUM(G377)+H377</f>
        <v>426.5</v>
      </c>
      <c r="J377" s="206">
        <v>3300</v>
      </c>
      <c r="K377" s="202">
        <v>-1842.4</v>
      </c>
      <c r="L377" s="206">
        <f>3300+K377</f>
        <v>1457.6</v>
      </c>
      <c r="M377" s="202">
        <f t="shared" si="104"/>
        <v>4864</v>
      </c>
      <c r="N377" s="202">
        <f t="shared" si="104"/>
        <v>-2979.9</v>
      </c>
      <c r="O377" s="226">
        <f t="shared" si="104"/>
        <v>1884.1</v>
      </c>
      <c r="P377" s="226">
        <v>1457.7</v>
      </c>
      <c r="Q377" s="199">
        <f t="shared" si="100"/>
        <v>77.368504856430135</v>
      </c>
      <c r="R377" s="200"/>
      <c r="S377" s="200"/>
    </row>
    <row r="378" spans="1:19" s="197" customFormat="1" ht="99" customHeight="1" x14ac:dyDescent="0.25">
      <c r="A378" s="285"/>
      <c r="B378" s="198" t="s">
        <v>105</v>
      </c>
      <c r="C378" s="198" t="s">
        <v>51</v>
      </c>
      <c r="D378" s="201" t="s">
        <v>355</v>
      </c>
      <c r="E378" s="201" t="s">
        <v>106</v>
      </c>
      <c r="F378" s="201" t="s">
        <v>11</v>
      </c>
      <c r="G378" s="202">
        <f>G379</f>
        <v>300</v>
      </c>
      <c r="H378" s="202"/>
      <c r="I378" s="202">
        <f>I379</f>
        <v>300</v>
      </c>
      <c r="J378" s="202">
        <f t="shared" ref="G378:P381" si="105">J379</f>
        <v>600</v>
      </c>
      <c r="K378" s="202">
        <f>K379</f>
        <v>0</v>
      </c>
      <c r="L378" s="202">
        <f t="shared" si="105"/>
        <v>600</v>
      </c>
      <c r="M378" s="202">
        <f t="shared" si="105"/>
        <v>900</v>
      </c>
      <c r="N378" s="202">
        <f>SUM(K378)</f>
        <v>0</v>
      </c>
      <c r="O378" s="226">
        <f t="shared" si="105"/>
        <v>900</v>
      </c>
      <c r="P378" s="226">
        <f t="shared" si="105"/>
        <v>899.8</v>
      </c>
      <c r="Q378" s="199">
        <f t="shared" si="100"/>
        <v>99.977777777777774</v>
      </c>
      <c r="R378" s="200"/>
      <c r="S378" s="200"/>
    </row>
    <row r="379" spans="1:19" s="197" customFormat="1" ht="60" customHeight="1" x14ac:dyDescent="0.25">
      <c r="A379" s="285"/>
      <c r="B379" s="198" t="s">
        <v>107</v>
      </c>
      <c r="C379" s="198" t="s">
        <v>51</v>
      </c>
      <c r="D379" s="201" t="s">
        <v>355</v>
      </c>
      <c r="E379" s="201" t="s">
        <v>108</v>
      </c>
      <c r="F379" s="201" t="s">
        <v>11</v>
      </c>
      <c r="G379" s="202">
        <f t="shared" si="105"/>
        <v>300</v>
      </c>
      <c r="H379" s="202">
        <f t="shared" si="105"/>
        <v>0</v>
      </c>
      <c r="I379" s="202">
        <f t="shared" si="105"/>
        <v>300</v>
      </c>
      <c r="J379" s="202">
        <f t="shared" si="105"/>
        <v>600</v>
      </c>
      <c r="K379" s="202">
        <f>K380</f>
        <v>0</v>
      </c>
      <c r="L379" s="202">
        <f t="shared" si="105"/>
        <v>600</v>
      </c>
      <c r="M379" s="202">
        <f t="shared" si="105"/>
        <v>900</v>
      </c>
      <c r="N379" s="202">
        <f t="shared" si="105"/>
        <v>0</v>
      </c>
      <c r="O379" s="226">
        <f>N379+M379</f>
        <v>900</v>
      </c>
      <c r="P379" s="226">
        <f>SUM(P381+P383)</f>
        <v>899.8</v>
      </c>
      <c r="Q379" s="199">
        <f t="shared" si="100"/>
        <v>99.977777777777774</v>
      </c>
      <c r="R379" s="200"/>
      <c r="S379" s="200"/>
    </row>
    <row r="380" spans="1:19" s="197" customFormat="1" ht="76.5" customHeight="1" x14ac:dyDescent="0.25">
      <c r="A380" s="285"/>
      <c r="B380" s="198" t="s">
        <v>109</v>
      </c>
      <c r="C380" s="198" t="s">
        <v>51</v>
      </c>
      <c r="D380" s="201" t="s">
        <v>355</v>
      </c>
      <c r="E380" s="201" t="s">
        <v>110</v>
      </c>
      <c r="F380" s="201" t="s">
        <v>11</v>
      </c>
      <c r="G380" s="202">
        <f t="shared" si="105"/>
        <v>300</v>
      </c>
      <c r="H380" s="202">
        <f t="shared" si="105"/>
        <v>0</v>
      </c>
      <c r="I380" s="202">
        <f t="shared" si="105"/>
        <v>300</v>
      </c>
      <c r="J380" s="202">
        <f>J381+J383</f>
        <v>600</v>
      </c>
      <c r="K380" s="202">
        <f>K381+K383</f>
        <v>0</v>
      </c>
      <c r="L380" s="202">
        <f>L381+L383</f>
        <v>600</v>
      </c>
      <c r="M380" s="202">
        <f>M381+J380</f>
        <v>900</v>
      </c>
      <c r="N380" s="202">
        <f>SUM(K380)</f>
        <v>0</v>
      </c>
      <c r="O380" s="226">
        <f>O381+L380</f>
        <v>900</v>
      </c>
      <c r="P380" s="226">
        <f>SUM(P382+P384)</f>
        <v>899.8</v>
      </c>
      <c r="Q380" s="199">
        <f t="shared" si="100"/>
        <v>99.977777777777774</v>
      </c>
      <c r="R380" s="200"/>
      <c r="S380" s="200"/>
    </row>
    <row r="381" spans="1:19" s="197" customFormat="1" ht="81" customHeight="1" x14ac:dyDescent="0.25">
      <c r="A381" s="285"/>
      <c r="B381" s="198" t="s">
        <v>114</v>
      </c>
      <c r="C381" s="198" t="s">
        <v>51</v>
      </c>
      <c r="D381" s="201" t="s">
        <v>355</v>
      </c>
      <c r="E381" s="201" t="s">
        <v>115</v>
      </c>
      <c r="F381" s="201" t="s">
        <v>11</v>
      </c>
      <c r="G381" s="202">
        <f>G382</f>
        <v>300</v>
      </c>
      <c r="H381" s="202"/>
      <c r="I381" s="202">
        <f>I382</f>
        <v>300</v>
      </c>
      <c r="J381" s="202">
        <f t="shared" si="105"/>
        <v>0</v>
      </c>
      <c r="K381" s="202"/>
      <c r="L381" s="202">
        <f t="shared" si="105"/>
        <v>0</v>
      </c>
      <c r="M381" s="202">
        <f t="shared" si="105"/>
        <v>300</v>
      </c>
      <c r="N381" s="202">
        <f t="shared" si="105"/>
        <v>0</v>
      </c>
      <c r="O381" s="226">
        <f t="shared" si="105"/>
        <v>300</v>
      </c>
      <c r="P381" s="226">
        <v>299.8</v>
      </c>
      <c r="Q381" s="199">
        <f t="shared" si="100"/>
        <v>99.933333333333337</v>
      </c>
      <c r="R381" s="200"/>
      <c r="S381" s="200"/>
    </row>
    <row r="382" spans="1:19" s="197" customFormat="1" ht="75" x14ac:dyDescent="0.25">
      <c r="A382" s="285"/>
      <c r="B382" s="198" t="s">
        <v>40</v>
      </c>
      <c r="C382" s="198" t="s">
        <v>51</v>
      </c>
      <c r="D382" s="201" t="s">
        <v>355</v>
      </c>
      <c r="E382" s="201" t="s">
        <v>115</v>
      </c>
      <c r="F382" s="201" t="s">
        <v>41</v>
      </c>
      <c r="G382" s="202">
        <v>300</v>
      </c>
      <c r="H382" s="202"/>
      <c r="I382" s="202">
        <v>300</v>
      </c>
      <c r="J382" s="206">
        <v>0</v>
      </c>
      <c r="K382" s="202"/>
      <c r="L382" s="206">
        <v>0</v>
      </c>
      <c r="M382" s="202">
        <v>300</v>
      </c>
      <c r="N382" s="202"/>
      <c r="O382" s="226">
        <v>300</v>
      </c>
      <c r="P382" s="226">
        <v>299.8</v>
      </c>
      <c r="Q382" s="199">
        <f t="shared" si="100"/>
        <v>99.933333333333337</v>
      </c>
      <c r="R382" s="200"/>
      <c r="S382" s="200"/>
    </row>
    <row r="383" spans="1:19" s="197" customFormat="1" ht="97.5" customHeight="1" x14ac:dyDescent="0.25">
      <c r="A383" s="285"/>
      <c r="B383" s="198" t="s">
        <v>566</v>
      </c>
      <c r="C383" s="198">
        <v>992</v>
      </c>
      <c r="D383" s="201" t="s">
        <v>355</v>
      </c>
      <c r="E383" s="201">
        <v>1010160390</v>
      </c>
      <c r="F383" s="201"/>
      <c r="G383" s="202"/>
      <c r="H383" s="202"/>
      <c r="I383" s="202"/>
      <c r="J383" s="206">
        <v>600</v>
      </c>
      <c r="K383" s="202">
        <f>SUM(K384)</f>
        <v>0</v>
      </c>
      <c r="L383" s="202">
        <f>SUM(L384)</f>
        <v>600</v>
      </c>
      <c r="M383" s="202">
        <f t="shared" ref="M383:P384" si="106">SUM(J383)</f>
        <v>600</v>
      </c>
      <c r="N383" s="202">
        <f t="shared" si="106"/>
        <v>0</v>
      </c>
      <c r="O383" s="226">
        <f t="shared" si="106"/>
        <v>600</v>
      </c>
      <c r="P383" s="226">
        <f t="shared" si="106"/>
        <v>600</v>
      </c>
      <c r="Q383" s="199">
        <f t="shared" si="100"/>
        <v>100</v>
      </c>
      <c r="R383" s="200"/>
      <c r="S383" s="200"/>
    </row>
    <row r="384" spans="1:19" s="197" customFormat="1" ht="76.5" customHeight="1" x14ac:dyDescent="0.25">
      <c r="A384" s="285"/>
      <c r="B384" s="198" t="s">
        <v>40</v>
      </c>
      <c r="C384" s="198">
        <v>992</v>
      </c>
      <c r="D384" s="201" t="s">
        <v>355</v>
      </c>
      <c r="E384" s="201">
        <v>1010160390</v>
      </c>
      <c r="F384" s="201">
        <v>200</v>
      </c>
      <c r="G384" s="202"/>
      <c r="H384" s="202"/>
      <c r="I384" s="202"/>
      <c r="J384" s="206">
        <v>600</v>
      </c>
      <c r="K384" s="202"/>
      <c r="L384" s="206">
        <f>SUM(J384)</f>
        <v>600</v>
      </c>
      <c r="M384" s="202">
        <f t="shared" si="106"/>
        <v>600</v>
      </c>
      <c r="N384" s="202">
        <f t="shared" si="106"/>
        <v>0</v>
      </c>
      <c r="O384" s="226">
        <f t="shared" si="106"/>
        <v>600</v>
      </c>
      <c r="P384" s="226">
        <v>600</v>
      </c>
      <c r="Q384" s="199">
        <f t="shared" si="100"/>
        <v>100</v>
      </c>
      <c r="R384" s="200"/>
      <c r="S384" s="200"/>
    </row>
    <row r="385" spans="1:19" s="197" customFormat="1" ht="98.25" customHeight="1" x14ac:dyDescent="0.25">
      <c r="A385" s="285"/>
      <c r="B385" s="198" t="s">
        <v>622</v>
      </c>
      <c r="C385" s="198" t="s">
        <v>51</v>
      </c>
      <c r="D385" s="201" t="s">
        <v>355</v>
      </c>
      <c r="E385" s="201" t="s">
        <v>381</v>
      </c>
      <c r="F385" s="201" t="s">
        <v>11</v>
      </c>
      <c r="G385" s="202">
        <f t="shared" ref="G385:P385" si="107">G386</f>
        <v>1314.8</v>
      </c>
      <c r="H385" s="202">
        <f t="shared" si="107"/>
        <v>0</v>
      </c>
      <c r="I385" s="202">
        <f t="shared" si="107"/>
        <v>1314.8</v>
      </c>
      <c r="J385" s="202">
        <f t="shared" si="107"/>
        <v>0</v>
      </c>
      <c r="K385" s="202">
        <f t="shared" si="107"/>
        <v>0</v>
      </c>
      <c r="L385" s="202">
        <f t="shared" si="107"/>
        <v>0</v>
      </c>
      <c r="M385" s="202">
        <f t="shared" si="107"/>
        <v>1314.8</v>
      </c>
      <c r="N385" s="202">
        <f t="shared" si="107"/>
        <v>0</v>
      </c>
      <c r="O385" s="226">
        <f t="shared" si="107"/>
        <v>1314.8</v>
      </c>
      <c r="P385" s="226">
        <f t="shared" si="107"/>
        <v>1287.0999999999999</v>
      </c>
      <c r="Q385" s="199">
        <f t="shared" si="100"/>
        <v>97.893215698205054</v>
      </c>
      <c r="R385" s="200"/>
      <c r="S385" s="200"/>
    </row>
    <row r="386" spans="1:19" s="197" customFormat="1" ht="94.5" customHeight="1" x14ac:dyDescent="0.25">
      <c r="A386" s="285"/>
      <c r="B386" s="198" t="s">
        <v>382</v>
      </c>
      <c r="C386" s="198" t="s">
        <v>51</v>
      </c>
      <c r="D386" s="201" t="s">
        <v>355</v>
      </c>
      <c r="E386" s="201" t="s">
        <v>383</v>
      </c>
      <c r="F386" s="201" t="s">
        <v>11</v>
      </c>
      <c r="G386" s="202">
        <f>G387+G390</f>
        <v>1314.8</v>
      </c>
      <c r="H386" s="202">
        <f>H387+H390</f>
        <v>0</v>
      </c>
      <c r="I386" s="202">
        <f>I387+I390</f>
        <v>1314.8</v>
      </c>
      <c r="J386" s="202">
        <f>J387</f>
        <v>0</v>
      </c>
      <c r="K386" s="202">
        <f>K387</f>
        <v>0</v>
      </c>
      <c r="L386" s="202">
        <f>L387</f>
        <v>0</v>
      </c>
      <c r="M386" s="202">
        <f>M387+M390</f>
        <v>1314.8</v>
      </c>
      <c r="N386" s="202">
        <f>N387+N390</f>
        <v>0</v>
      </c>
      <c r="O386" s="226">
        <f>O387+O390</f>
        <v>1314.8</v>
      </c>
      <c r="P386" s="226">
        <f>P387+P390</f>
        <v>1287.0999999999999</v>
      </c>
      <c r="Q386" s="199">
        <f t="shared" si="100"/>
        <v>97.893215698205054</v>
      </c>
      <c r="R386" s="200"/>
      <c r="S386" s="200"/>
    </row>
    <row r="387" spans="1:19" s="197" customFormat="1" ht="116.25" customHeight="1" x14ac:dyDescent="0.25">
      <c r="A387" s="285"/>
      <c r="B387" s="198" t="s">
        <v>384</v>
      </c>
      <c r="C387" s="198" t="s">
        <v>51</v>
      </c>
      <c r="D387" s="201" t="s">
        <v>355</v>
      </c>
      <c r="E387" s="211" t="s">
        <v>545</v>
      </c>
      <c r="F387" s="201" t="s">
        <v>11</v>
      </c>
      <c r="G387" s="202">
        <f>G388+G389</f>
        <v>549.9</v>
      </c>
      <c r="H387" s="202">
        <f>H388+H389</f>
        <v>0</v>
      </c>
      <c r="I387" s="202">
        <f>I388+I389</f>
        <v>549.9</v>
      </c>
      <c r="J387" s="202">
        <f>J388</f>
        <v>0</v>
      </c>
      <c r="K387" s="202"/>
      <c r="L387" s="202">
        <f>L388</f>
        <v>0</v>
      </c>
      <c r="M387" s="202">
        <f>M388+M389</f>
        <v>549.9</v>
      </c>
      <c r="N387" s="202">
        <f>N388+N389</f>
        <v>0</v>
      </c>
      <c r="O387" s="226">
        <f>O388+O389</f>
        <v>549.9</v>
      </c>
      <c r="P387" s="226">
        <f>P388+P389</f>
        <v>522.29999999999995</v>
      </c>
      <c r="Q387" s="199">
        <f t="shared" si="100"/>
        <v>94.980905619203483</v>
      </c>
      <c r="R387" s="200"/>
      <c r="S387" s="200"/>
    </row>
    <row r="388" spans="1:19" s="197" customFormat="1" ht="75" x14ac:dyDescent="0.25">
      <c r="A388" s="285"/>
      <c r="B388" s="198" t="s">
        <v>40</v>
      </c>
      <c r="C388" s="198" t="s">
        <v>51</v>
      </c>
      <c r="D388" s="201" t="s">
        <v>355</v>
      </c>
      <c r="E388" s="211" t="s">
        <v>545</v>
      </c>
      <c r="F388" s="201" t="s">
        <v>41</v>
      </c>
      <c r="G388" s="202">
        <v>349.9</v>
      </c>
      <c r="H388" s="205"/>
      <c r="I388" s="202">
        <f>SUM(G388:H388)</f>
        <v>349.9</v>
      </c>
      <c r="J388" s="206">
        <v>0</v>
      </c>
      <c r="K388" s="205"/>
      <c r="L388" s="206">
        <v>0</v>
      </c>
      <c r="M388" s="202">
        <f>SUM(G388)</f>
        <v>349.9</v>
      </c>
      <c r="N388" s="202">
        <f t="shared" ref="N388:O395" si="108">SUM(H388)</f>
        <v>0</v>
      </c>
      <c r="O388" s="226">
        <f>SUM(I388)</f>
        <v>349.9</v>
      </c>
      <c r="P388" s="226">
        <v>322.3</v>
      </c>
      <c r="Q388" s="199">
        <f t="shared" si="100"/>
        <v>92.11203200914548</v>
      </c>
      <c r="R388" s="200"/>
      <c r="S388" s="200"/>
    </row>
    <row r="389" spans="1:19" s="197" customFormat="1" ht="37.5" x14ac:dyDescent="0.25">
      <c r="A389" s="285"/>
      <c r="B389" s="198" t="s">
        <v>112</v>
      </c>
      <c r="C389" s="198">
        <v>992</v>
      </c>
      <c r="D389" s="201" t="s">
        <v>355</v>
      </c>
      <c r="E389" s="211" t="s">
        <v>545</v>
      </c>
      <c r="F389" s="201">
        <v>300</v>
      </c>
      <c r="G389" s="202">
        <v>200</v>
      </c>
      <c r="H389" s="205"/>
      <c r="I389" s="202">
        <f>SUM(G389)</f>
        <v>200</v>
      </c>
      <c r="J389" s="206"/>
      <c r="K389" s="205"/>
      <c r="L389" s="206"/>
      <c r="M389" s="202">
        <f>SUM(G389)</f>
        <v>200</v>
      </c>
      <c r="N389" s="202">
        <f>SUM(H389)</f>
        <v>0</v>
      </c>
      <c r="O389" s="226">
        <f>SUM(I389)</f>
        <v>200</v>
      </c>
      <c r="P389" s="226">
        <v>200</v>
      </c>
      <c r="Q389" s="199">
        <f>P389/O389*100</f>
        <v>100</v>
      </c>
      <c r="R389" s="200"/>
      <c r="S389" s="200"/>
    </row>
    <row r="390" spans="1:19" s="197" customFormat="1" ht="75" x14ac:dyDescent="0.25">
      <c r="A390" s="285"/>
      <c r="B390" s="198" t="s">
        <v>385</v>
      </c>
      <c r="C390" s="198">
        <v>992</v>
      </c>
      <c r="D390" s="201" t="s">
        <v>355</v>
      </c>
      <c r="E390" s="201">
        <v>1400124240</v>
      </c>
      <c r="F390" s="201"/>
      <c r="G390" s="202">
        <v>764.9</v>
      </c>
      <c r="H390" s="205"/>
      <c r="I390" s="202">
        <f>SUM(G390)+H390</f>
        <v>764.9</v>
      </c>
      <c r="J390" s="206"/>
      <c r="K390" s="205"/>
      <c r="L390" s="206"/>
      <c r="M390" s="202">
        <f>SUM(G390)</f>
        <v>764.9</v>
      </c>
      <c r="N390" s="202">
        <f t="shared" si="108"/>
        <v>0</v>
      </c>
      <c r="O390" s="226">
        <f t="shared" si="108"/>
        <v>764.9</v>
      </c>
      <c r="P390" s="226">
        <v>764.8</v>
      </c>
      <c r="Q390" s="199">
        <f t="shared" si="95"/>
        <v>99.977777777777774</v>
      </c>
      <c r="R390" s="200"/>
      <c r="S390" s="200"/>
    </row>
    <row r="391" spans="1:19" s="197" customFormat="1" ht="83.25" customHeight="1" x14ac:dyDescent="0.25">
      <c r="A391" s="285"/>
      <c r="B391" s="198" t="s">
        <v>40</v>
      </c>
      <c r="C391" s="198">
        <v>992</v>
      </c>
      <c r="D391" s="201" t="s">
        <v>355</v>
      </c>
      <c r="E391" s="201">
        <v>1400124240</v>
      </c>
      <c r="F391" s="201">
        <v>200</v>
      </c>
      <c r="G391" s="202">
        <v>764.9</v>
      </c>
      <c r="H391" s="205"/>
      <c r="I391" s="202">
        <f>SUM(G391)+H391</f>
        <v>764.9</v>
      </c>
      <c r="J391" s="206"/>
      <c r="K391" s="205"/>
      <c r="L391" s="206"/>
      <c r="M391" s="202">
        <f>SUM(G391)</f>
        <v>764.9</v>
      </c>
      <c r="N391" s="202">
        <f t="shared" si="108"/>
        <v>0</v>
      </c>
      <c r="O391" s="226">
        <f t="shared" si="108"/>
        <v>764.9</v>
      </c>
      <c r="P391" s="226">
        <v>764.8</v>
      </c>
      <c r="Q391" s="199">
        <f t="shared" si="95"/>
        <v>99.977777777777774</v>
      </c>
      <c r="R391" s="200"/>
      <c r="S391" s="200"/>
    </row>
    <row r="392" spans="1:19" s="197" customFormat="1" ht="78" customHeight="1" x14ac:dyDescent="0.25">
      <c r="A392" s="285"/>
      <c r="B392" s="198" t="s">
        <v>66</v>
      </c>
      <c r="C392" s="198">
        <v>992</v>
      </c>
      <c r="D392" s="201" t="s">
        <v>355</v>
      </c>
      <c r="E392" s="201">
        <v>5200000000</v>
      </c>
      <c r="F392" s="201"/>
      <c r="G392" s="202">
        <v>2838.5</v>
      </c>
      <c r="H392" s="205">
        <f>SUM(H394)</f>
        <v>0</v>
      </c>
      <c r="I392" s="202">
        <f t="shared" ref="I392:I395" si="109">SUM(G392)</f>
        <v>2838.5</v>
      </c>
      <c r="J392" s="206"/>
      <c r="K392" s="205"/>
      <c r="L392" s="206"/>
      <c r="M392" s="202">
        <v>2838.5</v>
      </c>
      <c r="N392" s="202">
        <f t="shared" si="108"/>
        <v>0</v>
      </c>
      <c r="O392" s="226">
        <f t="shared" si="108"/>
        <v>2838.5</v>
      </c>
      <c r="P392" s="226">
        <v>2822.6</v>
      </c>
      <c r="Q392" s="199">
        <f>P392/O392*100</f>
        <v>99.439844988550291</v>
      </c>
      <c r="R392" s="200"/>
      <c r="S392" s="200"/>
    </row>
    <row r="393" spans="1:19" s="197" customFormat="1" ht="36.75" customHeight="1" x14ac:dyDescent="0.25">
      <c r="A393" s="285"/>
      <c r="B393" s="198" t="s">
        <v>80</v>
      </c>
      <c r="C393" s="198">
        <v>992</v>
      </c>
      <c r="D393" s="201" t="s">
        <v>355</v>
      </c>
      <c r="E393" s="201">
        <v>5230000000</v>
      </c>
      <c r="F393" s="201"/>
      <c r="G393" s="202">
        <v>2838.5</v>
      </c>
      <c r="H393" s="205">
        <f>SUM(H395)</f>
        <v>0</v>
      </c>
      <c r="I393" s="202">
        <f t="shared" si="109"/>
        <v>2838.5</v>
      </c>
      <c r="J393" s="206"/>
      <c r="K393" s="205"/>
      <c r="L393" s="206"/>
      <c r="M393" s="202">
        <f>SUM(M395)</f>
        <v>2838.5</v>
      </c>
      <c r="N393" s="202">
        <f t="shared" si="108"/>
        <v>0</v>
      </c>
      <c r="O393" s="226">
        <f t="shared" si="108"/>
        <v>2838.5</v>
      </c>
      <c r="P393" s="226">
        <v>2822.6</v>
      </c>
      <c r="Q393" s="199">
        <f>P393/O393*100</f>
        <v>99.439844988550291</v>
      </c>
      <c r="R393" s="200"/>
      <c r="S393" s="200"/>
    </row>
    <row r="394" spans="1:19" s="197" customFormat="1" ht="58.5" customHeight="1" x14ac:dyDescent="0.25">
      <c r="A394" s="285"/>
      <c r="B394" s="198" t="s">
        <v>82</v>
      </c>
      <c r="C394" s="198">
        <v>992</v>
      </c>
      <c r="D394" s="201" t="s">
        <v>355</v>
      </c>
      <c r="E394" s="201">
        <v>5230010490</v>
      </c>
      <c r="F394" s="201"/>
      <c r="G394" s="202">
        <v>2838.5</v>
      </c>
      <c r="H394" s="205">
        <f>SUM(H395)</f>
        <v>0</v>
      </c>
      <c r="I394" s="202">
        <f t="shared" si="109"/>
        <v>2838.5</v>
      </c>
      <c r="J394" s="206"/>
      <c r="K394" s="205"/>
      <c r="L394" s="206"/>
      <c r="M394" s="202">
        <f>SUM(G394)</f>
        <v>2838.5</v>
      </c>
      <c r="N394" s="202">
        <f t="shared" si="108"/>
        <v>0</v>
      </c>
      <c r="O394" s="226">
        <f t="shared" si="108"/>
        <v>2838.5</v>
      </c>
      <c r="P394" s="226">
        <v>2822.6</v>
      </c>
      <c r="Q394" s="199">
        <f t="shared" ref="Q394:Q399" si="110">P394/O394*100</f>
        <v>99.439844988550291</v>
      </c>
      <c r="R394" s="200"/>
      <c r="S394" s="200"/>
    </row>
    <row r="395" spans="1:19" s="197" customFormat="1" ht="58.5" customHeight="1" x14ac:dyDescent="0.25">
      <c r="A395" s="285"/>
      <c r="B395" s="198" t="s">
        <v>40</v>
      </c>
      <c r="C395" s="198">
        <v>992</v>
      </c>
      <c r="D395" s="201" t="s">
        <v>355</v>
      </c>
      <c r="E395" s="201">
        <v>5230010490</v>
      </c>
      <c r="F395" s="201">
        <v>200</v>
      </c>
      <c r="G395" s="202">
        <v>2838.5</v>
      </c>
      <c r="H395" s="205"/>
      <c r="I395" s="202">
        <f t="shared" si="109"/>
        <v>2838.5</v>
      </c>
      <c r="J395" s="206"/>
      <c r="K395" s="205"/>
      <c r="L395" s="206"/>
      <c r="M395" s="202">
        <f>SUM(G395)</f>
        <v>2838.5</v>
      </c>
      <c r="N395" s="202">
        <f t="shared" si="108"/>
        <v>0</v>
      </c>
      <c r="O395" s="226">
        <f t="shared" si="108"/>
        <v>2838.5</v>
      </c>
      <c r="P395" s="226">
        <v>2822.6</v>
      </c>
      <c r="Q395" s="199">
        <f t="shared" si="110"/>
        <v>99.439844988550291</v>
      </c>
      <c r="R395" s="200"/>
      <c r="S395" s="200"/>
    </row>
    <row r="396" spans="1:19" s="197" customFormat="1" ht="75" hidden="1" customHeight="1" x14ac:dyDescent="0.25">
      <c r="A396" s="285"/>
      <c r="B396" s="198" t="s">
        <v>40</v>
      </c>
      <c r="C396" s="198"/>
      <c r="D396" s="201"/>
      <c r="E396" s="201"/>
      <c r="F396" s="201"/>
      <c r="G396" s="202"/>
      <c r="H396" s="205"/>
      <c r="I396" s="202"/>
      <c r="J396" s="206"/>
      <c r="K396" s="205"/>
      <c r="L396" s="206"/>
      <c r="M396" s="202"/>
      <c r="N396" s="202"/>
      <c r="O396" s="226"/>
      <c r="P396" s="226"/>
      <c r="Q396" s="199" t="e">
        <f t="shared" si="110"/>
        <v>#DIV/0!</v>
      </c>
      <c r="R396" s="200"/>
      <c r="S396" s="200"/>
    </row>
    <row r="397" spans="1:19" s="197" customFormat="1" ht="56.25" x14ac:dyDescent="0.25">
      <c r="A397" s="285"/>
      <c r="B397" s="198" t="s">
        <v>387</v>
      </c>
      <c r="C397" s="203" t="s">
        <v>51</v>
      </c>
      <c r="D397" s="204" t="s">
        <v>388</v>
      </c>
      <c r="E397" s="204" t="s">
        <v>11</v>
      </c>
      <c r="F397" s="204" t="s">
        <v>11</v>
      </c>
      <c r="G397" s="205">
        <f t="shared" ref="G397:P398" si="111">G398</f>
        <v>107724.20000000001</v>
      </c>
      <c r="H397" s="202">
        <f t="shared" si="111"/>
        <v>0</v>
      </c>
      <c r="I397" s="205">
        <f t="shared" si="111"/>
        <v>107724.20000000001</v>
      </c>
      <c r="J397" s="205">
        <f t="shared" si="111"/>
        <v>0</v>
      </c>
      <c r="K397" s="202">
        <f t="shared" si="111"/>
        <v>0</v>
      </c>
      <c r="L397" s="205">
        <f t="shared" si="111"/>
        <v>0</v>
      </c>
      <c r="M397" s="205">
        <f t="shared" si="111"/>
        <v>107724.20000000001</v>
      </c>
      <c r="N397" s="205">
        <f t="shared" si="111"/>
        <v>0</v>
      </c>
      <c r="O397" s="227">
        <f t="shared" si="111"/>
        <v>107724.20000000001</v>
      </c>
      <c r="P397" s="227">
        <f t="shared" si="111"/>
        <v>107724.20000000001</v>
      </c>
      <c r="Q397" s="199">
        <f t="shared" si="110"/>
        <v>100</v>
      </c>
      <c r="R397" s="200"/>
      <c r="S397" s="200"/>
    </row>
    <row r="398" spans="1:19" s="197" customFormat="1" ht="56.25" customHeight="1" x14ac:dyDescent="0.25">
      <c r="A398" s="285"/>
      <c r="B398" s="198" t="s">
        <v>245</v>
      </c>
      <c r="C398" s="198" t="s">
        <v>51</v>
      </c>
      <c r="D398" s="201" t="s">
        <v>388</v>
      </c>
      <c r="E398" s="201" t="s">
        <v>246</v>
      </c>
      <c r="F398" s="201" t="s">
        <v>11</v>
      </c>
      <c r="G398" s="202">
        <f t="shared" si="111"/>
        <v>107724.20000000001</v>
      </c>
      <c r="H398" s="202">
        <f t="shared" si="111"/>
        <v>0</v>
      </c>
      <c r="I398" s="202">
        <f t="shared" si="111"/>
        <v>107724.20000000001</v>
      </c>
      <c r="J398" s="202">
        <f t="shared" si="111"/>
        <v>0</v>
      </c>
      <c r="K398" s="202">
        <f>K399+K402</f>
        <v>0</v>
      </c>
      <c r="L398" s="202">
        <f t="shared" si="111"/>
        <v>0</v>
      </c>
      <c r="M398" s="202">
        <f t="shared" si="111"/>
        <v>107724.20000000001</v>
      </c>
      <c r="N398" s="202">
        <f t="shared" si="111"/>
        <v>0</v>
      </c>
      <c r="O398" s="226">
        <f t="shared" si="111"/>
        <v>107724.20000000001</v>
      </c>
      <c r="P398" s="226">
        <f t="shared" si="111"/>
        <v>107724.20000000001</v>
      </c>
      <c r="Q398" s="199">
        <f t="shared" si="110"/>
        <v>100</v>
      </c>
      <c r="R398" s="200"/>
      <c r="S398" s="200"/>
    </row>
    <row r="399" spans="1:19" s="197" customFormat="1" ht="37.5" x14ac:dyDescent="0.25">
      <c r="A399" s="285"/>
      <c r="B399" s="198" t="s">
        <v>247</v>
      </c>
      <c r="C399" s="198" t="s">
        <v>51</v>
      </c>
      <c r="D399" s="201" t="s">
        <v>388</v>
      </c>
      <c r="E399" s="201" t="s">
        <v>248</v>
      </c>
      <c r="F399" s="201" t="s">
        <v>11</v>
      </c>
      <c r="G399" s="202">
        <f>G400+G403</f>
        <v>107724.20000000001</v>
      </c>
      <c r="H399" s="202">
        <f>SUM(H403)+H400</f>
        <v>0</v>
      </c>
      <c r="I399" s="202">
        <f>I400+I403</f>
        <v>107724.20000000001</v>
      </c>
      <c r="J399" s="202">
        <f>J400+J403</f>
        <v>0</v>
      </c>
      <c r="K399" s="202">
        <f t="shared" ref="G399:O401" si="112">K400</f>
        <v>0</v>
      </c>
      <c r="L399" s="202">
        <f>L400+L403</f>
        <v>0</v>
      </c>
      <c r="M399" s="202">
        <f>M400+M403</f>
        <v>107724.20000000001</v>
      </c>
      <c r="N399" s="202">
        <f>N400+N403</f>
        <v>0</v>
      </c>
      <c r="O399" s="226">
        <f>O400+O403</f>
        <v>107724.20000000001</v>
      </c>
      <c r="P399" s="226">
        <f>P400+P403</f>
        <v>107724.20000000001</v>
      </c>
      <c r="Q399" s="199">
        <f t="shared" si="110"/>
        <v>100</v>
      </c>
      <c r="R399" s="200"/>
      <c r="S399" s="200"/>
    </row>
    <row r="400" spans="1:19" s="197" customFormat="1" ht="77.25" customHeight="1" x14ac:dyDescent="0.25">
      <c r="A400" s="285"/>
      <c r="B400" s="198" t="s">
        <v>389</v>
      </c>
      <c r="C400" s="198" t="s">
        <v>51</v>
      </c>
      <c r="D400" s="201" t="s">
        <v>388</v>
      </c>
      <c r="E400" s="201" t="s">
        <v>390</v>
      </c>
      <c r="F400" s="201" t="s">
        <v>11</v>
      </c>
      <c r="G400" s="202">
        <f t="shared" si="112"/>
        <v>8699.1</v>
      </c>
      <c r="H400" s="202">
        <f t="shared" si="112"/>
        <v>0</v>
      </c>
      <c r="I400" s="202">
        <f t="shared" si="112"/>
        <v>8699.1</v>
      </c>
      <c r="J400" s="202">
        <f t="shared" si="112"/>
        <v>0</v>
      </c>
      <c r="K400" s="202">
        <f t="shared" si="112"/>
        <v>0</v>
      </c>
      <c r="L400" s="202">
        <f t="shared" si="112"/>
        <v>0</v>
      </c>
      <c r="M400" s="202">
        <f t="shared" si="112"/>
        <v>8699.1</v>
      </c>
      <c r="N400" s="202">
        <f t="shared" si="112"/>
        <v>0</v>
      </c>
      <c r="O400" s="226">
        <f t="shared" si="112"/>
        <v>8699.1</v>
      </c>
      <c r="P400" s="226">
        <v>8699.1</v>
      </c>
      <c r="Q400" s="199">
        <f>P400/O400*100</f>
        <v>100</v>
      </c>
      <c r="R400" s="200"/>
      <c r="S400" s="200"/>
    </row>
    <row r="401" spans="1:19" s="197" customFormat="1" ht="56.25" x14ac:dyDescent="0.25">
      <c r="A401" s="285"/>
      <c r="B401" s="198" t="s">
        <v>134</v>
      </c>
      <c r="C401" s="198" t="s">
        <v>51</v>
      </c>
      <c r="D401" s="201" t="s">
        <v>388</v>
      </c>
      <c r="E401" s="201" t="s">
        <v>391</v>
      </c>
      <c r="F401" s="201" t="s">
        <v>11</v>
      </c>
      <c r="G401" s="202">
        <f t="shared" si="112"/>
        <v>8699.1</v>
      </c>
      <c r="H401" s="202"/>
      <c r="I401" s="202">
        <f t="shared" si="112"/>
        <v>8699.1</v>
      </c>
      <c r="J401" s="202">
        <f t="shared" si="112"/>
        <v>0</v>
      </c>
      <c r="K401" s="202"/>
      <c r="L401" s="202">
        <f t="shared" si="112"/>
        <v>0</v>
      </c>
      <c r="M401" s="202">
        <f t="shared" si="112"/>
        <v>8699.1</v>
      </c>
      <c r="N401" s="202">
        <f t="shared" si="112"/>
        <v>0</v>
      </c>
      <c r="O401" s="226">
        <f t="shared" si="112"/>
        <v>8699.1</v>
      </c>
      <c r="P401" s="226">
        <v>8699.1</v>
      </c>
      <c r="Q401" s="199">
        <f t="shared" si="95"/>
        <v>99.98692639560727</v>
      </c>
      <c r="R401" s="200"/>
      <c r="S401" s="200"/>
    </row>
    <row r="402" spans="1:19" s="197" customFormat="1" ht="82.5" customHeight="1" x14ac:dyDescent="0.25">
      <c r="A402" s="285"/>
      <c r="B402" s="198" t="s">
        <v>95</v>
      </c>
      <c r="C402" s="198" t="s">
        <v>51</v>
      </c>
      <c r="D402" s="201" t="s">
        <v>388</v>
      </c>
      <c r="E402" s="201" t="s">
        <v>391</v>
      </c>
      <c r="F402" s="201" t="s">
        <v>96</v>
      </c>
      <c r="G402" s="202">
        <v>8699.1</v>
      </c>
      <c r="H402" s="202"/>
      <c r="I402" s="202">
        <f>SUM(G402)</f>
        <v>8699.1</v>
      </c>
      <c r="J402" s="206">
        <v>0</v>
      </c>
      <c r="K402" s="202"/>
      <c r="L402" s="206">
        <v>0</v>
      </c>
      <c r="M402" s="202">
        <f>SUM(G402)</f>
        <v>8699.1</v>
      </c>
      <c r="N402" s="202">
        <f>SUM(H402)</f>
        <v>0</v>
      </c>
      <c r="O402" s="226">
        <f>SUM(I402)</f>
        <v>8699.1</v>
      </c>
      <c r="P402" s="226">
        <v>8699.1</v>
      </c>
      <c r="Q402" s="199">
        <f t="shared" si="95"/>
        <v>99.98692639560727</v>
      </c>
      <c r="R402" s="200"/>
      <c r="S402" s="200"/>
    </row>
    <row r="403" spans="1:19" s="197" customFormat="1" ht="99.75" customHeight="1" x14ac:dyDescent="0.25">
      <c r="A403" s="285"/>
      <c r="B403" s="198" t="s">
        <v>249</v>
      </c>
      <c r="C403" s="198" t="s">
        <v>51</v>
      </c>
      <c r="D403" s="201" t="s">
        <v>388</v>
      </c>
      <c r="E403" s="201" t="s">
        <v>250</v>
      </c>
      <c r="F403" s="201" t="s">
        <v>11</v>
      </c>
      <c r="G403" s="202">
        <f>G404+G406+G408</f>
        <v>99025.1</v>
      </c>
      <c r="H403" s="202">
        <f>H404+H408+H406</f>
        <v>0</v>
      </c>
      <c r="I403" s="202">
        <f>I404+I408+I406</f>
        <v>99025.1</v>
      </c>
      <c r="J403" s="202">
        <f t="shared" ref="G403:P404" si="113">J404</f>
        <v>0</v>
      </c>
      <c r="K403" s="202">
        <f t="shared" si="113"/>
        <v>0</v>
      </c>
      <c r="L403" s="202">
        <f t="shared" si="113"/>
        <v>0</v>
      </c>
      <c r="M403" s="202">
        <f>M404+M406+M408</f>
        <v>99025.1</v>
      </c>
      <c r="N403" s="202">
        <f>N404+N408+N406</f>
        <v>0</v>
      </c>
      <c r="O403" s="226">
        <f>O404+O408+O406</f>
        <v>99025.1</v>
      </c>
      <c r="P403" s="226">
        <f>P404+P408+P406</f>
        <v>99025.1</v>
      </c>
      <c r="Q403" s="199">
        <v>100</v>
      </c>
      <c r="R403" s="200"/>
      <c r="S403" s="200"/>
    </row>
    <row r="404" spans="1:19" s="197" customFormat="1" ht="56.25" x14ac:dyDescent="0.25">
      <c r="A404" s="285"/>
      <c r="B404" s="198" t="s">
        <v>134</v>
      </c>
      <c r="C404" s="198" t="s">
        <v>51</v>
      </c>
      <c r="D404" s="201" t="s">
        <v>388</v>
      </c>
      <c r="E404" s="201" t="s">
        <v>251</v>
      </c>
      <c r="F404" s="201" t="s">
        <v>11</v>
      </c>
      <c r="G404" s="202">
        <f t="shared" si="113"/>
        <v>97105.1</v>
      </c>
      <c r="H404" s="202">
        <f t="shared" si="113"/>
        <v>0</v>
      </c>
      <c r="I404" s="202">
        <f t="shared" si="113"/>
        <v>97105.1</v>
      </c>
      <c r="J404" s="202">
        <f t="shared" si="113"/>
        <v>0</v>
      </c>
      <c r="K404" s="202"/>
      <c r="L404" s="202">
        <f t="shared" si="113"/>
        <v>0</v>
      </c>
      <c r="M404" s="202">
        <f t="shared" si="113"/>
        <v>97105.1</v>
      </c>
      <c r="N404" s="202">
        <f t="shared" si="113"/>
        <v>0</v>
      </c>
      <c r="O404" s="226">
        <f t="shared" si="113"/>
        <v>97105.1</v>
      </c>
      <c r="P404" s="226">
        <f t="shared" si="113"/>
        <v>97105.1</v>
      </c>
      <c r="Q404" s="199">
        <v>100</v>
      </c>
      <c r="R404" s="200"/>
      <c r="S404" s="200"/>
    </row>
    <row r="405" spans="1:19" s="197" customFormat="1" ht="75.75" customHeight="1" x14ac:dyDescent="0.25">
      <c r="A405" s="285"/>
      <c r="B405" s="198" t="s">
        <v>95</v>
      </c>
      <c r="C405" s="198" t="s">
        <v>51</v>
      </c>
      <c r="D405" s="201" t="s">
        <v>388</v>
      </c>
      <c r="E405" s="201" t="s">
        <v>251</v>
      </c>
      <c r="F405" s="201" t="s">
        <v>96</v>
      </c>
      <c r="G405" s="202">
        <v>97105.1</v>
      </c>
      <c r="H405" s="202"/>
      <c r="I405" s="202">
        <f>SUM(G405)+H405</f>
        <v>97105.1</v>
      </c>
      <c r="J405" s="206">
        <v>0</v>
      </c>
      <c r="K405" s="202"/>
      <c r="L405" s="206">
        <v>0</v>
      </c>
      <c r="M405" s="202">
        <f>SUM(G405)</f>
        <v>97105.1</v>
      </c>
      <c r="N405" s="202">
        <f>SUM(H405)</f>
        <v>0</v>
      </c>
      <c r="O405" s="226">
        <f>SUM(M405)+N405</f>
        <v>97105.1</v>
      </c>
      <c r="P405" s="226">
        <v>97105.1</v>
      </c>
      <c r="Q405" s="199">
        <v>100</v>
      </c>
      <c r="R405" s="200"/>
      <c r="S405" s="200"/>
    </row>
    <row r="406" spans="1:19" s="197" customFormat="1" ht="57.75" customHeight="1" x14ac:dyDescent="0.25">
      <c r="A406" s="285"/>
      <c r="B406" s="214" t="s">
        <v>392</v>
      </c>
      <c r="C406" s="198">
        <v>992</v>
      </c>
      <c r="D406" s="201" t="s">
        <v>388</v>
      </c>
      <c r="E406" s="211" t="s">
        <v>393</v>
      </c>
      <c r="F406" s="201"/>
      <c r="G406" s="202">
        <f>SUM(G407)</f>
        <v>779</v>
      </c>
      <c r="H406" s="202"/>
      <c r="I406" s="202">
        <f>SUM(G406)</f>
        <v>779</v>
      </c>
      <c r="J406" s="206"/>
      <c r="K406" s="202"/>
      <c r="L406" s="206"/>
      <c r="M406" s="202">
        <f>SUM(G406)</f>
        <v>779</v>
      </c>
      <c r="N406" s="202">
        <f t="shared" ref="N406:O409" si="114">SUM(H406)</f>
        <v>0</v>
      </c>
      <c r="O406" s="226">
        <f t="shared" si="114"/>
        <v>779</v>
      </c>
      <c r="P406" s="226">
        <v>779</v>
      </c>
      <c r="Q406" s="199">
        <v>100</v>
      </c>
      <c r="R406" s="200"/>
      <c r="S406" s="200"/>
    </row>
    <row r="407" spans="1:19" s="197" customFormat="1" ht="77.25" customHeight="1" x14ac:dyDescent="0.25">
      <c r="A407" s="285"/>
      <c r="B407" s="198" t="s">
        <v>95</v>
      </c>
      <c r="C407" s="198">
        <v>992</v>
      </c>
      <c r="D407" s="201" t="s">
        <v>388</v>
      </c>
      <c r="E407" s="211" t="s">
        <v>393</v>
      </c>
      <c r="F407" s="201">
        <v>600</v>
      </c>
      <c r="G407" s="202">
        <v>779</v>
      </c>
      <c r="H407" s="202"/>
      <c r="I407" s="202">
        <f>SUM(G407)</f>
        <v>779</v>
      </c>
      <c r="J407" s="206"/>
      <c r="K407" s="202"/>
      <c r="L407" s="206"/>
      <c r="M407" s="202">
        <f>SUM(G407)</f>
        <v>779</v>
      </c>
      <c r="N407" s="202">
        <f t="shared" si="114"/>
        <v>0</v>
      </c>
      <c r="O407" s="226">
        <f t="shared" si="114"/>
        <v>779</v>
      </c>
      <c r="P407" s="226">
        <v>779</v>
      </c>
      <c r="Q407" s="199">
        <v>100</v>
      </c>
      <c r="R407" s="200"/>
      <c r="S407" s="200"/>
    </row>
    <row r="408" spans="1:19" s="197" customFormat="1" ht="96.75" customHeight="1" x14ac:dyDescent="0.25">
      <c r="A408" s="285"/>
      <c r="B408" s="198" t="s">
        <v>283</v>
      </c>
      <c r="C408" s="198">
        <v>992</v>
      </c>
      <c r="D408" s="201" t="s">
        <v>388</v>
      </c>
      <c r="E408" s="211" t="s">
        <v>284</v>
      </c>
      <c r="F408" s="201"/>
      <c r="G408" s="202">
        <f>SUM(G409)</f>
        <v>1141</v>
      </c>
      <c r="H408" s="202">
        <f>SUM(H409)</f>
        <v>0</v>
      </c>
      <c r="I408" s="202">
        <f>SUM(G408)</f>
        <v>1141</v>
      </c>
      <c r="J408" s="206"/>
      <c r="K408" s="202"/>
      <c r="L408" s="206"/>
      <c r="M408" s="202">
        <f>SUM(G408)</f>
        <v>1141</v>
      </c>
      <c r="N408" s="202">
        <f t="shared" si="114"/>
        <v>0</v>
      </c>
      <c r="O408" s="226">
        <f t="shared" si="114"/>
        <v>1141</v>
      </c>
      <c r="P408" s="226">
        <v>1141</v>
      </c>
      <c r="Q408" s="199">
        <f t="shared" si="95"/>
        <v>100</v>
      </c>
      <c r="R408" s="200"/>
      <c r="S408" s="200"/>
    </row>
    <row r="409" spans="1:19" s="197" customFormat="1" ht="77.25" customHeight="1" x14ac:dyDescent="0.25">
      <c r="A409" s="285"/>
      <c r="B409" s="198" t="s">
        <v>95</v>
      </c>
      <c r="C409" s="198">
        <v>992</v>
      </c>
      <c r="D409" s="201" t="s">
        <v>388</v>
      </c>
      <c r="E409" s="211" t="s">
        <v>284</v>
      </c>
      <c r="F409" s="201">
        <v>600</v>
      </c>
      <c r="G409" s="202">
        <v>1141</v>
      </c>
      <c r="H409" s="202"/>
      <c r="I409" s="202">
        <f>SUM(G409)</f>
        <v>1141</v>
      </c>
      <c r="J409" s="206"/>
      <c r="K409" s="202"/>
      <c r="L409" s="206"/>
      <c r="M409" s="202">
        <f>SUM(G409)</f>
        <v>1141</v>
      </c>
      <c r="N409" s="202">
        <f t="shared" si="114"/>
        <v>0</v>
      </c>
      <c r="O409" s="226">
        <f t="shared" si="114"/>
        <v>1141</v>
      </c>
      <c r="P409" s="226">
        <v>1141</v>
      </c>
      <c r="Q409" s="199">
        <f t="shared" si="95"/>
        <v>100</v>
      </c>
      <c r="R409" s="200"/>
      <c r="S409" s="200"/>
    </row>
    <row r="410" spans="1:19" s="197" customFormat="1" ht="18.75" x14ac:dyDescent="0.25">
      <c r="A410" s="285"/>
      <c r="B410" s="198" t="s">
        <v>395</v>
      </c>
      <c r="C410" s="198" t="s">
        <v>51</v>
      </c>
      <c r="D410" s="201" t="s">
        <v>396</v>
      </c>
      <c r="E410" s="201" t="s">
        <v>11</v>
      </c>
      <c r="F410" s="201" t="s">
        <v>11</v>
      </c>
      <c r="G410" s="202">
        <f>G411</f>
        <v>15416.8</v>
      </c>
      <c r="H410" s="205">
        <f>H411</f>
        <v>57.199999999999989</v>
      </c>
      <c r="I410" s="202">
        <f>I411</f>
        <v>15474</v>
      </c>
      <c r="J410" s="202">
        <f>J411</f>
        <v>844.2</v>
      </c>
      <c r="K410" s="205">
        <f>K411+K425</f>
        <v>0</v>
      </c>
      <c r="L410" s="202">
        <f>L411</f>
        <v>844.2</v>
      </c>
      <c r="M410" s="202">
        <f>M411</f>
        <v>15972.8</v>
      </c>
      <c r="N410" s="202">
        <f>N411</f>
        <v>57.199999999999989</v>
      </c>
      <c r="O410" s="226">
        <f>O411</f>
        <v>16030</v>
      </c>
      <c r="P410" s="226">
        <f>P411</f>
        <v>15960.7</v>
      </c>
      <c r="Q410" s="199">
        <f>SUM(P410/O410*100)</f>
        <v>99.567685589519655</v>
      </c>
      <c r="R410" s="200"/>
      <c r="S410" s="200"/>
    </row>
    <row r="411" spans="1:19" s="197" customFormat="1" ht="18.75" x14ac:dyDescent="0.25">
      <c r="A411" s="285"/>
      <c r="B411" s="198" t="s">
        <v>398</v>
      </c>
      <c r="C411" s="203" t="s">
        <v>51</v>
      </c>
      <c r="D411" s="204" t="s">
        <v>399</v>
      </c>
      <c r="E411" s="204" t="s">
        <v>11</v>
      </c>
      <c r="F411" s="204" t="s">
        <v>11</v>
      </c>
      <c r="G411" s="205">
        <f>G412+G428</f>
        <v>15416.8</v>
      </c>
      <c r="H411" s="202">
        <f>H412</f>
        <v>57.199999999999989</v>
      </c>
      <c r="I411" s="205">
        <f>I412+I428</f>
        <v>15474</v>
      </c>
      <c r="J411" s="205">
        <f>J412+J428</f>
        <v>844.2</v>
      </c>
      <c r="K411" s="202">
        <f>K412+K418</f>
        <v>0</v>
      </c>
      <c r="L411" s="205">
        <f>L412+L428</f>
        <v>844.2</v>
      </c>
      <c r="M411" s="205">
        <f>M412+M428</f>
        <v>15972.8</v>
      </c>
      <c r="N411" s="205">
        <f>N412+N428</f>
        <v>57.199999999999989</v>
      </c>
      <c r="O411" s="227">
        <f>O412+O428</f>
        <v>16030</v>
      </c>
      <c r="P411" s="227">
        <f>P412+P428</f>
        <v>15960.7</v>
      </c>
      <c r="Q411" s="199">
        <f t="shared" ref="Q411:Q417" si="115">SUM(P411/O411*100)</f>
        <v>99.567685589519655</v>
      </c>
      <c r="R411" s="200"/>
      <c r="S411" s="200"/>
    </row>
    <row r="412" spans="1:19" s="197" customFormat="1" ht="39" customHeight="1" x14ac:dyDescent="0.25">
      <c r="A412" s="285"/>
      <c r="B412" s="198" t="s">
        <v>400</v>
      </c>
      <c r="C412" s="198" t="s">
        <v>51</v>
      </c>
      <c r="D412" s="201" t="s">
        <v>399</v>
      </c>
      <c r="E412" s="201" t="s">
        <v>401</v>
      </c>
      <c r="F412" s="201" t="s">
        <v>11</v>
      </c>
      <c r="G412" s="202">
        <f>G413+G419</f>
        <v>15336.8</v>
      </c>
      <c r="H412" s="202">
        <f>H413+H419</f>
        <v>57.199999999999989</v>
      </c>
      <c r="I412" s="202">
        <f>I413+I419</f>
        <v>15394</v>
      </c>
      <c r="J412" s="202">
        <f>J413+J415+J426</f>
        <v>844.2</v>
      </c>
      <c r="K412" s="202">
        <f>K413+K419+K426</f>
        <v>0</v>
      </c>
      <c r="L412" s="202">
        <f>L413+L415+L426</f>
        <v>844.2</v>
      </c>
      <c r="M412" s="202">
        <f>M413+M419</f>
        <v>15892.8</v>
      </c>
      <c r="N412" s="202">
        <f>N413+N419</f>
        <v>57.199999999999989</v>
      </c>
      <c r="O412" s="226">
        <f>O413+O419</f>
        <v>15950</v>
      </c>
      <c r="P412" s="226">
        <f>P413+P419</f>
        <v>15880.7</v>
      </c>
      <c r="Q412" s="199">
        <f t="shared" si="115"/>
        <v>99.565517241379325</v>
      </c>
      <c r="R412" s="200"/>
      <c r="S412" s="200"/>
    </row>
    <row r="413" spans="1:19" s="197" customFormat="1" ht="115.5" customHeight="1" x14ac:dyDescent="0.25">
      <c r="A413" s="285"/>
      <c r="B413" s="198" t="s">
        <v>402</v>
      </c>
      <c r="C413" s="198" t="s">
        <v>51</v>
      </c>
      <c r="D413" s="201" t="s">
        <v>399</v>
      </c>
      <c r="E413" s="201" t="s">
        <v>403</v>
      </c>
      <c r="F413" s="201" t="s">
        <v>11</v>
      </c>
      <c r="G413" s="202">
        <f>G414+G417</f>
        <v>2576.9</v>
      </c>
      <c r="H413" s="202">
        <f>H414+H417</f>
        <v>0</v>
      </c>
      <c r="I413" s="202">
        <f>I414+I417</f>
        <v>2576.9</v>
      </c>
      <c r="J413" s="202">
        <f>J414+J417</f>
        <v>400</v>
      </c>
      <c r="K413" s="202">
        <f>K414</f>
        <v>0</v>
      </c>
      <c r="L413" s="202">
        <f>L414+L417</f>
        <v>400</v>
      </c>
      <c r="M413" s="202">
        <f>M414+M417</f>
        <v>2976.9</v>
      </c>
      <c r="N413" s="202">
        <f>N414+N417</f>
        <v>0</v>
      </c>
      <c r="O413" s="226">
        <f>O414+O417</f>
        <v>2976.9</v>
      </c>
      <c r="P413" s="226">
        <f>P414+P417</f>
        <v>2976.8</v>
      </c>
      <c r="Q413" s="199">
        <f t="shared" si="115"/>
        <v>99.996640800833077</v>
      </c>
      <c r="R413" s="200"/>
      <c r="S413" s="200"/>
    </row>
    <row r="414" spans="1:19" s="197" customFormat="1" ht="97.5" customHeight="1" x14ac:dyDescent="0.25">
      <c r="A414" s="285"/>
      <c r="B414" s="198" t="s">
        <v>404</v>
      </c>
      <c r="C414" s="198" t="s">
        <v>51</v>
      </c>
      <c r="D414" s="201" t="s">
        <v>399</v>
      </c>
      <c r="E414" s="201" t="s">
        <v>405</v>
      </c>
      <c r="F414" s="201" t="s">
        <v>11</v>
      </c>
      <c r="G414" s="202">
        <f>G415+G416</f>
        <v>1946.3</v>
      </c>
      <c r="H414" s="202">
        <f>SUM(H415:H416)</f>
        <v>0</v>
      </c>
      <c r="I414" s="202">
        <f>I415+I416</f>
        <v>1946.3</v>
      </c>
      <c r="J414" s="202">
        <f>J415+J416</f>
        <v>400</v>
      </c>
      <c r="K414" s="202">
        <f>SUM(K415:K416)</f>
        <v>0</v>
      </c>
      <c r="L414" s="202">
        <f>L415+L416</f>
        <v>400</v>
      </c>
      <c r="M414" s="202">
        <f>M415+M416</f>
        <v>2346.3000000000002</v>
      </c>
      <c r="N414" s="202">
        <f>H414+K414</f>
        <v>0</v>
      </c>
      <c r="O414" s="226">
        <f>O415+O416</f>
        <v>2346.3000000000002</v>
      </c>
      <c r="P414" s="226">
        <f>P415+P416</f>
        <v>2346.2000000000003</v>
      </c>
      <c r="Q414" s="199">
        <f t="shared" si="115"/>
        <v>99.995737970421516</v>
      </c>
      <c r="R414" s="200"/>
      <c r="S414" s="200"/>
    </row>
    <row r="415" spans="1:19" s="197" customFormat="1" ht="168.75" x14ac:dyDescent="0.25">
      <c r="A415" s="285"/>
      <c r="B415" s="198" t="s">
        <v>61</v>
      </c>
      <c r="C415" s="198" t="s">
        <v>51</v>
      </c>
      <c r="D415" s="201" t="s">
        <v>399</v>
      </c>
      <c r="E415" s="201" t="s">
        <v>405</v>
      </c>
      <c r="F415" s="201" t="s">
        <v>62</v>
      </c>
      <c r="G415" s="202">
        <v>1875.3</v>
      </c>
      <c r="H415" s="202"/>
      <c r="I415" s="202">
        <f>SUM(G415:H415)</f>
        <v>1875.3</v>
      </c>
      <c r="J415" s="206">
        <v>288.2</v>
      </c>
      <c r="K415" s="202"/>
      <c r="L415" s="206">
        <f>SUM(J415:K415)</f>
        <v>288.2</v>
      </c>
      <c r="M415" s="202">
        <f>G415+J415</f>
        <v>2163.5</v>
      </c>
      <c r="N415" s="202">
        <f>H415+K415</f>
        <v>0</v>
      </c>
      <c r="O415" s="226">
        <f>SUM(M415:N415)</f>
        <v>2163.5</v>
      </c>
      <c r="P415" s="226">
        <v>2163.4</v>
      </c>
      <c r="Q415" s="199">
        <f t="shared" si="115"/>
        <v>99.995377859949159</v>
      </c>
      <c r="R415" s="200"/>
      <c r="S415" s="200"/>
    </row>
    <row r="416" spans="1:19" s="197" customFormat="1" ht="75" x14ac:dyDescent="0.25">
      <c r="A416" s="285"/>
      <c r="B416" s="198" t="s">
        <v>408</v>
      </c>
      <c r="C416" s="198" t="s">
        <v>51</v>
      </c>
      <c r="D416" s="201" t="s">
        <v>399</v>
      </c>
      <c r="E416" s="201" t="s">
        <v>405</v>
      </c>
      <c r="F416" s="201">
        <v>200</v>
      </c>
      <c r="G416" s="202">
        <v>71</v>
      </c>
      <c r="H416" s="202"/>
      <c r="I416" s="202">
        <f>SUM(G416:H416)</f>
        <v>71</v>
      </c>
      <c r="J416" s="206">
        <v>111.8</v>
      </c>
      <c r="K416" s="202"/>
      <c r="L416" s="206">
        <f>SUM(J416:K416)</f>
        <v>111.8</v>
      </c>
      <c r="M416" s="202">
        <f>G416+J416</f>
        <v>182.8</v>
      </c>
      <c r="N416" s="202">
        <f>H416+K416</f>
        <v>0</v>
      </c>
      <c r="O416" s="226">
        <f>SUM(M416:N416)</f>
        <v>182.8</v>
      </c>
      <c r="P416" s="226">
        <v>182.8</v>
      </c>
      <c r="Q416" s="199">
        <f t="shared" si="115"/>
        <v>100</v>
      </c>
      <c r="R416" s="200"/>
      <c r="S416" s="200"/>
    </row>
    <row r="417" spans="1:19" s="197" customFormat="1" ht="77.25" customHeight="1" x14ac:dyDescent="0.25">
      <c r="A417" s="285"/>
      <c r="B417" s="198" t="s">
        <v>406</v>
      </c>
      <c r="C417" s="198" t="s">
        <v>51</v>
      </c>
      <c r="D417" s="201" t="s">
        <v>399</v>
      </c>
      <c r="E417" s="201" t="s">
        <v>407</v>
      </c>
      <c r="F417" s="201" t="s">
        <v>11</v>
      </c>
      <c r="G417" s="202">
        <f>G418</f>
        <v>630.6</v>
      </c>
      <c r="H417" s="202">
        <f>SUM(H418)</f>
        <v>0</v>
      </c>
      <c r="I417" s="202">
        <f>I418</f>
        <v>630.6</v>
      </c>
      <c r="J417" s="202">
        <f>J418</f>
        <v>0</v>
      </c>
      <c r="K417" s="202"/>
      <c r="L417" s="202">
        <f>L418</f>
        <v>0</v>
      </c>
      <c r="M417" s="202">
        <f>M418</f>
        <v>630.6</v>
      </c>
      <c r="N417" s="202">
        <f>N418</f>
        <v>0</v>
      </c>
      <c r="O417" s="226">
        <f>O418</f>
        <v>630.6</v>
      </c>
      <c r="P417" s="226">
        <f>P418</f>
        <v>630.6</v>
      </c>
      <c r="Q417" s="199">
        <f t="shared" si="115"/>
        <v>100</v>
      </c>
      <c r="R417" s="200"/>
      <c r="S417" s="200"/>
    </row>
    <row r="418" spans="1:19" s="197" customFormat="1" ht="75" x14ac:dyDescent="0.25">
      <c r="A418" s="285"/>
      <c r="B418" s="198" t="s">
        <v>408</v>
      </c>
      <c r="C418" s="198" t="s">
        <v>51</v>
      </c>
      <c r="D418" s="201" t="s">
        <v>399</v>
      </c>
      <c r="E418" s="201" t="s">
        <v>407</v>
      </c>
      <c r="F418" s="201" t="s">
        <v>41</v>
      </c>
      <c r="G418" s="202">
        <v>630.6</v>
      </c>
      <c r="H418" s="202"/>
      <c r="I418" s="202">
        <f>SUM(G418)+H418</f>
        <v>630.6</v>
      </c>
      <c r="J418" s="206">
        <v>0</v>
      </c>
      <c r="K418" s="202"/>
      <c r="L418" s="206">
        <v>0</v>
      </c>
      <c r="M418" s="202">
        <f>SUM(G418)</f>
        <v>630.6</v>
      </c>
      <c r="N418" s="202">
        <f>SUM(H418)</f>
        <v>0</v>
      </c>
      <c r="O418" s="226">
        <f>SUM(I418)</f>
        <v>630.6</v>
      </c>
      <c r="P418" s="226">
        <v>630.6</v>
      </c>
      <c r="Q418" s="199">
        <f t="shared" si="95"/>
        <v>100</v>
      </c>
      <c r="R418" s="200"/>
      <c r="S418" s="200"/>
    </row>
    <row r="419" spans="1:19" s="197" customFormat="1" ht="62.25" customHeight="1" x14ac:dyDescent="0.25">
      <c r="A419" s="285"/>
      <c r="B419" s="198" t="s">
        <v>409</v>
      </c>
      <c r="C419" s="198" t="s">
        <v>51</v>
      </c>
      <c r="D419" s="201" t="s">
        <v>399</v>
      </c>
      <c r="E419" s="201" t="s">
        <v>410</v>
      </c>
      <c r="F419" s="201" t="s">
        <v>11</v>
      </c>
      <c r="G419" s="202">
        <f>G420+G424</f>
        <v>12759.9</v>
      </c>
      <c r="H419" s="202">
        <f>H420+H424</f>
        <v>57.199999999999989</v>
      </c>
      <c r="I419" s="202">
        <f>I420+I424</f>
        <v>12817.1</v>
      </c>
      <c r="J419" s="202">
        <f>J420+J424+J426</f>
        <v>156</v>
      </c>
      <c r="K419" s="202">
        <f>K420+K421+K426</f>
        <v>0</v>
      </c>
      <c r="L419" s="202">
        <f>L420+L424+L426</f>
        <v>156</v>
      </c>
      <c r="M419" s="202">
        <f>M420+M424+M426</f>
        <v>12915.9</v>
      </c>
      <c r="N419" s="202">
        <f>N420+N424</f>
        <v>57.199999999999989</v>
      </c>
      <c r="O419" s="226">
        <f>O420+O424+O426</f>
        <v>12973.1</v>
      </c>
      <c r="P419" s="226">
        <f>P420+P424+P426</f>
        <v>12903.9</v>
      </c>
      <c r="Q419" s="199">
        <f>P419/O419*100</f>
        <v>99.466588556320374</v>
      </c>
      <c r="R419" s="200"/>
      <c r="S419" s="200"/>
    </row>
    <row r="420" spans="1:19" s="197" customFormat="1" ht="56.25" x14ac:dyDescent="0.25">
      <c r="A420" s="285"/>
      <c r="B420" s="198" t="s">
        <v>134</v>
      </c>
      <c r="C420" s="198" t="s">
        <v>51</v>
      </c>
      <c r="D420" s="201" t="s">
        <v>399</v>
      </c>
      <c r="E420" s="201" t="s">
        <v>411</v>
      </c>
      <c r="F420" s="201" t="s">
        <v>11</v>
      </c>
      <c r="G420" s="202">
        <f>G421+G422+G423</f>
        <v>11954.8</v>
      </c>
      <c r="H420" s="202">
        <f>H421+H422+H423</f>
        <v>92.199999999999989</v>
      </c>
      <c r="I420" s="202">
        <f>I421+I422+I423</f>
        <v>12047</v>
      </c>
      <c r="J420" s="202">
        <f>J421+J422+J423</f>
        <v>0</v>
      </c>
      <c r="K420" s="202">
        <f>SUM(K422)</f>
        <v>0</v>
      </c>
      <c r="L420" s="202">
        <f>L421+L422+L423</f>
        <v>0</v>
      </c>
      <c r="M420" s="202">
        <f>M421+M422+M423</f>
        <v>11954.8</v>
      </c>
      <c r="N420" s="202">
        <f>N421+N422+N423</f>
        <v>92.199999999999989</v>
      </c>
      <c r="O420" s="226">
        <f>O421+O422+O423</f>
        <v>12047</v>
      </c>
      <c r="P420" s="226">
        <f>P421+P422+P423</f>
        <v>11977.8</v>
      </c>
      <c r="Q420" s="199">
        <f>P420/O420*100</f>
        <v>99.425583132730139</v>
      </c>
      <c r="R420" s="200"/>
      <c r="S420" s="200"/>
    </row>
    <row r="421" spans="1:19" s="197" customFormat="1" ht="168.75" customHeight="1" x14ac:dyDescent="0.25">
      <c r="A421" s="285"/>
      <c r="B421" s="198" t="s">
        <v>61</v>
      </c>
      <c r="C421" s="198" t="s">
        <v>51</v>
      </c>
      <c r="D421" s="201" t="s">
        <v>399</v>
      </c>
      <c r="E421" s="201" t="s">
        <v>411</v>
      </c>
      <c r="F421" s="201" t="s">
        <v>62</v>
      </c>
      <c r="G421" s="202">
        <v>8892.2999999999993</v>
      </c>
      <c r="H421" s="202">
        <f>57.2+170</f>
        <v>227.2</v>
      </c>
      <c r="I421" s="202">
        <f>SUM(G421)+H421</f>
        <v>9119.5</v>
      </c>
      <c r="J421" s="206">
        <v>0</v>
      </c>
      <c r="K421" s="202"/>
      <c r="L421" s="206">
        <v>0</v>
      </c>
      <c r="M421" s="202">
        <f>SUM(G421)</f>
        <v>8892.2999999999993</v>
      </c>
      <c r="N421" s="202">
        <f>SUM(H421)</f>
        <v>227.2</v>
      </c>
      <c r="O421" s="226">
        <f>SUM(I421)</f>
        <v>9119.5</v>
      </c>
      <c r="P421" s="226">
        <v>9094.4</v>
      </c>
      <c r="Q421" s="199">
        <f>P421/O421*100</f>
        <v>99.724765612149781</v>
      </c>
      <c r="R421" s="200"/>
      <c r="S421" s="200"/>
    </row>
    <row r="422" spans="1:19" s="197" customFormat="1" ht="75" x14ac:dyDescent="0.25">
      <c r="A422" s="285"/>
      <c r="B422" s="198" t="s">
        <v>40</v>
      </c>
      <c r="C422" s="198" t="s">
        <v>51</v>
      </c>
      <c r="D422" s="201" t="s">
        <v>399</v>
      </c>
      <c r="E422" s="201" t="s">
        <v>411</v>
      </c>
      <c r="F422" s="201" t="s">
        <v>41</v>
      </c>
      <c r="G422" s="202">
        <v>3058.8</v>
      </c>
      <c r="H422" s="202">
        <v>-135</v>
      </c>
      <c r="I422" s="202">
        <f>SUM(G422)+H422</f>
        <v>2923.8</v>
      </c>
      <c r="J422" s="206">
        <v>0</v>
      </c>
      <c r="K422" s="202"/>
      <c r="L422" s="202">
        <f>K422</f>
        <v>0</v>
      </c>
      <c r="M422" s="202">
        <f>SUM(G422)</f>
        <v>3058.8</v>
      </c>
      <c r="N422" s="202">
        <f>SUM(H422+K422)</f>
        <v>-135</v>
      </c>
      <c r="O422" s="226">
        <f>SUM(I422)</f>
        <v>2923.8</v>
      </c>
      <c r="P422" s="226">
        <v>2880.7</v>
      </c>
      <c r="Q422" s="199">
        <f>P422/O422*100</f>
        <v>98.525890963814206</v>
      </c>
      <c r="R422" s="200"/>
      <c r="S422" s="200"/>
    </row>
    <row r="423" spans="1:19" s="197" customFormat="1" ht="24" customHeight="1" x14ac:dyDescent="0.25">
      <c r="A423" s="285"/>
      <c r="B423" s="198" t="s">
        <v>338</v>
      </c>
      <c r="C423" s="198" t="s">
        <v>51</v>
      </c>
      <c r="D423" s="201" t="s">
        <v>399</v>
      </c>
      <c r="E423" s="201" t="s">
        <v>411</v>
      </c>
      <c r="F423" s="201" t="s">
        <v>71</v>
      </c>
      <c r="G423" s="202">
        <v>3.7</v>
      </c>
      <c r="H423" s="202"/>
      <c r="I423" s="202">
        <v>3.7</v>
      </c>
      <c r="J423" s="206">
        <v>0</v>
      </c>
      <c r="K423" s="202"/>
      <c r="L423" s="206">
        <v>0</v>
      </c>
      <c r="M423" s="202">
        <v>3.7</v>
      </c>
      <c r="N423" s="202"/>
      <c r="O423" s="226">
        <v>3.7</v>
      </c>
      <c r="P423" s="226">
        <v>2.7</v>
      </c>
      <c r="Q423" s="199">
        <f>P423/O423*100</f>
        <v>72.972972972972968</v>
      </c>
      <c r="R423" s="200"/>
      <c r="S423" s="200"/>
    </row>
    <row r="424" spans="1:19" s="197" customFormat="1" ht="81.75" customHeight="1" x14ac:dyDescent="0.25">
      <c r="A424" s="285"/>
      <c r="B424" s="198" t="s">
        <v>412</v>
      </c>
      <c r="C424" s="198" t="s">
        <v>51</v>
      </c>
      <c r="D424" s="201" t="s">
        <v>399</v>
      </c>
      <c r="E424" s="201" t="s">
        <v>413</v>
      </c>
      <c r="F424" s="201" t="s">
        <v>11</v>
      </c>
      <c r="G424" s="202">
        <f>G425</f>
        <v>805.1</v>
      </c>
      <c r="H424" s="202">
        <v>-35</v>
      </c>
      <c r="I424" s="202">
        <f>I425</f>
        <v>770.1</v>
      </c>
      <c r="J424" s="202">
        <f>J425</f>
        <v>0</v>
      </c>
      <c r="K424" s="202"/>
      <c r="L424" s="202">
        <f>L425</f>
        <v>0</v>
      </c>
      <c r="M424" s="202">
        <f>M425</f>
        <v>805.1</v>
      </c>
      <c r="N424" s="202">
        <f>N425</f>
        <v>-35</v>
      </c>
      <c r="O424" s="226">
        <f>O425</f>
        <v>770.1</v>
      </c>
      <c r="P424" s="226">
        <f>P425</f>
        <v>770.1</v>
      </c>
      <c r="Q424" s="199">
        <f t="shared" ref="Q424:Q465" si="116">P413/O413*100</f>
        <v>99.996640800833077</v>
      </c>
      <c r="R424" s="200"/>
      <c r="S424" s="200"/>
    </row>
    <row r="425" spans="1:19" s="197" customFormat="1" ht="78" customHeight="1" x14ac:dyDescent="0.25">
      <c r="A425" s="285"/>
      <c r="B425" s="198" t="s">
        <v>40</v>
      </c>
      <c r="C425" s="198" t="s">
        <v>51</v>
      </c>
      <c r="D425" s="201" t="s">
        <v>399</v>
      </c>
      <c r="E425" s="201" t="s">
        <v>413</v>
      </c>
      <c r="F425" s="201" t="s">
        <v>41</v>
      </c>
      <c r="G425" s="202">
        <v>805.1</v>
      </c>
      <c r="H425" s="202">
        <v>-35</v>
      </c>
      <c r="I425" s="202">
        <f>SUM(G425)+H425</f>
        <v>770.1</v>
      </c>
      <c r="J425" s="206">
        <v>0</v>
      </c>
      <c r="K425" s="202"/>
      <c r="L425" s="206">
        <v>0</v>
      </c>
      <c r="M425" s="202">
        <f>SUM(G425)</f>
        <v>805.1</v>
      </c>
      <c r="N425" s="202">
        <f>SUM(H425)</f>
        <v>-35</v>
      </c>
      <c r="O425" s="226">
        <f>SUM(M425)+N425</f>
        <v>770.1</v>
      </c>
      <c r="P425" s="226">
        <v>770.1</v>
      </c>
      <c r="Q425" s="199">
        <f t="shared" si="116"/>
        <v>99.995737970421516</v>
      </c>
      <c r="R425" s="200"/>
      <c r="S425" s="200"/>
    </row>
    <row r="426" spans="1:19" s="197" customFormat="1" ht="40.9" customHeight="1" x14ac:dyDescent="0.25">
      <c r="A426" s="285"/>
      <c r="B426" s="241" t="s">
        <v>414</v>
      </c>
      <c r="C426" s="198">
        <v>992</v>
      </c>
      <c r="D426" s="201" t="s">
        <v>399</v>
      </c>
      <c r="E426" s="211" t="s">
        <v>415</v>
      </c>
      <c r="F426" s="201"/>
      <c r="G426" s="202"/>
      <c r="H426" s="202"/>
      <c r="I426" s="202"/>
      <c r="J426" s="206">
        <v>156</v>
      </c>
      <c r="K426" s="202"/>
      <c r="L426" s="206">
        <f>SUM(L427)</f>
        <v>156</v>
      </c>
      <c r="M426" s="202">
        <f t="shared" ref="M426:P427" si="117">SUM(J426)</f>
        <v>156</v>
      </c>
      <c r="N426" s="202">
        <f t="shared" si="117"/>
        <v>0</v>
      </c>
      <c r="O426" s="226">
        <f t="shared" si="117"/>
        <v>156</v>
      </c>
      <c r="P426" s="226">
        <f t="shared" si="117"/>
        <v>156</v>
      </c>
      <c r="Q426" s="199">
        <f t="shared" si="116"/>
        <v>99.995377859949159</v>
      </c>
      <c r="R426" s="200"/>
      <c r="S426" s="200"/>
    </row>
    <row r="427" spans="1:19" s="197" customFormat="1" ht="75" x14ac:dyDescent="0.25">
      <c r="A427" s="285"/>
      <c r="B427" s="198" t="s">
        <v>40</v>
      </c>
      <c r="C427" s="198">
        <v>992</v>
      </c>
      <c r="D427" s="201" t="s">
        <v>399</v>
      </c>
      <c r="E427" s="211" t="s">
        <v>415</v>
      </c>
      <c r="F427" s="201">
        <v>200</v>
      </c>
      <c r="G427" s="202"/>
      <c r="H427" s="202"/>
      <c r="I427" s="202"/>
      <c r="J427" s="206">
        <v>156</v>
      </c>
      <c r="K427" s="202"/>
      <c r="L427" s="206">
        <f>SUM(J427)</f>
        <v>156</v>
      </c>
      <c r="M427" s="202">
        <f t="shared" si="117"/>
        <v>156</v>
      </c>
      <c r="N427" s="202">
        <f t="shared" si="117"/>
        <v>0</v>
      </c>
      <c r="O427" s="226">
        <f t="shared" si="117"/>
        <v>156</v>
      </c>
      <c r="P427" s="226">
        <v>156</v>
      </c>
      <c r="Q427" s="199">
        <f t="shared" si="116"/>
        <v>100</v>
      </c>
      <c r="R427" s="200"/>
      <c r="S427" s="200"/>
    </row>
    <row r="428" spans="1:19" s="197" customFormat="1" ht="59.25" customHeight="1" x14ac:dyDescent="0.25">
      <c r="A428" s="285"/>
      <c r="B428" s="198" t="s">
        <v>87</v>
      </c>
      <c r="C428" s="198" t="s">
        <v>51</v>
      </c>
      <c r="D428" s="201" t="s">
        <v>399</v>
      </c>
      <c r="E428" s="201" t="s">
        <v>88</v>
      </c>
      <c r="F428" s="201" t="s">
        <v>11</v>
      </c>
      <c r="G428" s="202">
        <f t="shared" ref="G428:P431" si="118">G429</f>
        <v>80</v>
      </c>
      <c r="H428" s="202">
        <f t="shared" si="118"/>
        <v>0</v>
      </c>
      <c r="I428" s="202">
        <f t="shared" si="118"/>
        <v>80</v>
      </c>
      <c r="J428" s="202">
        <f t="shared" si="118"/>
        <v>0</v>
      </c>
      <c r="K428" s="202">
        <f>K429</f>
        <v>0</v>
      </c>
      <c r="L428" s="202">
        <f t="shared" si="118"/>
        <v>0</v>
      </c>
      <c r="M428" s="202">
        <f t="shared" si="118"/>
        <v>80</v>
      </c>
      <c r="N428" s="202">
        <f t="shared" si="118"/>
        <v>0</v>
      </c>
      <c r="O428" s="226">
        <f t="shared" si="118"/>
        <v>80</v>
      </c>
      <c r="P428" s="226">
        <f t="shared" si="118"/>
        <v>80</v>
      </c>
      <c r="Q428" s="199">
        <f t="shared" si="116"/>
        <v>100</v>
      </c>
      <c r="R428" s="200"/>
      <c r="S428" s="200"/>
    </row>
    <row r="429" spans="1:19" s="197" customFormat="1" ht="102.75" customHeight="1" x14ac:dyDescent="0.25">
      <c r="A429" s="285"/>
      <c r="B429" s="198" t="s">
        <v>89</v>
      </c>
      <c r="C429" s="198" t="s">
        <v>51</v>
      </c>
      <c r="D429" s="201" t="s">
        <v>399</v>
      </c>
      <c r="E429" s="201" t="s">
        <v>90</v>
      </c>
      <c r="F429" s="201" t="s">
        <v>11</v>
      </c>
      <c r="G429" s="202">
        <f t="shared" si="118"/>
        <v>80</v>
      </c>
      <c r="H429" s="202">
        <f t="shared" si="118"/>
        <v>0</v>
      </c>
      <c r="I429" s="202">
        <f t="shared" si="118"/>
        <v>80</v>
      </c>
      <c r="J429" s="202">
        <f t="shared" si="118"/>
        <v>0</v>
      </c>
      <c r="K429" s="202">
        <f>K430</f>
        <v>0</v>
      </c>
      <c r="L429" s="202">
        <f t="shared" si="118"/>
        <v>0</v>
      </c>
      <c r="M429" s="202">
        <f t="shared" si="118"/>
        <v>80</v>
      </c>
      <c r="N429" s="202">
        <f t="shared" si="118"/>
        <v>0</v>
      </c>
      <c r="O429" s="226">
        <f t="shared" si="118"/>
        <v>80</v>
      </c>
      <c r="P429" s="226">
        <f t="shared" si="118"/>
        <v>80</v>
      </c>
      <c r="Q429" s="199">
        <f t="shared" si="116"/>
        <v>100</v>
      </c>
      <c r="R429" s="200"/>
      <c r="S429" s="200"/>
    </row>
    <row r="430" spans="1:19" s="197" customFormat="1" ht="175.5" customHeight="1" x14ac:dyDescent="0.25">
      <c r="A430" s="285"/>
      <c r="B430" s="198" t="s">
        <v>91</v>
      </c>
      <c r="C430" s="198" t="s">
        <v>51</v>
      </c>
      <c r="D430" s="201" t="s">
        <v>399</v>
      </c>
      <c r="E430" s="201" t="s">
        <v>92</v>
      </c>
      <c r="F430" s="201" t="s">
        <v>11</v>
      </c>
      <c r="G430" s="202">
        <f t="shared" si="118"/>
        <v>80</v>
      </c>
      <c r="H430" s="202">
        <f t="shared" si="118"/>
        <v>0</v>
      </c>
      <c r="I430" s="202">
        <f t="shared" si="118"/>
        <v>80</v>
      </c>
      <c r="J430" s="202">
        <f t="shared" si="118"/>
        <v>0</v>
      </c>
      <c r="K430" s="202">
        <f>K431</f>
        <v>0</v>
      </c>
      <c r="L430" s="202">
        <f t="shared" si="118"/>
        <v>0</v>
      </c>
      <c r="M430" s="202">
        <f t="shared" si="118"/>
        <v>80</v>
      </c>
      <c r="N430" s="202">
        <f t="shared" si="118"/>
        <v>0</v>
      </c>
      <c r="O430" s="226">
        <f t="shared" si="118"/>
        <v>80</v>
      </c>
      <c r="P430" s="226">
        <f t="shared" si="118"/>
        <v>80</v>
      </c>
      <c r="Q430" s="199">
        <v>100</v>
      </c>
      <c r="R430" s="200"/>
      <c r="S430" s="200"/>
    </row>
    <row r="431" spans="1:19" s="197" customFormat="1" ht="97.5" customHeight="1" x14ac:dyDescent="0.25">
      <c r="A431" s="285"/>
      <c r="B431" s="198" t="s">
        <v>93</v>
      </c>
      <c r="C431" s="198" t="s">
        <v>51</v>
      </c>
      <c r="D431" s="201" t="s">
        <v>399</v>
      </c>
      <c r="E431" s="201" t="s">
        <v>94</v>
      </c>
      <c r="F431" s="201" t="s">
        <v>11</v>
      </c>
      <c r="G431" s="202">
        <f>G432</f>
        <v>80</v>
      </c>
      <c r="H431" s="202"/>
      <c r="I431" s="202">
        <f>I432</f>
        <v>80</v>
      </c>
      <c r="J431" s="202">
        <f t="shared" si="118"/>
        <v>0</v>
      </c>
      <c r="K431" s="202"/>
      <c r="L431" s="202">
        <f t="shared" si="118"/>
        <v>0</v>
      </c>
      <c r="M431" s="202">
        <f t="shared" si="118"/>
        <v>80</v>
      </c>
      <c r="N431" s="202">
        <f t="shared" si="118"/>
        <v>0</v>
      </c>
      <c r="O431" s="226">
        <f t="shared" si="118"/>
        <v>80</v>
      </c>
      <c r="P431" s="226">
        <f t="shared" si="118"/>
        <v>80</v>
      </c>
      <c r="Q431" s="199">
        <v>100</v>
      </c>
      <c r="R431" s="200"/>
      <c r="S431" s="200"/>
    </row>
    <row r="432" spans="1:19" s="197" customFormat="1" ht="75" customHeight="1" x14ac:dyDescent="0.25">
      <c r="A432" s="285"/>
      <c r="B432" s="198" t="s">
        <v>95</v>
      </c>
      <c r="C432" s="198" t="s">
        <v>51</v>
      </c>
      <c r="D432" s="201" t="s">
        <v>399</v>
      </c>
      <c r="E432" s="201" t="s">
        <v>94</v>
      </c>
      <c r="F432" s="201" t="s">
        <v>96</v>
      </c>
      <c r="G432" s="202">
        <v>80</v>
      </c>
      <c r="H432" s="202"/>
      <c r="I432" s="202">
        <v>80</v>
      </c>
      <c r="J432" s="206">
        <v>0</v>
      </c>
      <c r="K432" s="202"/>
      <c r="L432" s="206">
        <v>0</v>
      </c>
      <c r="M432" s="202">
        <v>80</v>
      </c>
      <c r="N432" s="202"/>
      <c r="O432" s="226">
        <v>80</v>
      </c>
      <c r="P432" s="226">
        <v>80</v>
      </c>
      <c r="Q432" s="199">
        <v>100</v>
      </c>
      <c r="R432" s="200"/>
      <c r="S432" s="200"/>
    </row>
    <row r="433" spans="1:20" s="197" customFormat="1" ht="23.25" customHeight="1" x14ac:dyDescent="0.25">
      <c r="A433" s="285"/>
      <c r="B433" s="198" t="s">
        <v>417</v>
      </c>
      <c r="C433" s="198" t="s">
        <v>51</v>
      </c>
      <c r="D433" s="201" t="s">
        <v>418</v>
      </c>
      <c r="E433" s="201" t="s">
        <v>11</v>
      </c>
      <c r="F433" s="201" t="s">
        <v>11</v>
      </c>
      <c r="G433" s="202">
        <f>G434+G440+G449+G455</f>
        <v>58023.9</v>
      </c>
      <c r="H433" s="205">
        <f>H434+H440+H449</f>
        <v>-7662.6</v>
      </c>
      <c r="I433" s="202">
        <f>I434+I440+I449+I455</f>
        <v>50361.3</v>
      </c>
      <c r="J433" s="202">
        <f>J434+J440+J449+J455</f>
        <v>2934.3</v>
      </c>
      <c r="K433" s="205">
        <f>K434+K440+K449</f>
        <v>6745.6</v>
      </c>
      <c r="L433" s="202">
        <f>L434+L440+L449+L455+L446</f>
        <v>16425.5</v>
      </c>
      <c r="M433" s="202">
        <f>M434+M440+M449+M455</f>
        <v>60958.2</v>
      </c>
      <c r="N433" s="202">
        <f>N434+N440+N449+N455</f>
        <v>-917</v>
      </c>
      <c r="O433" s="226">
        <f>O434+O440+O449+O455</f>
        <v>59441.2</v>
      </c>
      <c r="P433" s="226">
        <f>P434+P440+P449+P455</f>
        <v>47023.199999999997</v>
      </c>
      <c r="Q433" s="199">
        <f>SUM(P433/O433*100)</f>
        <v>79.108766310236007</v>
      </c>
      <c r="R433" s="200"/>
      <c r="S433" s="200"/>
    </row>
    <row r="434" spans="1:20" s="197" customFormat="1" ht="18.75" x14ac:dyDescent="0.25">
      <c r="A434" s="285"/>
      <c r="B434" s="198" t="s">
        <v>420</v>
      </c>
      <c r="C434" s="198" t="s">
        <v>51</v>
      </c>
      <c r="D434" s="201" t="s">
        <v>421</v>
      </c>
      <c r="E434" s="204" t="s">
        <v>11</v>
      </c>
      <c r="F434" s="204" t="s">
        <v>11</v>
      </c>
      <c r="G434" s="205">
        <f t="shared" ref="G434:P438" si="119">G435</f>
        <v>4325.5</v>
      </c>
      <c r="H434" s="202">
        <f t="shared" si="119"/>
        <v>0</v>
      </c>
      <c r="I434" s="205">
        <f t="shared" si="119"/>
        <v>4325.5</v>
      </c>
      <c r="J434" s="205">
        <f t="shared" si="119"/>
        <v>0</v>
      </c>
      <c r="K434" s="202">
        <f>K435</f>
        <v>0</v>
      </c>
      <c r="L434" s="205">
        <f t="shared" si="119"/>
        <v>0</v>
      </c>
      <c r="M434" s="205">
        <f t="shared" si="119"/>
        <v>4325.5</v>
      </c>
      <c r="N434" s="205">
        <f t="shared" si="119"/>
        <v>0</v>
      </c>
      <c r="O434" s="227">
        <f t="shared" si="119"/>
        <v>4325.5</v>
      </c>
      <c r="P434" s="227">
        <f t="shared" si="119"/>
        <v>4324.3999999999996</v>
      </c>
      <c r="Q434" s="199">
        <v>100</v>
      </c>
      <c r="R434" s="200"/>
      <c r="S434" s="200"/>
    </row>
    <row r="435" spans="1:20" s="197" customFormat="1" ht="57" customHeight="1" x14ac:dyDescent="0.25">
      <c r="A435" s="285"/>
      <c r="B435" s="198" t="s">
        <v>87</v>
      </c>
      <c r="C435" s="198" t="s">
        <v>51</v>
      </c>
      <c r="D435" s="201" t="s">
        <v>421</v>
      </c>
      <c r="E435" s="201" t="s">
        <v>88</v>
      </c>
      <c r="F435" s="201" t="s">
        <v>11</v>
      </c>
      <c r="G435" s="202">
        <f t="shared" si="119"/>
        <v>4325.5</v>
      </c>
      <c r="H435" s="202">
        <f t="shared" si="119"/>
        <v>0</v>
      </c>
      <c r="I435" s="202">
        <f t="shared" si="119"/>
        <v>4325.5</v>
      </c>
      <c r="J435" s="202">
        <f t="shared" si="119"/>
        <v>0</v>
      </c>
      <c r="K435" s="202">
        <f>K436</f>
        <v>0</v>
      </c>
      <c r="L435" s="202">
        <f t="shared" si="119"/>
        <v>0</v>
      </c>
      <c r="M435" s="202">
        <f t="shared" si="119"/>
        <v>4325.5</v>
      </c>
      <c r="N435" s="202">
        <f t="shared" si="119"/>
        <v>0</v>
      </c>
      <c r="O435" s="226">
        <f t="shared" si="119"/>
        <v>4325.5</v>
      </c>
      <c r="P435" s="226">
        <f t="shared" si="119"/>
        <v>4324.3999999999996</v>
      </c>
      <c r="Q435" s="199">
        <f t="shared" si="116"/>
        <v>100</v>
      </c>
      <c r="R435" s="200"/>
      <c r="S435" s="200"/>
    </row>
    <row r="436" spans="1:20" s="197" customFormat="1" ht="57" customHeight="1" x14ac:dyDescent="0.25">
      <c r="A436" s="285"/>
      <c r="B436" s="198" t="s">
        <v>422</v>
      </c>
      <c r="C436" s="198" t="s">
        <v>51</v>
      </c>
      <c r="D436" s="201" t="s">
        <v>421</v>
      </c>
      <c r="E436" s="201" t="s">
        <v>423</v>
      </c>
      <c r="F436" s="201" t="s">
        <v>11</v>
      </c>
      <c r="G436" s="202">
        <f t="shared" si="119"/>
        <v>4325.5</v>
      </c>
      <c r="H436" s="202">
        <f t="shared" si="119"/>
        <v>0</v>
      </c>
      <c r="I436" s="202">
        <f t="shared" si="119"/>
        <v>4325.5</v>
      </c>
      <c r="J436" s="202">
        <f t="shared" si="119"/>
        <v>0</v>
      </c>
      <c r="K436" s="202">
        <f>K437</f>
        <v>0</v>
      </c>
      <c r="L436" s="202">
        <f t="shared" si="119"/>
        <v>0</v>
      </c>
      <c r="M436" s="202">
        <f t="shared" si="119"/>
        <v>4325.5</v>
      </c>
      <c r="N436" s="202">
        <f t="shared" si="119"/>
        <v>0</v>
      </c>
      <c r="O436" s="226">
        <f t="shared" si="119"/>
        <v>4325.5</v>
      </c>
      <c r="P436" s="226">
        <f t="shared" si="119"/>
        <v>4324.3999999999996</v>
      </c>
      <c r="Q436" s="199">
        <f t="shared" si="116"/>
        <v>100</v>
      </c>
      <c r="R436" s="200"/>
      <c r="S436" s="200"/>
    </row>
    <row r="437" spans="1:20" s="197" customFormat="1" ht="99" customHeight="1" x14ac:dyDescent="0.25">
      <c r="A437" s="285"/>
      <c r="B437" s="198" t="s">
        <v>424</v>
      </c>
      <c r="C437" s="198" t="s">
        <v>51</v>
      </c>
      <c r="D437" s="201" t="s">
        <v>421</v>
      </c>
      <c r="E437" s="201" t="s">
        <v>425</v>
      </c>
      <c r="F437" s="201" t="s">
        <v>11</v>
      </c>
      <c r="G437" s="202">
        <f t="shared" si="119"/>
        <v>4325.5</v>
      </c>
      <c r="H437" s="202">
        <f t="shared" si="119"/>
        <v>0</v>
      </c>
      <c r="I437" s="202">
        <f t="shared" si="119"/>
        <v>4325.5</v>
      </c>
      <c r="J437" s="202">
        <f t="shared" si="119"/>
        <v>0</v>
      </c>
      <c r="K437" s="202">
        <f>K438</f>
        <v>0</v>
      </c>
      <c r="L437" s="202">
        <f t="shared" si="119"/>
        <v>0</v>
      </c>
      <c r="M437" s="202">
        <f t="shared" si="119"/>
        <v>4325.5</v>
      </c>
      <c r="N437" s="202">
        <f t="shared" si="119"/>
        <v>0</v>
      </c>
      <c r="O437" s="226">
        <f t="shared" si="119"/>
        <v>4325.5</v>
      </c>
      <c r="P437" s="226">
        <f t="shared" si="119"/>
        <v>4324.3999999999996</v>
      </c>
      <c r="Q437" s="199">
        <f t="shared" si="116"/>
        <v>100</v>
      </c>
      <c r="R437" s="200"/>
      <c r="S437" s="200"/>
    </row>
    <row r="438" spans="1:20" s="197" customFormat="1" ht="79.5" customHeight="1" x14ac:dyDescent="0.25">
      <c r="A438" s="285"/>
      <c r="B438" s="198" t="s">
        <v>426</v>
      </c>
      <c r="C438" s="198" t="s">
        <v>51</v>
      </c>
      <c r="D438" s="201" t="s">
        <v>421</v>
      </c>
      <c r="E438" s="201" t="s">
        <v>427</v>
      </c>
      <c r="F438" s="201" t="s">
        <v>11</v>
      </c>
      <c r="G438" s="202">
        <f>G439</f>
        <v>4325.5</v>
      </c>
      <c r="H438" s="202">
        <f>H439</f>
        <v>0</v>
      </c>
      <c r="I438" s="202">
        <f>I439</f>
        <v>4325.5</v>
      </c>
      <c r="J438" s="202">
        <f t="shared" si="119"/>
        <v>0</v>
      </c>
      <c r="K438" s="202"/>
      <c r="L438" s="202">
        <f t="shared" si="119"/>
        <v>0</v>
      </c>
      <c r="M438" s="202">
        <f t="shared" si="119"/>
        <v>4325.5</v>
      </c>
      <c r="N438" s="202">
        <f t="shared" si="119"/>
        <v>0</v>
      </c>
      <c r="O438" s="226">
        <f t="shared" si="119"/>
        <v>4325.5</v>
      </c>
      <c r="P438" s="226">
        <f t="shared" si="119"/>
        <v>4324.3999999999996</v>
      </c>
      <c r="Q438" s="199">
        <f t="shared" si="116"/>
        <v>100</v>
      </c>
      <c r="R438" s="200"/>
      <c r="S438" s="200"/>
    </row>
    <row r="439" spans="1:20" s="197" customFormat="1" ht="42.75" customHeight="1" x14ac:dyDescent="0.25">
      <c r="A439" s="285"/>
      <c r="B439" s="198" t="s">
        <v>112</v>
      </c>
      <c r="C439" s="198" t="s">
        <v>51</v>
      </c>
      <c r="D439" s="201" t="s">
        <v>421</v>
      </c>
      <c r="E439" s="201" t="s">
        <v>427</v>
      </c>
      <c r="F439" s="201" t="s">
        <v>113</v>
      </c>
      <c r="G439" s="202">
        <v>4325.5</v>
      </c>
      <c r="H439" s="202"/>
      <c r="I439" s="202">
        <f>SUM(G439:H439)</f>
        <v>4325.5</v>
      </c>
      <c r="J439" s="206">
        <v>0</v>
      </c>
      <c r="K439" s="205"/>
      <c r="L439" s="206">
        <v>0</v>
      </c>
      <c r="M439" s="202">
        <f>SUM(G439)</f>
        <v>4325.5</v>
      </c>
      <c r="N439" s="202">
        <f>H439+K439</f>
        <v>0</v>
      </c>
      <c r="O439" s="226">
        <f>SUM(M439:N439)</f>
        <v>4325.5</v>
      </c>
      <c r="P439" s="226">
        <v>4324.3999999999996</v>
      </c>
      <c r="Q439" s="199">
        <f t="shared" si="116"/>
        <v>100</v>
      </c>
      <c r="R439" s="200"/>
      <c r="S439" s="200"/>
    </row>
    <row r="440" spans="1:20" s="197" customFormat="1" ht="37.5" x14ac:dyDescent="0.25">
      <c r="A440" s="285"/>
      <c r="B440" s="198" t="s">
        <v>429</v>
      </c>
      <c r="C440" s="203" t="s">
        <v>51</v>
      </c>
      <c r="D440" s="204" t="s">
        <v>430</v>
      </c>
      <c r="E440" s="204" t="s">
        <v>11</v>
      </c>
      <c r="F440" s="204" t="s">
        <v>11</v>
      </c>
      <c r="G440" s="205">
        <f t="shared" ref="G440:P444" si="120">G441</f>
        <v>51780</v>
      </c>
      <c r="H440" s="202">
        <f t="shared" si="120"/>
        <v>-7662.6</v>
      </c>
      <c r="I440" s="205">
        <f t="shared" si="120"/>
        <v>44117.4</v>
      </c>
      <c r="J440" s="205">
        <f t="shared" si="120"/>
        <v>0</v>
      </c>
      <c r="K440" s="202">
        <f>K441+K446</f>
        <v>6745.6</v>
      </c>
      <c r="L440" s="205">
        <f>L441+L446</f>
        <v>6745.6</v>
      </c>
      <c r="M440" s="205">
        <f t="shared" si="120"/>
        <v>51780</v>
      </c>
      <c r="N440" s="205">
        <f>N441+N446</f>
        <v>-917</v>
      </c>
      <c r="O440" s="227">
        <f>O441+O446</f>
        <v>50263</v>
      </c>
      <c r="P440" s="227">
        <f>P441+P446</f>
        <v>37936.1</v>
      </c>
      <c r="Q440" s="199">
        <f>P440/O440*100</f>
        <v>75.475200445655844</v>
      </c>
      <c r="R440" s="200"/>
      <c r="S440" s="200"/>
    </row>
    <row r="441" spans="1:20" s="197" customFormat="1" ht="56.25" customHeight="1" x14ac:dyDescent="0.25">
      <c r="A441" s="285"/>
      <c r="B441" s="198" t="s">
        <v>87</v>
      </c>
      <c r="C441" s="198" t="s">
        <v>51</v>
      </c>
      <c r="D441" s="201" t="s">
        <v>430</v>
      </c>
      <c r="E441" s="201" t="s">
        <v>88</v>
      </c>
      <c r="F441" s="201" t="s">
        <v>11</v>
      </c>
      <c r="G441" s="202">
        <f t="shared" si="120"/>
        <v>51780</v>
      </c>
      <c r="H441" s="202">
        <f t="shared" si="120"/>
        <v>-7662.6</v>
      </c>
      <c r="I441" s="202">
        <f t="shared" si="120"/>
        <v>44117.4</v>
      </c>
      <c r="J441" s="202">
        <f t="shared" si="120"/>
        <v>0</v>
      </c>
      <c r="K441" s="202">
        <f>K442</f>
        <v>0</v>
      </c>
      <c r="L441" s="202">
        <f t="shared" si="120"/>
        <v>0</v>
      </c>
      <c r="M441" s="202">
        <f t="shared" si="120"/>
        <v>51780</v>
      </c>
      <c r="N441" s="202">
        <f t="shared" si="120"/>
        <v>-7662.6</v>
      </c>
      <c r="O441" s="226">
        <f t="shared" si="120"/>
        <v>43517.4</v>
      </c>
      <c r="P441" s="226">
        <f t="shared" si="120"/>
        <v>31190.5</v>
      </c>
      <c r="Q441" s="199">
        <f>P441/O441*100</f>
        <v>71.67362939881518</v>
      </c>
      <c r="R441" s="200"/>
      <c r="S441" s="200"/>
    </row>
    <row r="442" spans="1:20" s="197" customFormat="1" ht="56.25" x14ac:dyDescent="0.25">
      <c r="A442" s="285"/>
      <c r="B442" s="198" t="s">
        <v>422</v>
      </c>
      <c r="C442" s="198" t="s">
        <v>51</v>
      </c>
      <c r="D442" s="201" t="s">
        <v>430</v>
      </c>
      <c r="E442" s="201" t="s">
        <v>423</v>
      </c>
      <c r="F442" s="201" t="s">
        <v>11</v>
      </c>
      <c r="G442" s="202">
        <f t="shared" si="120"/>
        <v>51780</v>
      </c>
      <c r="H442" s="202">
        <f t="shared" si="120"/>
        <v>-7662.6</v>
      </c>
      <c r="I442" s="202">
        <f t="shared" si="120"/>
        <v>44117.4</v>
      </c>
      <c r="J442" s="202">
        <f t="shared" si="120"/>
        <v>0</v>
      </c>
      <c r="K442" s="202">
        <f>K443</f>
        <v>0</v>
      </c>
      <c r="L442" s="202">
        <f t="shared" si="120"/>
        <v>0</v>
      </c>
      <c r="M442" s="202">
        <f t="shared" si="120"/>
        <v>51780</v>
      </c>
      <c r="N442" s="202">
        <f t="shared" si="120"/>
        <v>-7662.6</v>
      </c>
      <c r="O442" s="226">
        <f t="shared" si="120"/>
        <v>43517.4</v>
      </c>
      <c r="P442" s="226">
        <f t="shared" si="120"/>
        <v>31190.5</v>
      </c>
      <c r="Q442" s="199">
        <f t="shared" ref="Q442:Q443" si="121">P442/O442*100</f>
        <v>71.67362939881518</v>
      </c>
      <c r="R442" s="200"/>
      <c r="S442" s="200"/>
    </row>
    <row r="443" spans="1:20" s="197" customFormat="1" ht="56.25" x14ac:dyDescent="0.25">
      <c r="A443" s="285"/>
      <c r="B443" s="198" t="s">
        <v>431</v>
      </c>
      <c r="C443" s="198" t="s">
        <v>51</v>
      </c>
      <c r="D443" s="201" t="s">
        <v>430</v>
      </c>
      <c r="E443" s="201" t="s">
        <v>432</v>
      </c>
      <c r="F443" s="201" t="s">
        <v>11</v>
      </c>
      <c r="G443" s="202">
        <f t="shared" si="120"/>
        <v>51780</v>
      </c>
      <c r="H443" s="202">
        <f t="shared" si="120"/>
        <v>-7662.6</v>
      </c>
      <c r="I443" s="202">
        <f t="shared" si="120"/>
        <v>44117.4</v>
      </c>
      <c r="J443" s="202">
        <f t="shared" si="120"/>
        <v>0</v>
      </c>
      <c r="K443" s="202">
        <f>K444</f>
        <v>0</v>
      </c>
      <c r="L443" s="202">
        <f t="shared" si="120"/>
        <v>0</v>
      </c>
      <c r="M443" s="202">
        <f t="shared" si="120"/>
        <v>51780</v>
      </c>
      <c r="N443" s="202">
        <f t="shared" si="120"/>
        <v>-7662.6</v>
      </c>
      <c r="O443" s="226">
        <f t="shared" si="120"/>
        <v>43517.4</v>
      </c>
      <c r="P443" s="226">
        <f t="shared" si="120"/>
        <v>31190.5</v>
      </c>
      <c r="Q443" s="199">
        <f t="shared" si="121"/>
        <v>71.67362939881518</v>
      </c>
      <c r="R443" s="200"/>
      <c r="S443" s="200"/>
    </row>
    <row r="444" spans="1:20" s="197" customFormat="1" ht="21" customHeight="1" x14ac:dyDescent="0.25">
      <c r="A444" s="285"/>
      <c r="B444" s="198" t="s">
        <v>433</v>
      </c>
      <c r="C444" s="198" t="s">
        <v>51</v>
      </c>
      <c r="D444" s="201" t="s">
        <v>430</v>
      </c>
      <c r="E444" s="201" t="s">
        <v>434</v>
      </c>
      <c r="F444" s="201" t="s">
        <v>11</v>
      </c>
      <c r="G444" s="202">
        <f>G445</f>
        <v>51780</v>
      </c>
      <c r="H444" s="205">
        <f>-124.7-20.3-63.9-76.7-188.1-426.4-6408.4-155.7-21-120.6-50-6.8</f>
        <v>-7662.6</v>
      </c>
      <c r="I444" s="202">
        <f>I445</f>
        <v>44117.4</v>
      </c>
      <c r="J444" s="202">
        <f t="shared" si="120"/>
        <v>0</v>
      </c>
      <c r="K444" s="202"/>
      <c r="L444" s="202">
        <f t="shared" si="120"/>
        <v>0</v>
      </c>
      <c r="M444" s="202">
        <f t="shared" si="120"/>
        <v>51780</v>
      </c>
      <c r="N444" s="202">
        <f t="shared" si="120"/>
        <v>-7662.6</v>
      </c>
      <c r="O444" s="226">
        <f t="shared" si="120"/>
        <v>43517.4</v>
      </c>
      <c r="P444" s="226">
        <f t="shared" si="120"/>
        <v>31190.5</v>
      </c>
      <c r="Q444" s="199">
        <f>SUM(P444/O444*100)</f>
        <v>71.67362939881518</v>
      </c>
      <c r="R444" s="200"/>
      <c r="S444" s="200"/>
    </row>
    <row r="445" spans="1:20" s="197" customFormat="1" ht="42" customHeight="1" x14ac:dyDescent="0.25">
      <c r="A445" s="285"/>
      <c r="B445" s="198" t="s">
        <v>112</v>
      </c>
      <c r="C445" s="198" t="s">
        <v>51</v>
      </c>
      <c r="D445" s="201" t="s">
        <v>430</v>
      </c>
      <c r="E445" s="201" t="s">
        <v>434</v>
      </c>
      <c r="F445" s="201" t="s">
        <v>113</v>
      </c>
      <c r="G445" s="202">
        <v>51780</v>
      </c>
      <c r="H445" s="205">
        <f>-124.7-20.3-63.9-76.7-188.1-426.4-6408.4-155.7-21-120.6-50-6.8</f>
        <v>-7662.6</v>
      </c>
      <c r="I445" s="202">
        <f>SUM(G445)+H445</f>
        <v>44117.4</v>
      </c>
      <c r="J445" s="206">
        <v>0</v>
      </c>
      <c r="K445" s="205"/>
      <c r="L445" s="206">
        <v>0</v>
      </c>
      <c r="M445" s="202">
        <f>SUM(G445)</f>
        <v>51780</v>
      </c>
      <c r="N445" s="202">
        <f>SUM(H445)</f>
        <v>-7662.6</v>
      </c>
      <c r="O445" s="226">
        <v>43517.4</v>
      </c>
      <c r="P445" s="226">
        <v>31190.5</v>
      </c>
      <c r="Q445" s="199">
        <f>SUM(P445/O445*100)</f>
        <v>71.67362939881518</v>
      </c>
      <c r="R445" s="200"/>
      <c r="S445" s="200"/>
    </row>
    <row r="446" spans="1:20" s="197" customFormat="1" ht="37.5" x14ac:dyDescent="0.25">
      <c r="A446" s="285"/>
      <c r="B446" s="207" t="s">
        <v>80</v>
      </c>
      <c r="C446" s="198">
        <v>992</v>
      </c>
      <c r="D446" s="201" t="s">
        <v>430</v>
      </c>
      <c r="E446" s="201">
        <v>5230000000</v>
      </c>
      <c r="F446" s="201"/>
      <c r="G446" s="202"/>
      <c r="H446" s="205"/>
      <c r="I446" s="202"/>
      <c r="J446" s="206"/>
      <c r="K446" s="205">
        <f>SUM(K447)</f>
        <v>6745.6</v>
      </c>
      <c r="L446" s="206">
        <f>SUM(L447)</f>
        <v>6745.6</v>
      </c>
      <c r="M446" s="202"/>
      <c r="N446" s="202">
        <f t="shared" ref="N446:O448" si="122">SUM(K446)</f>
        <v>6745.6</v>
      </c>
      <c r="O446" s="226">
        <f t="shared" si="122"/>
        <v>6745.6</v>
      </c>
      <c r="P446" s="226">
        <f>SUM(P447)</f>
        <v>6745.6</v>
      </c>
      <c r="Q446" s="199">
        <f>SUM(P446/O446*100)</f>
        <v>100</v>
      </c>
      <c r="R446" s="200"/>
      <c r="S446" s="200"/>
      <c r="T446" s="215"/>
    </row>
    <row r="447" spans="1:20" s="197" customFormat="1" ht="76.5" customHeight="1" x14ac:dyDescent="0.25">
      <c r="A447" s="285"/>
      <c r="B447" s="243" t="s">
        <v>610</v>
      </c>
      <c r="C447" s="198">
        <v>992</v>
      </c>
      <c r="D447" s="201">
        <v>1003</v>
      </c>
      <c r="E447" s="201">
        <v>5230062590</v>
      </c>
      <c r="F447" s="201"/>
      <c r="G447" s="202"/>
      <c r="H447" s="205"/>
      <c r="I447" s="202"/>
      <c r="J447" s="206"/>
      <c r="K447" s="205">
        <f>SUM(K448)</f>
        <v>6745.6</v>
      </c>
      <c r="L447" s="206">
        <f>SUM(L448)</f>
        <v>6745.6</v>
      </c>
      <c r="M447" s="202"/>
      <c r="N447" s="202">
        <f t="shared" si="122"/>
        <v>6745.6</v>
      </c>
      <c r="O447" s="226">
        <f t="shared" si="122"/>
        <v>6745.6</v>
      </c>
      <c r="P447" s="226">
        <f>SUM(P448)</f>
        <v>6745.6</v>
      </c>
      <c r="Q447" s="199">
        <f t="shared" si="116"/>
        <v>99.974569413940571</v>
      </c>
      <c r="R447" s="200"/>
      <c r="S447" s="200"/>
    </row>
    <row r="448" spans="1:20" s="197" customFormat="1" ht="39" customHeight="1" x14ac:dyDescent="0.25">
      <c r="A448" s="285"/>
      <c r="B448" s="198" t="s">
        <v>112</v>
      </c>
      <c r="C448" s="198">
        <v>992</v>
      </c>
      <c r="D448" s="201">
        <v>1003</v>
      </c>
      <c r="E448" s="201">
        <v>5230062590</v>
      </c>
      <c r="F448" s="201">
        <v>300</v>
      </c>
      <c r="G448" s="202"/>
      <c r="H448" s="205"/>
      <c r="I448" s="202"/>
      <c r="J448" s="206"/>
      <c r="K448" s="205">
        <v>6745.6</v>
      </c>
      <c r="L448" s="206">
        <f>SUM(K448)</f>
        <v>6745.6</v>
      </c>
      <c r="M448" s="202"/>
      <c r="N448" s="202">
        <f t="shared" si="122"/>
        <v>6745.6</v>
      </c>
      <c r="O448" s="226">
        <f t="shared" si="122"/>
        <v>6745.6</v>
      </c>
      <c r="P448" s="226">
        <v>6745.6</v>
      </c>
      <c r="Q448" s="199">
        <f t="shared" si="116"/>
        <v>99.974569413940571</v>
      </c>
      <c r="R448" s="200"/>
      <c r="S448" s="200"/>
    </row>
    <row r="449" spans="1:23" s="197" customFormat="1" ht="18.75" x14ac:dyDescent="0.25">
      <c r="A449" s="285"/>
      <c r="B449" s="198" t="s">
        <v>436</v>
      </c>
      <c r="C449" s="198" t="s">
        <v>51</v>
      </c>
      <c r="D449" s="201" t="s">
        <v>437</v>
      </c>
      <c r="E449" s="204" t="s">
        <v>11</v>
      </c>
      <c r="F449" s="204" t="s">
        <v>11</v>
      </c>
      <c r="G449" s="205">
        <f t="shared" ref="G449:P453" si="123">G450</f>
        <v>1798.4</v>
      </c>
      <c r="H449" s="205">
        <f t="shared" si="123"/>
        <v>0</v>
      </c>
      <c r="I449" s="205">
        <f t="shared" si="123"/>
        <v>1798.4</v>
      </c>
      <c r="J449" s="205">
        <f t="shared" si="123"/>
        <v>2934.3</v>
      </c>
      <c r="K449" s="205">
        <f>K450</f>
        <v>0</v>
      </c>
      <c r="L449" s="205">
        <f t="shared" si="123"/>
        <v>2934.3</v>
      </c>
      <c r="M449" s="205">
        <f t="shared" si="123"/>
        <v>4732.7000000000007</v>
      </c>
      <c r="N449" s="205">
        <f t="shared" si="123"/>
        <v>0</v>
      </c>
      <c r="O449" s="227">
        <f t="shared" si="123"/>
        <v>4732.7000000000007</v>
      </c>
      <c r="P449" s="227">
        <f t="shared" si="123"/>
        <v>4732.7</v>
      </c>
      <c r="Q449" s="199">
        <f t="shared" si="116"/>
        <v>99.974569413940571</v>
      </c>
      <c r="R449" s="200"/>
      <c r="S449" s="200"/>
    </row>
    <row r="450" spans="1:23" s="197" customFormat="1" ht="57.75" customHeight="1" x14ac:dyDescent="0.25">
      <c r="A450" s="285"/>
      <c r="B450" s="198" t="s">
        <v>245</v>
      </c>
      <c r="C450" s="198" t="s">
        <v>51</v>
      </c>
      <c r="D450" s="201" t="s">
        <v>437</v>
      </c>
      <c r="E450" s="201" t="s">
        <v>246</v>
      </c>
      <c r="F450" s="201" t="s">
        <v>11</v>
      </c>
      <c r="G450" s="202">
        <f t="shared" si="123"/>
        <v>1798.4</v>
      </c>
      <c r="H450" s="202">
        <f t="shared" si="123"/>
        <v>0</v>
      </c>
      <c r="I450" s="202">
        <f t="shared" si="123"/>
        <v>1798.4</v>
      </c>
      <c r="J450" s="202">
        <f t="shared" si="123"/>
        <v>2934.3</v>
      </c>
      <c r="K450" s="202">
        <f>K451</f>
        <v>0</v>
      </c>
      <c r="L450" s="202">
        <f t="shared" si="123"/>
        <v>2934.3</v>
      </c>
      <c r="M450" s="202">
        <f t="shared" si="123"/>
        <v>4732.7000000000007</v>
      </c>
      <c r="N450" s="202">
        <f t="shared" si="123"/>
        <v>0</v>
      </c>
      <c r="O450" s="226">
        <f t="shared" si="123"/>
        <v>4732.7000000000007</v>
      </c>
      <c r="P450" s="226">
        <f t="shared" si="123"/>
        <v>4732.7</v>
      </c>
      <c r="Q450" s="199">
        <f t="shared" si="116"/>
        <v>99.974569413940571</v>
      </c>
      <c r="R450" s="200"/>
      <c r="S450" s="200"/>
    </row>
    <row r="451" spans="1:23" s="197" customFormat="1" ht="42" customHeight="1" x14ac:dyDescent="0.25">
      <c r="A451" s="285"/>
      <c r="B451" s="198" t="s">
        <v>438</v>
      </c>
      <c r="C451" s="198" t="s">
        <v>51</v>
      </c>
      <c r="D451" s="201" t="s">
        <v>437</v>
      </c>
      <c r="E451" s="201" t="s">
        <v>439</v>
      </c>
      <c r="F451" s="201" t="s">
        <v>11</v>
      </c>
      <c r="G451" s="202">
        <f t="shared" si="123"/>
        <v>1798.4</v>
      </c>
      <c r="H451" s="202">
        <f t="shared" si="123"/>
        <v>0</v>
      </c>
      <c r="I451" s="202">
        <f t="shared" si="123"/>
        <v>1798.4</v>
      </c>
      <c r="J451" s="202">
        <f t="shared" si="123"/>
        <v>2934.3</v>
      </c>
      <c r="K451" s="202">
        <f>K452</f>
        <v>0</v>
      </c>
      <c r="L451" s="202">
        <f t="shared" si="123"/>
        <v>2934.3</v>
      </c>
      <c r="M451" s="202">
        <f t="shared" si="123"/>
        <v>4732.7000000000007</v>
      </c>
      <c r="N451" s="202">
        <f t="shared" si="123"/>
        <v>0</v>
      </c>
      <c r="O451" s="226">
        <f t="shared" si="123"/>
        <v>4732.7000000000007</v>
      </c>
      <c r="P451" s="226">
        <f t="shared" si="123"/>
        <v>4732.7</v>
      </c>
      <c r="Q451" s="199">
        <v>100</v>
      </c>
      <c r="R451" s="200"/>
      <c r="S451" s="200"/>
    </row>
    <row r="452" spans="1:23" s="197" customFormat="1" ht="76.5" customHeight="1" x14ac:dyDescent="0.25">
      <c r="A452" s="285"/>
      <c r="B452" s="198" t="s">
        <v>599</v>
      </c>
      <c r="C452" s="198" t="s">
        <v>51</v>
      </c>
      <c r="D452" s="201" t="s">
        <v>437</v>
      </c>
      <c r="E452" s="201" t="s">
        <v>441</v>
      </c>
      <c r="F452" s="201" t="s">
        <v>11</v>
      </c>
      <c r="G452" s="202">
        <f t="shared" si="123"/>
        <v>1798.4</v>
      </c>
      <c r="H452" s="202">
        <f t="shared" si="123"/>
        <v>0</v>
      </c>
      <c r="I452" s="202">
        <f t="shared" si="123"/>
        <v>1798.4</v>
      </c>
      <c r="J452" s="202">
        <f t="shared" si="123"/>
        <v>2934.3</v>
      </c>
      <c r="K452" s="202">
        <f>K453</f>
        <v>0</v>
      </c>
      <c r="L452" s="202">
        <f t="shared" si="123"/>
        <v>2934.3</v>
      </c>
      <c r="M452" s="202">
        <f t="shared" si="123"/>
        <v>4732.7000000000007</v>
      </c>
      <c r="N452" s="202">
        <f t="shared" si="123"/>
        <v>0</v>
      </c>
      <c r="O452" s="226">
        <f t="shared" si="123"/>
        <v>4732.7000000000007</v>
      </c>
      <c r="P452" s="226">
        <f t="shared" si="123"/>
        <v>4732.7</v>
      </c>
      <c r="Q452" s="199">
        <v>100</v>
      </c>
      <c r="R452" s="200"/>
      <c r="S452" s="200"/>
    </row>
    <row r="453" spans="1:23" s="197" customFormat="1" ht="56.25" x14ac:dyDescent="0.25">
      <c r="A453" s="285"/>
      <c r="B453" s="198" t="s">
        <v>442</v>
      </c>
      <c r="C453" s="198" t="s">
        <v>51</v>
      </c>
      <c r="D453" s="201" t="s">
        <v>437</v>
      </c>
      <c r="E453" s="201" t="s">
        <v>443</v>
      </c>
      <c r="F453" s="201" t="s">
        <v>11</v>
      </c>
      <c r="G453" s="202">
        <f>G454</f>
        <v>1798.4</v>
      </c>
      <c r="H453" s="202">
        <f>H454</f>
        <v>0</v>
      </c>
      <c r="I453" s="202">
        <f>I454</f>
        <v>1798.4</v>
      </c>
      <c r="J453" s="202">
        <f t="shared" si="123"/>
        <v>2934.3</v>
      </c>
      <c r="K453" s="202">
        <f>K454</f>
        <v>0</v>
      </c>
      <c r="L453" s="202">
        <f t="shared" si="123"/>
        <v>2934.3</v>
      </c>
      <c r="M453" s="202">
        <f t="shared" si="123"/>
        <v>4732.7000000000007</v>
      </c>
      <c r="N453" s="202">
        <f t="shared" si="123"/>
        <v>0</v>
      </c>
      <c r="O453" s="226">
        <f t="shared" si="123"/>
        <v>4732.7000000000007</v>
      </c>
      <c r="P453" s="226">
        <f t="shared" si="123"/>
        <v>4732.7</v>
      </c>
      <c r="Q453" s="199">
        <v>100</v>
      </c>
      <c r="R453" s="200"/>
      <c r="S453" s="200"/>
    </row>
    <row r="454" spans="1:23" s="197" customFormat="1" ht="37.5" customHeight="1" x14ac:dyDescent="0.25">
      <c r="A454" s="285"/>
      <c r="B454" s="198" t="s">
        <v>112</v>
      </c>
      <c r="C454" s="198" t="s">
        <v>51</v>
      </c>
      <c r="D454" s="201" t="s">
        <v>437</v>
      </c>
      <c r="E454" s="201" t="s">
        <v>443</v>
      </c>
      <c r="F454" s="201" t="s">
        <v>113</v>
      </c>
      <c r="G454" s="202">
        <v>1798.4</v>
      </c>
      <c r="H454" s="202"/>
      <c r="I454" s="202">
        <f>G454+H454</f>
        <v>1798.4</v>
      </c>
      <c r="J454" s="206">
        <v>2934.3</v>
      </c>
      <c r="K454" s="202"/>
      <c r="L454" s="206">
        <f>J454+K454</f>
        <v>2934.3</v>
      </c>
      <c r="M454" s="202">
        <f>SUM(G454+J454)</f>
        <v>4732.7000000000007</v>
      </c>
      <c r="N454" s="202">
        <f>H454+K454</f>
        <v>0</v>
      </c>
      <c r="O454" s="226">
        <f>SUM(I454+L454)</f>
        <v>4732.7000000000007</v>
      </c>
      <c r="P454" s="226">
        <v>4732.7</v>
      </c>
      <c r="Q454" s="199">
        <v>100</v>
      </c>
      <c r="R454" s="200"/>
      <c r="S454" s="200"/>
    </row>
    <row r="455" spans="1:23" s="197" customFormat="1" ht="37.5" x14ac:dyDescent="0.25">
      <c r="A455" s="285"/>
      <c r="B455" s="198" t="s">
        <v>445</v>
      </c>
      <c r="C455" s="203" t="s">
        <v>51</v>
      </c>
      <c r="D455" s="204" t="s">
        <v>446</v>
      </c>
      <c r="E455" s="204" t="s">
        <v>11</v>
      </c>
      <c r="F455" s="204" t="s">
        <v>11</v>
      </c>
      <c r="G455" s="205">
        <f t="shared" ref="G455:P459" si="124">G456</f>
        <v>120</v>
      </c>
      <c r="H455" s="202">
        <f t="shared" si="124"/>
        <v>0</v>
      </c>
      <c r="I455" s="205">
        <f t="shared" si="124"/>
        <v>120</v>
      </c>
      <c r="J455" s="205">
        <f t="shared" si="124"/>
        <v>0</v>
      </c>
      <c r="K455" s="202">
        <f>K456</f>
        <v>0</v>
      </c>
      <c r="L455" s="205">
        <f t="shared" si="124"/>
        <v>0</v>
      </c>
      <c r="M455" s="205">
        <f t="shared" si="124"/>
        <v>120</v>
      </c>
      <c r="N455" s="205">
        <f t="shared" si="124"/>
        <v>0</v>
      </c>
      <c r="O455" s="227">
        <f t="shared" si="124"/>
        <v>120</v>
      </c>
      <c r="P455" s="227">
        <f t="shared" si="124"/>
        <v>30</v>
      </c>
      <c r="Q455" s="199">
        <f>SUM(P455/O455*100)</f>
        <v>25</v>
      </c>
      <c r="R455" s="200"/>
      <c r="S455" s="200"/>
    </row>
    <row r="456" spans="1:23" s="197" customFormat="1" ht="54" customHeight="1" x14ac:dyDescent="0.25">
      <c r="A456" s="285"/>
      <c r="B456" s="198" t="s">
        <v>87</v>
      </c>
      <c r="C456" s="198" t="s">
        <v>51</v>
      </c>
      <c r="D456" s="201" t="s">
        <v>446</v>
      </c>
      <c r="E456" s="201" t="s">
        <v>88</v>
      </c>
      <c r="F456" s="201" t="s">
        <v>11</v>
      </c>
      <c r="G456" s="202">
        <f t="shared" si="124"/>
        <v>120</v>
      </c>
      <c r="H456" s="202">
        <f t="shared" si="124"/>
        <v>0</v>
      </c>
      <c r="I456" s="202">
        <f t="shared" si="124"/>
        <v>120</v>
      </c>
      <c r="J456" s="202">
        <f t="shared" si="124"/>
        <v>0</v>
      </c>
      <c r="K456" s="202">
        <f>K457</f>
        <v>0</v>
      </c>
      <c r="L456" s="202">
        <f t="shared" si="124"/>
        <v>0</v>
      </c>
      <c r="M456" s="202">
        <f t="shared" si="124"/>
        <v>120</v>
      </c>
      <c r="N456" s="202">
        <f t="shared" si="124"/>
        <v>0</v>
      </c>
      <c r="O456" s="226">
        <f t="shared" si="124"/>
        <v>120</v>
      </c>
      <c r="P456" s="226">
        <f t="shared" si="124"/>
        <v>30</v>
      </c>
      <c r="Q456" s="199">
        <f>SUM(P456/O456*100)</f>
        <v>25</v>
      </c>
      <c r="R456" s="200"/>
      <c r="S456" s="200"/>
    </row>
    <row r="457" spans="1:23" s="197" customFormat="1" ht="96.75" customHeight="1" x14ac:dyDescent="0.25">
      <c r="A457" s="285"/>
      <c r="B457" s="198" t="s">
        <v>89</v>
      </c>
      <c r="C457" s="198" t="s">
        <v>51</v>
      </c>
      <c r="D457" s="201" t="s">
        <v>446</v>
      </c>
      <c r="E457" s="201" t="s">
        <v>90</v>
      </c>
      <c r="F457" s="201" t="s">
        <v>11</v>
      </c>
      <c r="G457" s="202">
        <f t="shared" si="124"/>
        <v>120</v>
      </c>
      <c r="H457" s="202">
        <f t="shared" si="124"/>
        <v>0</v>
      </c>
      <c r="I457" s="202">
        <f t="shared" si="124"/>
        <v>120</v>
      </c>
      <c r="J457" s="202">
        <f t="shared" si="124"/>
        <v>0</v>
      </c>
      <c r="K457" s="202">
        <f>K458</f>
        <v>0</v>
      </c>
      <c r="L457" s="202">
        <f t="shared" si="124"/>
        <v>0</v>
      </c>
      <c r="M457" s="202">
        <f t="shared" si="124"/>
        <v>120</v>
      </c>
      <c r="N457" s="202">
        <f t="shared" si="124"/>
        <v>0</v>
      </c>
      <c r="O457" s="226">
        <f t="shared" si="124"/>
        <v>120</v>
      </c>
      <c r="P457" s="226">
        <f t="shared" si="124"/>
        <v>30</v>
      </c>
      <c r="Q457" s="199">
        <f t="shared" ref="Q457:Q460" si="125">SUM(P457/O457*100)</f>
        <v>25</v>
      </c>
      <c r="R457" s="200"/>
      <c r="S457" s="200"/>
    </row>
    <row r="458" spans="1:23" s="197" customFormat="1" ht="171.75" customHeight="1" x14ac:dyDescent="0.25">
      <c r="A458" s="285"/>
      <c r="B458" s="198" t="s">
        <v>91</v>
      </c>
      <c r="C458" s="198" t="s">
        <v>51</v>
      </c>
      <c r="D458" s="201" t="s">
        <v>446</v>
      </c>
      <c r="E458" s="201" t="s">
        <v>92</v>
      </c>
      <c r="F458" s="201" t="s">
        <v>11</v>
      </c>
      <c r="G458" s="202">
        <f t="shared" si="124"/>
        <v>120</v>
      </c>
      <c r="H458" s="202">
        <f t="shared" si="124"/>
        <v>0</v>
      </c>
      <c r="I458" s="202">
        <f t="shared" si="124"/>
        <v>120</v>
      </c>
      <c r="J458" s="202">
        <f t="shared" si="124"/>
        <v>0</v>
      </c>
      <c r="K458" s="202">
        <f>K459</f>
        <v>0</v>
      </c>
      <c r="L458" s="202">
        <f t="shared" si="124"/>
        <v>0</v>
      </c>
      <c r="M458" s="202">
        <f t="shared" si="124"/>
        <v>120</v>
      </c>
      <c r="N458" s="202">
        <f t="shared" si="124"/>
        <v>0</v>
      </c>
      <c r="O458" s="226">
        <f t="shared" si="124"/>
        <v>120</v>
      </c>
      <c r="P458" s="226">
        <f t="shared" si="124"/>
        <v>30</v>
      </c>
      <c r="Q458" s="199">
        <f t="shared" si="125"/>
        <v>25</v>
      </c>
      <c r="R458" s="200"/>
      <c r="S458" s="200"/>
    </row>
    <row r="459" spans="1:23" s="197" customFormat="1" ht="95.25" customHeight="1" x14ac:dyDescent="0.25">
      <c r="A459" s="285"/>
      <c r="B459" s="198" t="s">
        <v>93</v>
      </c>
      <c r="C459" s="198" t="s">
        <v>51</v>
      </c>
      <c r="D459" s="201" t="s">
        <v>446</v>
      </c>
      <c r="E459" s="201" t="s">
        <v>94</v>
      </c>
      <c r="F459" s="201" t="s">
        <v>11</v>
      </c>
      <c r="G459" s="202">
        <f>G460</f>
        <v>120</v>
      </c>
      <c r="H459" s="202"/>
      <c r="I459" s="202">
        <f>I460</f>
        <v>120</v>
      </c>
      <c r="J459" s="202">
        <f t="shared" si="124"/>
        <v>0</v>
      </c>
      <c r="K459" s="202"/>
      <c r="L459" s="202">
        <f t="shared" si="124"/>
        <v>0</v>
      </c>
      <c r="M459" s="202">
        <f t="shared" si="124"/>
        <v>120</v>
      </c>
      <c r="N459" s="202">
        <f t="shared" si="124"/>
        <v>0</v>
      </c>
      <c r="O459" s="226">
        <f t="shared" si="124"/>
        <v>120</v>
      </c>
      <c r="P459" s="226">
        <f t="shared" si="124"/>
        <v>30</v>
      </c>
      <c r="Q459" s="199">
        <f t="shared" si="125"/>
        <v>25</v>
      </c>
      <c r="R459" s="200"/>
      <c r="S459" s="200"/>
    </row>
    <row r="460" spans="1:23" s="197" customFormat="1" ht="56.25" customHeight="1" x14ac:dyDescent="0.25">
      <c r="A460" s="285"/>
      <c r="B460" s="198" t="s">
        <v>95</v>
      </c>
      <c r="C460" s="198" t="s">
        <v>51</v>
      </c>
      <c r="D460" s="201" t="s">
        <v>446</v>
      </c>
      <c r="E460" s="201" t="s">
        <v>94</v>
      </c>
      <c r="F460" s="201" t="s">
        <v>96</v>
      </c>
      <c r="G460" s="202">
        <v>120</v>
      </c>
      <c r="H460" s="202"/>
      <c r="I460" s="202">
        <v>120</v>
      </c>
      <c r="J460" s="206">
        <v>0</v>
      </c>
      <c r="K460" s="202"/>
      <c r="L460" s="206">
        <v>0</v>
      </c>
      <c r="M460" s="202">
        <v>120</v>
      </c>
      <c r="N460" s="202"/>
      <c r="O460" s="226">
        <v>120</v>
      </c>
      <c r="P460" s="226">
        <v>30</v>
      </c>
      <c r="Q460" s="199">
        <f t="shared" si="125"/>
        <v>25</v>
      </c>
      <c r="R460" s="200"/>
      <c r="S460" s="200"/>
    </row>
    <row r="461" spans="1:23" s="197" customFormat="1" ht="37.5" x14ac:dyDescent="0.25">
      <c r="A461" s="285"/>
      <c r="B461" s="198" t="s">
        <v>448</v>
      </c>
      <c r="C461" s="198" t="s">
        <v>51</v>
      </c>
      <c r="D461" s="201" t="s">
        <v>449</v>
      </c>
      <c r="E461" s="201" t="s">
        <v>11</v>
      </c>
      <c r="F461" s="201" t="s">
        <v>11</v>
      </c>
      <c r="G461" s="202">
        <f>G462</f>
        <v>1863.8</v>
      </c>
      <c r="H461" s="205">
        <f>H462+H467</f>
        <v>0</v>
      </c>
      <c r="I461" s="202">
        <f>I462</f>
        <v>1863.8</v>
      </c>
      <c r="J461" s="202">
        <f>J462</f>
        <v>0</v>
      </c>
      <c r="K461" s="205">
        <f>K462+K467</f>
        <v>0</v>
      </c>
      <c r="L461" s="202">
        <f>L462</f>
        <v>0</v>
      </c>
      <c r="M461" s="202">
        <f>M462</f>
        <v>1863.8</v>
      </c>
      <c r="N461" s="202">
        <f>N462</f>
        <v>0</v>
      </c>
      <c r="O461" s="226">
        <f>O462</f>
        <v>1863.8</v>
      </c>
      <c r="P461" s="226">
        <f>P462</f>
        <v>1863.8</v>
      </c>
      <c r="Q461" s="199">
        <f t="shared" si="116"/>
        <v>99.999999999999972</v>
      </c>
      <c r="R461" s="200"/>
      <c r="S461" s="200"/>
    </row>
    <row r="462" spans="1:23" s="197" customFormat="1" ht="18.75" x14ac:dyDescent="0.25">
      <c r="A462" s="285"/>
      <c r="B462" s="198" t="s">
        <v>451</v>
      </c>
      <c r="C462" s="203" t="s">
        <v>51</v>
      </c>
      <c r="D462" s="204" t="s">
        <v>452</v>
      </c>
      <c r="E462" s="204" t="s">
        <v>11</v>
      </c>
      <c r="F462" s="204" t="s">
        <v>11</v>
      </c>
      <c r="G462" s="205">
        <f>G463+G468</f>
        <v>1863.8</v>
      </c>
      <c r="H462" s="202">
        <f t="shared" ref="G462:P464" si="126">H463</f>
        <v>0</v>
      </c>
      <c r="I462" s="205">
        <f>I463+I468</f>
        <v>1863.8</v>
      </c>
      <c r="J462" s="205">
        <f>J463+J468</f>
        <v>0</v>
      </c>
      <c r="K462" s="202">
        <f t="shared" si="126"/>
        <v>0</v>
      </c>
      <c r="L462" s="205">
        <f>L463+L468</f>
        <v>0</v>
      </c>
      <c r="M462" s="205">
        <f>M463+M468</f>
        <v>1863.8</v>
      </c>
      <c r="N462" s="205">
        <f>N463+N468</f>
        <v>0</v>
      </c>
      <c r="O462" s="227">
        <f>O463+O468</f>
        <v>1863.8</v>
      </c>
      <c r="P462" s="227">
        <f>P463+P468</f>
        <v>1863.8</v>
      </c>
      <c r="Q462" s="199">
        <f t="shared" si="116"/>
        <v>99.999999999999972</v>
      </c>
      <c r="R462" s="200"/>
      <c r="S462" s="200"/>
    </row>
    <row r="463" spans="1:23" s="197" customFormat="1" ht="55.5" customHeight="1" x14ac:dyDescent="0.25">
      <c r="A463" s="285"/>
      <c r="B463" s="198" t="s">
        <v>453</v>
      </c>
      <c r="C463" s="198" t="s">
        <v>51</v>
      </c>
      <c r="D463" s="201" t="s">
        <v>452</v>
      </c>
      <c r="E463" s="201" t="s">
        <v>454</v>
      </c>
      <c r="F463" s="201" t="s">
        <v>11</v>
      </c>
      <c r="G463" s="202">
        <f t="shared" si="126"/>
        <v>1813.8</v>
      </c>
      <c r="H463" s="202">
        <f t="shared" si="126"/>
        <v>0</v>
      </c>
      <c r="I463" s="202">
        <f t="shared" si="126"/>
        <v>1813.8</v>
      </c>
      <c r="J463" s="202">
        <f t="shared" si="126"/>
        <v>0</v>
      </c>
      <c r="K463" s="202">
        <f t="shared" si="126"/>
        <v>0</v>
      </c>
      <c r="L463" s="202">
        <f t="shared" si="126"/>
        <v>0</v>
      </c>
      <c r="M463" s="202">
        <f t="shared" si="126"/>
        <v>1813.8</v>
      </c>
      <c r="N463" s="202">
        <f t="shared" si="126"/>
        <v>0</v>
      </c>
      <c r="O463" s="226">
        <f t="shared" si="126"/>
        <v>1813.8</v>
      </c>
      <c r="P463" s="226">
        <f t="shared" si="126"/>
        <v>1813.8</v>
      </c>
      <c r="Q463" s="199">
        <f t="shared" si="116"/>
        <v>99.999999999999972</v>
      </c>
      <c r="R463" s="200"/>
      <c r="S463" s="200"/>
      <c r="W463" s="197" t="s">
        <v>612</v>
      </c>
    </row>
    <row r="464" spans="1:23" s="197" customFormat="1" ht="136.5" customHeight="1" x14ac:dyDescent="0.25">
      <c r="A464" s="285"/>
      <c r="B464" s="198" t="s">
        <v>455</v>
      </c>
      <c r="C464" s="198" t="s">
        <v>51</v>
      </c>
      <c r="D464" s="201" t="s">
        <v>452</v>
      </c>
      <c r="E464" s="201" t="s">
        <v>456</v>
      </c>
      <c r="F464" s="201" t="s">
        <v>11</v>
      </c>
      <c r="G464" s="202">
        <f t="shared" si="126"/>
        <v>1813.8</v>
      </c>
      <c r="H464" s="202">
        <f>H465+H466</f>
        <v>0</v>
      </c>
      <c r="I464" s="202">
        <f t="shared" si="126"/>
        <v>1813.8</v>
      </c>
      <c r="J464" s="202">
        <f t="shared" si="126"/>
        <v>0</v>
      </c>
      <c r="K464" s="202">
        <f>K465+K466</f>
        <v>0</v>
      </c>
      <c r="L464" s="202">
        <f t="shared" si="126"/>
        <v>0</v>
      </c>
      <c r="M464" s="202">
        <f t="shared" si="126"/>
        <v>1813.8</v>
      </c>
      <c r="N464" s="202">
        <f t="shared" si="126"/>
        <v>0</v>
      </c>
      <c r="O464" s="226">
        <f t="shared" si="126"/>
        <v>1813.8</v>
      </c>
      <c r="P464" s="226">
        <f t="shared" si="126"/>
        <v>1813.8</v>
      </c>
      <c r="Q464" s="199">
        <f t="shared" si="116"/>
        <v>99.999999999999972</v>
      </c>
      <c r="R464" s="200"/>
      <c r="S464" s="200"/>
    </row>
    <row r="465" spans="1:19" s="197" customFormat="1" ht="74.25" customHeight="1" x14ac:dyDescent="0.25">
      <c r="A465" s="285"/>
      <c r="B465" s="198" t="s">
        <v>457</v>
      </c>
      <c r="C465" s="198" t="s">
        <v>51</v>
      </c>
      <c r="D465" s="201" t="s">
        <v>452</v>
      </c>
      <c r="E465" s="201" t="s">
        <v>458</v>
      </c>
      <c r="F465" s="201" t="s">
        <v>11</v>
      </c>
      <c r="G465" s="202">
        <f>G466+G467</f>
        <v>1813.8</v>
      </c>
      <c r="H465" s="202"/>
      <c r="I465" s="202">
        <f>I466+I467</f>
        <v>1813.8</v>
      </c>
      <c r="J465" s="202">
        <f>J466+J467</f>
        <v>0</v>
      </c>
      <c r="K465" s="202"/>
      <c r="L465" s="202">
        <f>L466+L467</f>
        <v>0</v>
      </c>
      <c r="M465" s="202">
        <f>M466+M467</f>
        <v>1813.8</v>
      </c>
      <c r="N465" s="202">
        <f>N466+N467</f>
        <v>0</v>
      </c>
      <c r="O465" s="226">
        <f>O466+O467</f>
        <v>1813.8</v>
      </c>
      <c r="P465" s="226">
        <f>P466+P467</f>
        <v>1813.8</v>
      </c>
      <c r="Q465" s="199">
        <f t="shared" si="116"/>
        <v>99.999999999999972</v>
      </c>
      <c r="R465" s="200"/>
      <c r="S465" s="200"/>
    </row>
    <row r="466" spans="1:19" s="197" customFormat="1" ht="75" x14ac:dyDescent="0.25">
      <c r="A466" s="285"/>
      <c r="B466" s="198" t="s">
        <v>40</v>
      </c>
      <c r="C466" s="198" t="s">
        <v>51</v>
      </c>
      <c r="D466" s="201" t="s">
        <v>452</v>
      </c>
      <c r="E466" s="201" t="s">
        <v>458</v>
      </c>
      <c r="F466" s="201" t="s">
        <v>41</v>
      </c>
      <c r="G466" s="202">
        <v>300</v>
      </c>
      <c r="H466" s="202"/>
      <c r="I466" s="202">
        <v>300</v>
      </c>
      <c r="J466" s="206">
        <v>0</v>
      </c>
      <c r="K466" s="202"/>
      <c r="L466" s="206">
        <v>0</v>
      </c>
      <c r="M466" s="202">
        <v>300</v>
      </c>
      <c r="N466" s="202"/>
      <c r="O466" s="226">
        <v>300</v>
      </c>
      <c r="P466" s="226">
        <v>300</v>
      </c>
      <c r="Q466" s="199">
        <v>100</v>
      </c>
      <c r="R466" s="200"/>
      <c r="S466" s="200"/>
    </row>
    <row r="467" spans="1:19" s="197" customFormat="1" ht="39" customHeight="1" x14ac:dyDescent="0.25">
      <c r="A467" s="285"/>
      <c r="B467" s="198" t="s">
        <v>112</v>
      </c>
      <c r="C467" s="198" t="s">
        <v>51</v>
      </c>
      <c r="D467" s="201" t="s">
        <v>452</v>
      </c>
      <c r="E467" s="201" t="s">
        <v>458</v>
      </c>
      <c r="F467" s="201" t="s">
        <v>113</v>
      </c>
      <c r="G467" s="202">
        <v>1513.8</v>
      </c>
      <c r="H467" s="202"/>
      <c r="I467" s="202">
        <v>1513.8</v>
      </c>
      <c r="J467" s="206">
        <v>0</v>
      </c>
      <c r="K467" s="202"/>
      <c r="L467" s="206">
        <v>0</v>
      </c>
      <c r="M467" s="202">
        <v>1513.8</v>
      </c>
      <c r="N467" s="202"/>
      <c r="O467" s="226">
        <v>1513.8</v>
      </c>
      <c r="P467" s="226">
        <v>1513.8</v>
      </c>
      <c r="Q467" s="199">
        <v>100</v>
      </c>
      <c r="R467" s="200"/>
      <c r="S467" s="200"/>
    </row>
    <row r="468" spans="1:19" s="197" customFormat="1" ht="42.75" customHeight="1" x14ac:dyDescent="0.25">
      <c r="A468" s="285"/>
      <c r="B468" s="198" t="s">
        <v>459</v>
      </c>
      <c r="C468" s="198" t="s">
        <v>51</v>
      </c>
      <c r="D468" s="201" t="s">
        <v>452</v>
      </c>
      <c r="E468" s="201" t="s">
        <v>460</v>
      </c>
      <c r="F468" s="201" t="s">
        <v>11</v>
      </c>
      <c r="G468" s="202">
        <f t="shared" ref="G468:P470" si="127">G469</f>
        <v>50</v>
      </c>
      <c r="H468" s="202">
        <f t="shared" si="127"/>
        <v>0</v>
      </c>
      <c r="I468" s="202">
        <f t="shared" si="127"/>
        <v>50</v>
      </c>
      <c r="J468" s="202">
        <f t="shared" si="127"/>
        <v>0</v>
      </c>
      <c r="K468" s="202">
        <f>K469</f>
        <v>0</v>
      </c>
      <c r="L468" s="202">
        <f t="shared" si="127"/>
        <v>0</v>
      </c>
      <c r="M468" s="202">
        <f t="shared" si="127"/>
        <v>50</v>
      </c>
      <c r="N468" s="202">
        <f t="shared" si="127"/>
        <v>0</v>
      </c>
      <c r="O468" s="226">
        <f t="shared" si="127"/>
        <v>50</v>
      </c>
      <c r="P468" s="226">
        <f t="shared" si="127"/>
        <v>50</v>
      </c>
      <c r="Q468" s="199">
        <v>100</v>
      </c>
      <c r="R468" s="200"/>
      <c r="S468" s="200"/>
    </row>
    <row r="469" spans="1:19" s="197" customFormat="1" ht="99.75" customHeight="1" x14ac:dyDescent="0.25">
      <c r="A469" s="285"/>
      <c r="B469" s="198" t="s">
        <v>461</v>
      </c>
      <c r="C469" s="198" t="s">
        <v>51</v>
      </c>
      <c r="D469" s="201" t="s">
        <v>452</v>
      </c>
      <c r="E469" s="201" t="s">
        <v>462</v>
      </c>
      <c r="F469" s="201" t="s">
        <v>11</v>
      </c>
      <c r="G469" s="202">
        <f t="shared" si="127"/>
        <v>50</v>
      </c>
      <c r="H469" s="202">
        <f t="shared" si="127"/>
        <v>0</v>
      </c>
      <c r="I469" s="202">
        <f t="shared" si="127"/>
        <v>50</v>
      </c>
      <c r="J469" s="202">
        <f t="shared" si="127"/>
        <v>0</v>
      </c>
      <c r="K469" s="202">
        <f>K470</f>
        <v>0</v>
      </c>
      <c r="L469" s="202">
        <f t="shared" si="127"/>
        <v>0</v>
      </c>
      <c r="M469" s="202">
        <f t="shared" si="127"/>
        <v>50</v>
      </c>
      <c r="N469" s="202">
        <f t="shared" si="127"/>
        <v>0</v>
      </c>
      <c r="O469" s="226">
        <f t="shared" si="127"/>
        <v>50</v>
      </c>
      <c r="P469" s="226">
        <f t="shared" si="127"/>
        <v>50</v>
      </c>
      <c r="Q469" s="199">
        <v>100</v>
      </c>
      <c r="R469" s="200"/>
      <c r="S469" s="200"/>
    </row>
    <row r="470" spans="1:19" s="197" customFormat="1" ht="58.5" customHeight="1" x14ac:dyDescent="0.25">
      <c r="A470" s="285"/>
      <c r="B470" s="198" t="s">
        <v>463</v>
      </c>
      <c r="C470" s="198" t="s">
        <v>51</v>
      </c>
      <c r="D470" s="201" t="s">
        <v>452</v>
      </c>
      <c r="E470" s="201" t="s">
        <v>464</v>
      </c>
      <c r="F470" s="201" t="s">
        <v>11</v>
      </c>
      <c r="G470" s="202">
        <f>G471</f>
        <v>50</v>
      </c>
      <c r="H470" s="202"/>
      <c r="I470" s="202">
        <f>I471</f>
        <v>50</v>
      </c>
      <c r="J470" s="202">
        <f t="shared" si="127"/>
        <v>0</v>
      </c>
      <c r="K470" s="202"/>
      <c r="L470" s="202">
        <f t="shared" si="127"/>
        <v>0</v>
      </c>
      <c r="M470" s="202">
        <f t="shared" si="127"/>
        <v>50</v>
      </c>
      <c r="N470" s="202">
        <f t="shared" si="127"/>
        <v>0</v>
      </c>
      <c r="O470" s="226">
        <f t="shared" si="127"/>
        <v>50</v>
      </c>
      <c r="P470" s="226">
        <f t="shared" si="127"/>
        <v>50</v>
      </c>
      <c r="Q470" s="199">
        <v>100</v>
      </c>
      <c r="R470" s="200"/>
      <c r="S470" s="200"/>
    </row>
    <row r="471" spans="1:19" s="197" customFormat="1" ht="84" customHeight="1" x14ac:dyDescent="0.25">
      <c r="A471" s="285"/>
      <c r="B471" s="198" t="s">
        <v>40</v>
      </c>
      <c r="C471" s="198" t="s">
        <v>51</v>
      </c>
      <c r="D471" s="201" t="s">
        <v>452</v>
      </c>
      <c r="E471" s="201" t="s">
        <v>464</v>
      </c>
      <c r="F471" s="201" t="s">
        <v>41</v>
      </c>
      <c r="G471" s="202">
        <v>50</v>
      </c>
      <c r="H471" s="202"/>
      <c r="I471" s="202">
        <v>50</v>
      </c>
      <c r="J471" s="206"/>
      <c r="K471" s="202">
        <f t="shared" ref="G471:P477" si="128">K472</f>
        <v>0</v>
      </c>
      <c r="L471" s="206"/>
      <c r="M471" s="202">
        <v>50</v>
      </c>
      <c r="N471" s="202"/>
      <c r="O471" s="226">
        <v>50</v>
      </c>
      <c r="P471" s="226">
        <v>50</v>
      </c>
      <c r="Q471" s="199">
        <v>100</v>
      </c>
      <c r="R471" s="200"/>
      <c r="S471" s="200"/>
    </row>
    <row r="472" spans="1:19" s="197" customFormat="1" ht="75" x14ac:dyDescent="0.25">
      <c r="A472" s="285"/>
      <c r="B472" s="198" t="s">
        <v>466</v>
      </c>
      <c r="C472" s="198" t="s">
        <v>51</v>
      </c>
      <c r="D472" s="201" t="s">
        <v>467</v>
      </c>
      <c r="E472" s="201" t="s">
        <v>11</v>
      </c>
      <c r="F472" s="201" t="s">
        <v>11</v>
      </c>
      <c r="G472" s="202">
        <f t="shared" si="128"/>
        <v>20.5</v>
      </c>
      <c r="H472" s="205">
        <f t="shared" si="128"/>
        <v>0</v>
      </c>
      <c r="I472" s="202">
        <f t="shared" si="128"/>
        <v>20.5</v>
      </c>
      <c r="J472" s="202">
        <f t="shared" si="128"/>
        <v>0</v>
      </c>
      <c r="K472" s="205">
        <f t="shared" si="128"/>
        <v>0</v>
      </c>
      <c r="L472" s="202">
        <f t="shared" si="128"/>
        <v>0</v>
      </c>
      <c r="M472" s="202">
        <f t="shared" si="128"/>
        <v>20.5</v>
      </c>
      <c r="N472" s="202">
        <f t="shared" si="128"/>
        <v>0</v>
      </c>
      <c r="O472" s="226">
        <f t="shared" si="128"/>
        <v>20.5</v>
      </c>
      <c r="P472" s="226">
        <f t="shared" si="128"/>
        <v>7.9</v>
      </c>
      <c r="Q472" s="199">
        <f>SUM(P472/O472*100)</f>
        <v>38.536585365853661</v>
      </c>
      <c r="R472" s="200"/>
      <c r="S472" s="200"/>
    </row>
    <row r="473" spans="1:19" s="197" customFormat="1" ht="77.25" customHeight="1" x14ac:dyDescent="0.25">
      <c r="A473" s="285"/>
      <c r="B473" s="198" t="s">
        <v>469</v>
      </c>
      <c r="C473" s="203" t="s">
        <v>51</v>
      </c>
      <c r="D473" s="204" t="s">
        <v>470</v>
      </c>
      <c r="E473" s="204" t="s">
        <v>11</v>
      </c>
      <c r="F473" s="204" t="s">
        <v>11</v>
      </c>
      <c r="G473" s="205">
        <f t="shared" si="128"/>
        <v>20.5</v>
      </c>
      <c r="H473" s="202">
        <f t="shared" si="128"/>
        <v>0</v>
      </c>
      <c r="I473" s="205">
        <f t="shared" si="128"/>
        <v>20.5</v>
      </c>
      <c r="J473" s="205">
        <f t="shared" si="128"/>
        <v>0</v>
      </c>
      <c r="K473" s="202">
        <f t="shared" si="128"/>
        <v>0</v>
      </c>
      <c r="L473" s="205">
        <f t="shared" si="128"/>
        <v>0</v>
      </c>
      <c r="M473" s="205">
        <f t="shared" si="128"/>
        <v>20.5</v>
      </c>
      <c r="N473" s="205">
        <f t="shared" si="128"/>
        <v>0</v>
      </c>
      <c r="O473" s="227">
        <f t="shared" si="128"/>
        <v>20.5</v>
      </c>
      <c r="P473" s="227">
        <f t="shared" si="128"/>
        <v>7.9</v>
      </c>
      <c r="Q473" s="199">
        <f t="shared" ref="Q473:Q478" si="129">SUM(P473/O473*100)</f>
        <v>38.536585365853661</v>
      </c>
      <c r="R473" s="200"/>
      <c r="S473" s="200"/>
    </row>
    <row r="474" spans="1:19" s="197" customFormat="1" ht="58.5" customHeight="1" x14ac:dyDescent="0.25">
      <c r="A474" s="285"/>
      <c r="B474" s="198" t="s">
        <v>128</v>
      </c>
      <c r="C474" s="198" t="s">
        <v>51</v>
      </c>
      <c r="D474" s="201" t="s">
        <v>470</v>
      </c>
      <c r="E474" s="201" t="s">
        <v>129</v>
      </c>
      <c r="F474" s="201" t="s">
        <v>11</v>
      </c>
      <c r="G474" s="202">
        <f t="shared" si="128"/>
        <v>20.5</v>
      </c>
      <c r="H474" s="202">
        <f t="shared" si="128"/>
        <v>0</v>
      </c>
      <c r="I474" s="202">
        <f t="shared" si="128"/>
        <v>20.5</v>
      </c>
      <c r="J474" s="202">
        <f t="shared" si="128"/>
        <v>0</v>
      </c>
      <c r="K474" s="202">
        <f t="shared" si="128"/>
        <v>0</v>
      </c>
      <c r="L474" s="202">
        <f t="shared" si="128"/>
        <v>0</v>
      </c>
      <c r="M474" s="202">
        <f t="shared" si="128"/>
        <v>20.5</v>
      </c>
      <c r="N474" s="202">
        <f t="shared" si="128"/>
        <v>0</v>
      </c>
      <c r="O474" s="226">
        <f t="shared" si="128"/>
        <v>20.5</v>
      </c>
      <c r="P474" s="226">
        <f t="shared" si="128"/>
        <v>7.9</v>
      </c>
      <c r="Q474" s="199">
        <f t="shared" si="129"/>
        <v>38.536585365853661</v>
      </c>
      <c r="R474" s="200"/>
      <c r="S474" s="200"/>
    </row>
    <row r="475" spans="1:19" s="197" customFormat="1" ht="21" customHeight="1" x14ac:dyDescent="0.25">
      <c r="A475" s="285"/>
      <c r="B475" s="198" t="s">
        <v>141</v>
      </c>
      <c r="C475" s="198" t="s">
        <v>51</v>
      </c>
      <c r="D475" s="201" t="s">
        <v>470</v>
      </c>
      <c r="E475" s="201" t="s">
        <v>142</v>
      </c>
      <c r="F475" s="201" t="s">
        <v>11</v>
      </c>
      <c r="G475" s="202">
        <f t="shared" si="128"/>
        <v>20.5</v>
      </c>
      <c r="H475" s="202">
        <f t="shared" si="128"/>
        <v>0</v>
      </c>
      <c r="I475" s="202">
        <f t="shared" si="128"/>
        <v>20.5</v>
      </c>
      <c r="J475" s="202">
        <f t="shared" si="128"/>
        <v>0</v>
      </c>
      <c r="K475" s="202">
        <f t="shared" si="128"/>
        <v>0</v>
      </c>
      <c r="L475" s="202">
        <f t="shared" si="128"/>
        <v>0</v>
      </c>
      <c r="M475" s="202">
        <f t="shared" si="128"/>
        <v>20.5</v>
      </c>
      <c r="N475" s="202">
        <f t="shared" si="128"/>
        <v>0</v>
      </c>
      <c r="O475" s="226">
        <f t="shared" si="128"/>
        <v>20.5</v>
      </c>
      <c r="P475" s="226">
        <f t="shared" si="128"/>
        <v>7.9</v>
      </c>
      <c r="Q475" s="199">
        <f t="shared" si="129"/>
        <v>38.536585365853661</v>
      </c>
      <c r="R475" s="200"/>
      <c r="S475" s="200"/>
    </row>
    <row r="476" spans="1:19" s="197" customFormat="1" ht="24" customHeight="1" x14ac:dyDescent="0.25">
      <c r="A476" s="285"/>
      <c r="B476" s="198" t="s">
        <v>143</v>
      </c>
      <c r="C476" s="198" t="s">
        <v>51</v>
      </c>
      <c r="D476" s="201" t="s">
        <v>470</v>
      </c>
      <c r="E476" s="201" t="s">
        <v>144</v>
      </c>
      <c r="F476" s="201" t="s">
        <v>11</v>
      </c>
      <c r="G476" s="202">
        <f t="shared" si="128"/>
        <v>20.5</v>
      </c>
      <c r="H476" s="202">
        <f>SUM(H477)</f>
        <v>0</v>
      </c>
      <c r="I476" s="202">
        <f t="shared" si="128"/>
        <v>20.5</v>
      </c>
      <c r="J476" s="202">
        <f t="shared" si="128"/>
        <v>0</v>
      </c>
      <c r="K476" s="202">
        <f t="shared" si="128"/>
        <v>0</v>
      </c>
      <c r="L476" s="202">
        <f t="shared" si="128"/>
        <v>0</v>
      </c>
      <c r="M476" s="202">
        <f t="shared" si="128"/>
        <v>20.5</v>
      </c>
      <c r="N476" s="202">
        <f t="shared" si="128"/>
        <v>0</v>
      </c>
      <c r="O476" s="226">
        <f t="shared" si="128"/>
        <v>20.5</v>
      </c>
      <c r="P476" s="226">
        <f t="shared" si="128"/>
        <v>7.9</v>
      </c>
      <c r="Q476" s="199">
        <f t="shared" si="129"/>
        <v>38.536585365853661</v>
      </c>
      <c r="R476" s="200"/>
      <c r="S476" s="200"/>
    </row>
    <row r="477" spans="1:19" s="197" customFormat="1" ht="37.5" x14ac:dyDescent="0.25">
      <c r="A477" s="285"/>
      <c r="B477" s="198" t="s">
        <v>471</v>
      </c>
      <c r="C477" s="198" t="s">
        <v>51</v>
      </c>
      <c r="D477" s="201" t="s">
        <v>470</v>
      </c>
      <c r="E477" s="201" t="s">
        <v>472</v>
      </c>
      <c r="F477" s="201" t="s">
        <v>11</v>
      </c>
      <c r="G477" s="202">
        <f t="shared" si="128"/>
        <v>20.5</v>
      </c>
      <c r="H477" s="202"/>
      <c r="I477" s="202">
        <f t="shared" si="128"/>
        <v>20.5</v>
      </c>
      <c r="J477" s="202">
        <f t="shared" si="128"/>
        <v>0</v>
      </c>
      <c r="K477" s="202"/>
      <c r="L477" s="202">
        <f t="shared" si="128"/>
        <v>0</v>
      </c>
      <c r="M477" s="202">
        <f t="shared" si="128"/>
        <v>20.5</v>
      </c>
      <c r="N477" s="202">
        <f t="shared" si="128"/>
        <v>0</v>
      </c>
      <c r="O477" s="226">
        <f t="shared" si="128"/>
        <v>20.5</v>
      </c>
      <c r="P477" s="226">
        <f t="shared" si="128"/>
        <v>7.9</v>
      </c>
      <c r="Q477" s="199">
        <f t="shared" si="129"/>
        <v>38.536585365853661</v>
      </c>
      <c r="R477" s="200"/>
      <c r="S477" s="200"/>
    </row>
    <row r="478" spans="1:19" s="197" customFormat="1" ht="58.5" customHeight="1" x14ac:dyDescent="0.25">
      <c r="A478" s="286"/>
      <c r="B478" s="198" t="s">
        <v>473</v>
      </c>
      <c r="C478" s="198" t="s">
        <v>51</v>
      </c>
      <c r="D478" s="201" t="s">
        <v>470</v>
      </c>
      <c r="E478" s="201" t="s">
        <v>472</v>
      </c>
      <c r="F478" s="201" t="s">
        <v>474</v>
      </c>
      <c r="G478" s="202">
        <v>20.5</v>
      </c>
      <c r="H478" s="202"/>
      <c r="I478" s="202">
        <f>20.5+H478</f>
        <v>20.5</v>
      </c>
      <c r="J478" s="206">
        <v>0</v>
      </c>
      <c r="K478" s="202"/>
      <c r="L478" s="206">
        <v>0</v>
      </c>
      <c r="M478" s="202">
        <f>SUM(G478)</f>
        <v>20.5</v>
      </c>
      <c r="N478" s="202">
        <f>SUM(H478)</f>
        <v>0</v>
      </c>
      <c r="O478" s="226">
        <f>SUM(I478)</f>
        <v>20.5</v>
      </c>
      <c r="P478" s="226">
        <v>7.9</v>
      </c>
      <c r="Q478" s="199">
        <f t="shared" si="129"/>
        <v>38.536585365853661</v>
      </c>
      <c r="R478" s="200"/>
      <c r="S478" s="200"/>
    </row>
    <row r="479" spans="1:19" s="197" customFormat="1" ht="57" customHeight="1" x14ac:dyDescent="0.25">
      <c r="A479" s="284" t="s">
        <v>475</v>
      </c>
      <c r="B479" s="198" t="s">
        <v>476</v>
      </c>
      <c r="C479" s="198" t="s">
        <v>477</v>
      </c>
      <c r="D479" s="201" t="s">
        <v>11</v>
      </c>
      <c r="E479" s="201" t="s">
        <v>11</v>
      </c>
      <c r="F479" s="201" t="s">
        <v>11</v>
      </c>
      <c r="G479" s="202">
        <f>G480</f>
        <v>144044.80000000002</v>
      </c>
      <c r="H479" s="205">
        <f>H480+H522+H514</f>
        <v>1737.5</v>
      </c>
      <c r="I479" s="202">
        <f>I480</f>
        <v>145782.29999999999</v>
      </c>
      <c r="J479" s="202">
        <f>J480</f>
        <v>27919.600000000002</v>
      </c>
      <c r="K479" s="244">
        <f>K480+K510+K522</f>
        <v>14813.1</v>
      </c>
      <c r="L479" s="202">
        <f>L480</f>
        <v>42732.700000000004</v>
      </c>
      <c r="M479" s="202">
        <f>M480</f>
        <v>171964.40000000002</v>
      </c>
      <c r="N479" s="202">
        <f>N480</f>
        <v>16550.599999999999</v>
      </c>
      <c r="O479" s="226">
        <f>O480</f>
        <v>188515</v>
      </c>
      <c r="P479" s="226">
        <f>P480</f>
        <v>187834.80000000002</v>
      </c>
      <c r="Q479" s="199">
        <f>SUM(P479/O479*100)</f>
        <v>99.639179906108282</v>
      </c>
      <c r="R479" s="200"/>
      <c r="S479" s="200"/>
    </row>
    <row r="480" spans="1:19" s="197" customFormat="1" ht="37.5" x14ac:dyDescent="0.25">
      <c r="A480" s="285"/>
      <c r="B480" s="198" t="s">
        <v>479</v>
      </c>
      <c r="C480" s="198" t="s">
        <v>477</v>
      </c>
      <c r="D480" s="201" t="s">
        <v>480</v>
      </c>
      <c r="E480" s="201" t="s">
        <v>11</v>
      </c>
      <c r="F480" s="201" t="s">
        <v>11</v>
      </c>
      <c r="G480" s="202">
        <f>G481+G515+G523</f>
        <v>144044.80000000002</v>
      </c>
      <c r="H480" s="205">
        <f>H481+H523+H515</f>
        <v>1737.5</v>
      </c>
      <c r="I480" s="202">
        <f>I481+I515+I523</f>
        <v>145782.29999999999</v>
      </c>
      <c r="J480" s="202">
        <f>J481+J515+J523</f>
        <v>27919.600000000002</v>
      </c>
      <c r="K480" s="244">
        <f>K481+K515+K523</f>
        <v>14813.1</v>
      </c>
      <c r="L480" s="202">
        <f>L481+L515+L523</f>
        <v>42732.700000000004</v>
      </c>
      <c r="M480" s="202">
        <f>SUM(G480+J480)</f>
        <v>171964.40000000002</v>
      </c>
      <c r="N480" s="202">
        <f>N481+N515+N523</f>
        <v>16550.599999999999</v>
      </c>
      <c r="O480" s="226">
        <f>SUM(I480+L480)</f>
        <v>188515</v>
      </c>
      <c r="P480" s="226">
        <f>SUM(P515+P523)+P481</f>
        <v>187834.80000000002</v>
      </c>
      <c r="Q480" s="199">
        <f t="shared" ref="Q480:Q488" si="130">SUM(P480/O480*100)</f>
        <v>99.639179906108282</v>
      </c>
      <c r="R480" s="200"/>
      <c r="S480" s="200"/>
    </row>
    <row r="481" spans="1:19" s="197" customFormat="1" ht="18.75" x14ac:dyDescent="0.25">
      <c r="A481" s="285"/>
      <c r="B481" s="198" t="s">
        <v>482</v>
      </c>
      <c r="C481" s="198" t="s">
        <v>477</v>
      </c>
      <c r="D481" s="201" t="s">
        <v>483</v>
      </c>
      <c r="E481" s="201" t="s">
        <v>11</v>
      </c>
      <c r="F481" s="201" t="s">
        <v>11</v>
      </c>
      <c r="G481" s="202">
        <f>G482</f>
        <v>113556.40000000001</v>
      </c>
      <c r="H481" s="202">
        <f>H482+H490+H511</f>
        <v>1646.3</v>
      </c>
      <c r="I481" s="202">
        <f>I482+I511</f>
        <v>115202.7</v>
      </c>
      <c r="J481" s="202">
        <f>J482</f>
        <v>26634.300000000003</v>
      </c>
      <c r="K481" s="202">
        <f>K482+K490</f>
        <v>13939.7</v>
      </c>
      <c r="L481" s="202">
        <f>L482</f>
        <v>40574</v>
      </c>
      <c r="M481" s="202">
        <f>M482</f>
        <v>140190.70000000001</v>
      </c>
      <c r="N481" s="202">
        <f>N482+N511</f>
        <v>15586</v>
      </c>
      <c r="O481" s="226">
        <f>O482+O511</f>
        <v>155776.70000000001</v>
      </c>
      <c r="P481" s="226">
        <f>P482+P511</f>
        <v>155244.80000000002</v>
      </c>
      <c r="Q481" s="199">
        <f t="shared" si="130"/>
        <v>99.658549706085694</v>
      </c>
      <c r="R481" s="200"/>
      <c r="S481" s="200"/>
    </row>
    <row r="482" spans="1:19" s="197" customFormat="1" ht="59.25" customHeight="1" x14ac:dyDescent="0.25">
      <c r="A482" s="285"/>
      <c r="B482" s="198" t="s">
        <v>484</v>
      </c>
      <c r="C482" s="198" t="s">
        <v>477</v>
      </c>
      <c r="D482" s="201" t="s">
        <v>483</v>
      </c>
      <c r="E482" s="201" t="s">
        <v>485</v>
      </c>
      <c r="F482" s="201" t="s">
        <v>11</v>
      </c>
      <c r="G482" s="202">
        <f>G483+G491</f>
        <v>113556.40000000001</v>
      </c>
      <c r="H482" s="202">
        <f>H483+H491</f>
        <v>1646.3</v>
      </c>
      <c r="I482" s="202">
        <f>I483+I491</f>
        <v>115202.7</v>
      </c>
      <c r="J482" s="202">
        <f>J483+J491</f>
        <v>26634.300000000003</v>
      </c>
      <c r="K482" s="202">
        <f>K483+K491</f>
        <v>13939.7</v>
      </c>
      <c r="L482" s="202">
        <f>L483+L491</f>
        <v>40574</v>
      </c>
      <c r="M482" s="202">
        <f>M483+M491</f>
        <v>140190.70000000001</v>
      </c>
      <c r="N482" s="202">
        <f>N483+N491</f>
        <v>15586</v>
      </c>
      <c r="O482" s="226">
        <f>O483+O491</f>
        <v>155776.70000000001</v>
      </c>
      <c r="P482" s="226">
        <f>P483+P491</f>
        <v>155244.80000000002</v>
      </c>
      <c r="Q482" s="199">
        <f t="shared" si="130"/>
        <v>99.658549706085694</v>
      </c>
      <c r="R482" s="200"/>
      <c r="S482" s="200"/>
    </row>
    <row r="483" spans="1:19" s="197" customFormat="1" ht="18.75" x14ac:dyDescent="0.25">
      <c r="A483" s="285"/>
      <c r="B483" s="198" t="s">
        <v>486</v>
      </c>
      <c r="C483" s="198" t="s">
        <v>477</v>
      </c>
      <c r="D483" s="201" t="s">
        <v>483</v>
      </c>
      <c r="E483" s="201" t="s">
        <v>487</v>
      </c>
      <c r="F483" s="201" t="s">
        <v>11</v>
      </c>
      <c r="G483" s="202">
        <f>G484</f>
        <v>6528.2</v>
      </c>
      <c r="H483" s="202">
        <f>H484</f>
        <v>0</v>
      </c>
      <c r="I483" s="202">
        <f>I484</f>
        <v>6528.2</v>
      </c>
      <c r="J483" s="202">
        <f>J484</f>
        <v>0</v>
      </c>
      <c r="K483" s="202">
        <f>K484+K486+K488</f>
        <v>0</v>
      </c>
      <c r="L483" s="202">
        <f>L484</f>
        <v>0</v>
      </c>
      <c r="M483" s="202">
        <f>M484</f>
        <v>6528.2</v>
      </c>
      <c r="N483" s="202">
        <f>N484</f>
        <v>0</v>
      </c>
      <c r="O483" s="226">
        <f>O484</f>
        <v>6528.2</v>
      </c>
      <c r="P483" s="226">
        <f>P484</f>
        <v>6528.2</v>
      </c>
      <c r="Q483" s="199">
        <f t="shared" si="130"/>
        <v>100</v>
      </c>
      <c r="R483" s="200"/>
      <c r="S483" s="200"/>
    </row>
    <row r="484" spans="1:19" s="197" customFormat="1" ht="37.5" x14ac:dyDescent="0.25">
      <c r="A484" s="285"/>
      <c r="B484" s="198" t="s">
        <v>488</v>
      </c>
      <c r="C484" s="198" t="s">
        <v>477</v>
      </c>
      <c r="D484" s="201" t="s">
        <v>483</v>
      </c>
      <c r="E484" s="201" t="s">
        <v>489</v>
      </c>
      <c r="F484" s="201" t="s">
        <v>11</v>
      </c>
      <c r="G484" s="202">
        <f>G485+G487+G489</f>
        <v>6528.2</v>
      </c>
      <c r="H484" s="202">
        <f>H485+H487</f>
        <v>0</v>
      </c>
      <c r="I484" s="202">
        <f>SUM(G484+H484)</f>
        <v>6528.2</v>
      </c>
      <c r="J484" s="202">
        <f>J485+J487+J489</f>
        <v>0</v>
      </c>
      <c r="K484" s="202">
        <f>K485</f>
        <v>0</v>
      </c>
      <c r="L484" s="202">
        <f>L485+L487+L489</f>
        <v>0</v>
      </c>
      <c r="M484" s="202">
        <f>M485+M487+M489</f>
        <v>6528.2</v>
      </c>
      <c r="N484" s="202">
        <f>N485+N487</f>
        <v>0</v>
      </c>
      <c r="O484" s="226">
        <f>SUM(M484+N484)</f>
        <v>6528.2</v>
      </c>
      <c r="P484" s="226">
        <f>SUM(N484+O484)</f>
        <v>6528.2</v>
      </c>
      <c r="Q484" s="199">
        <f t="shared" si="130"/>
        <v>100</v>
      </c>
      <c r="R484" s="200"/>
      <c r="S484" s="200"/>
    </row>
    <row r="485" spans="1:19" s="197" customFormat="1" ht="37.5" x14ac:dyDescent="0.25">
      <c r="A485" s="285"/>
      <c r="B485" s="198" t="s">
        <v>490</v>
      </c>
      <c r="C485" s="198" t="s">
        <v>477</v>
      </c>
      <c r="D485" s="201" t="s">
        <v>483</v>
      </c>
      <c r="E485" s="201" t="s">
        <v>491</v>
      </c>
      <c r="F485" s="201" t="s">
        <v>11</v>
      </c>
      <c r="G485" s="202">
        <f>G486</f>
        <v>5628.2</v>
      </c>
      <c r="H485" s="202">
        <f>H486</f>
        <v>0</v>
      </c>
      <c r="I485" s="202">
        <f>I486</f>
        <v>5628.2</v>
      </c>
      <c r="J485" s="202">
        <f>J486</f>
        <v>0</v>
      </c>
      <c r="K485" s="202"/>
      <c r="L485" s="202">
        <f>L486</f>
        <v>0</v>
      </c>
      <c r="M485" s="202">
        <f>M486</f>
        <v>5628.2</v>
      </c>
      <c r="N485" s="202">
        <f>N486</f>
        <v>0</v>
      </c>
      <c r="O485" s="226">
        <f>O486</f>
        <v>5628.2</v>
      </c>
      <c r="P485" s="226">
        <f>P486</f>
        <v>5628.2</v>
      </c>
      <c r="Q485" s="199">
        <f t="shared" si="130"/>
        <v>100</v>
      </c>
      <c r="R485" s="200"/>
      <c r="S485" s="200"/>
    </row>
    <row r="486" spans="1:19" s="197" customFormat="1" ht="84.75" customHeight="1" x14ac:dyDescent="0.25">
      <c r="A486" s="285"/>
      <c r="B486" s="198" t="s">
        <v>40</v>
      </c>
      <c r="C486" s="198" t="s">
        <v>477</v>
      </c>
      <c r="D486" s="201" t="s">
        <v>483</v>
      </c>
      <c r="E486" s="201" t="s">
        <v>491</v>
      </c>
      <c r="F486" s="201" t="s">
        <v>41</v>
      </c>
      <c r="G486" s="202">
        <v>5628.2</v>
      </c>
      <c r="H486" s="202"/>
      <c r="I486" s="202">
        <f>SUM(G486+H486)</f>
        <v>5628.2</v>
      </c>
      <c r="J486" s="206">
        <v>0</v>
      </c>
      <c r="K486" s="202"/>
      <c r="L486" s="206">
        <v>0</v>
      </c>
      <c r="M486" s="202">
        <f>SUM(G486)</f>
        <v>5628.2</v>
      </c>
      <c r="N486" s="202">
        <f>SUM(H486)</f>
        <v>0</v>
      </c>
      <c r="O486" s="226">
        <f>SUM(M486+N486)</f>
        <v>5628.2</v>
      </c>
      <c r="P486" s="226">
        <v>5628.2</v>
      </c>
      <c r="Q486" s="199">
        <f t="shared" si="130"/>
        <v>100</v>
      </c>
      <c r="R486" s="200"/>
      <c r="S486" s="200"/>
    </row>
    <row r="487" spans="1:19" s="197" customFormat="1" ht="44.25" customHeight="1" x14ac:dyDescent="0.25">
      <c r="A487" s="285"/>
      <c r="B487" s="198" t="s">
        <v>492</v>
      </c>
      <c r="C487" s="198" t="s">
        <v>477</v>
      </c>
      <c r="D487" s="201" t="s">
        <v>483</v>
      </c>
      <c r="E487" s="201" t="s">
        <v>493</v>
      </c>
      <c r="F487" s="201" t="s">
        <v>11</v>
      </c>
      <c r="G487" s="202">
        <f>G488</f>
        <v>900</v>
      </c>
      <c r="H487" s="202"/>
      <c r="I487" s="202">
        <f>I488</f>
        <v>900</v>
      </c>
      <c r="J487" s="202">
        <f>J488</f>
        <v>0</v>
      </c>
      <c r="K487" s="202"/>
      <c r="L487" s="202">
        <f>L488</f>
        <v>0</v>
      </c>
      <c r="M487" s="202">
        <f>M488</f>
        <v>900</v>
      </c>
      <c r="N487" s="202">
        <f>N488</f>
        <v>0</v>
      </c>
      <c r="O487" s="226">
        <f>O488</f>
        <v>900</v>
      </c>
      <c r="P487" s="226">
        <f>P488</f>
        <v>900</v>
      </c>
      <c r="Q487" s="199">
        <f t="shared" si="130"/>
        <v>100</v>
      </c>
      <c r="R487" s="200"/>
      <c r="S487" s="200"/>
    </row>
    <row r="488" spans="1:19" s="197" customFormat="1" ht="82.5" customHeight="1" x14ac:dyDescent="0.25">
      <c r="A488" s="285"/>
      <c r="B488" s="198" t="s">
        <v>40</v>
      </c>
      <c r="C488" s="198" t="s">
        <v>477</v>
      </c>
      <c r="D488" s="201" t="s">
        <v>483</v>
      </c>
      <c r="E488" s="201" t="s">
        <v>493</v>
      </c>
      <c r="F488" s="201" t="s">
        <v>41</v>
      </c>
      <c r="G488" s="202">
        <v>900</v>
      </c>
      <c r="H488" s="202"/>
      <c r="I488" s="202">
        <v>900</v>
      </c>
      <c r="J488" s="206">
        <v>0</v>
      </c>
      <c r="K488" s="202"/>
      <c r="L488" s="206">
        <v>0</v>
      </c>
      <c r="M488" s="202">
        <f>G488+J488</f>
        <v>900</v>
      </c>
      <c r="N488" s="202">
        <f>SUM(H488)</f>
        <v>0</v>
      </c>
      <c r="O488" s="226">
        <f>I488+L488</f>
        <v>900</v>
      </c>
      <c r="P488" s="226">
        <v>900</v>
      </c>
      <c r="Q488" s="199">
        <f t="shared" si="130"/>
        <v>100</v>
      </c>
      <c r="R488" s="200"/>
      <c r="S488" s="200"/>
    </row>
    <row r="489" spans="1:19" s="197" customFormat="1" ht="37.5" hidden="1" customHeight="1" x14ac:dyDescent="0.25">
      <c r="A489" s="285"/>
      <c r="B489" s="198" t="s">
        <v>378</v>
      </c>
      <c r="C489" s="198" t="s">
        <v>477</v>
      </c>
      <c r="D489" s="201" t="s">
        <v>483</v>
      </c>
      <c r="E489" s="201" t="s">
        <v>494</v>
      </c>
      <c r="F489" s="201" t="s">
        <v>11</v>
      </c>
      <c r="G489" s="202">
        <f>G490</f>
        <v>0</v>
      </c>
      <c r="H489" s="202"/>
      <c r="I489" s="202">
        <f>I490</f>
        <v>0</v>
      </c>
      <c r="J489" s="202">
        <f>J490</f>
        <v>0</v>
      </c>
      <c r="K489" s="202"/>
      <c r="L489" s="202">
        <f>L490</f>
        <v>0</v>
      </c>
      <c r="M489" s="202">
        <f>M490</f>
        <v>0</v>
      </c>
      <c r="N489" s="202">
        <f>N490</f>
        <v>0</v>
      </c>
      <c r="O489" s="226">
        <f>O490</f>
        <v>0</v>
      </c>
      <c r="P489" s="226"/>
      <c r="Q489" s="199">
        <f t="shared" ref="Q489:Q490" si="131">P478/O478*100</f>
        <v>38.536585365853661</v>
      </c>
      <c r="R489" s="200"/>
      <c r="S489" s="200"/>
    </row>
    <row r="490" spans="1:19" s="197" customFormat="1" ht="75" hidden="1" customHeight="1" x14ac:dyDescent="0.25">
      <c r="A490" s="285"/>
      <c r="B490" s="198" t="s">
        <v>40</v>
      </c>
      <c r="C490" s="198" t="s">
        <v>477</v>
      </c>
      <c r="D490" s="201" t="s">
        <v>483</v>
      </c>
      <c r="E490" s="201" t="s">
        <v>494</v>
      </c>
      <c r="F490" s="201" t="s">
        <v>41</v>
      </c>
      <c r="G490" s="202"/>
      <c r="H490" s="202"/>
      <c r="I490" s="202"/>
      <c r="J490" s="206">
        <v>0</v>
      </c>
      <c r="K490" s="202"/>
      <c r="L490" s="206">
        <v>0</v>
      </c>
      <c r="M490" s="202"/>
      <c r="N490" s="202"/>
      <c r="O490" s="226"/>
      <c r="P490" s="226"/>
      <c r="Q490" s="199">
        <f t="shared" si="131"/>
        <v>99.639179906108282</v>
      </c>
      <c r="R490" s="200"/>
      <c r="S490" s="200"/>
    </row>
    <row r="491" spans="1:19" s="197" customFormat="1" ht="102" customHeight="1" x14ac:dyDescent="0.25">
      <c r="A491" s="285"/>
      <c r="B491" s="198" t="s">
        <v>495</v>
      </c>
      <c r="C491" s="198" t="s">
        <v>477</v>
      </c>
      <c r="D491" s="201" t="s">
        <v>483</v>
      </c>
      <c r="E491" s="201" t="s">
        <v>496</v>
      </c>
      <c r="F491" s="201" t="s">
        <v>11</v>
      </c>
      <c r="G491" s="202">
        <f>G492+G508</f>
        <v>107028.20000000001</v>
      </c>
      <c r="H491" s="202">
        <f>H492+H508</f>
        <v>1646.3</v>
      </c>
      <c r="I491" s="202">
        <f>I492+I508</f>
        <v>108674.5</v>
      </c>
      <c r="J491" s="202">
        <f t="shared" ref="J491:M491" si="132">J492+J508</f>
        <v>26634.300000000003</v>
      </c>
      <c r="K491" s="202">
        <f t="shared" si="132"/>
        <v>13939.7</v>
      </c>
      <c r="L491" s="202">
        <f t="shared" si="132"/>
        <v>40574</v>
      </c>
      <c r="M491" s="202">
        <f t="shared" si="132"/>
        <v>133662.5</v>
      </c>
      <c r="N491" s="202">
        <f>N492</f>
        <v>15586</v>
      </c>
      <c r="O491" s="226">
        <f>O492+O508</f>
        <v>149248.5</v>
      </c>
      <c r="P491" s="226">
        <f>P492+P508</f>
        <v>148716.6</v>
      </c>
      <c r="Q491" s="199">
        <f t="shared" ref="Q491:Q552" si="133">SUM(P491/O491*100)</f>
        <v>99.643614508688543</v>
      </c>
      <c r="R491" s="200"/>
      <c r="S491" s="200"/>
    </row>
    <row r="492" spans="1:19" s="197" customFormat="1" ht="85.5" customHeight="1" x14ac:dyDescent="0.25">
      <c r="A492" s="285"/>
      <c r="B492" s="198" t="s">
        <v>497</v>
      </c>
      <c r="C492" s="198" t="s">
        <v>477</v>
      </c>
      <c r="D492" s="201" t="s">
        <v>483</v>
      </c>
      <c r="E492" s="201" t="s">
        <v>498</v>
      </c>
      <c r="F492" s="201" t="s">
        <v>11</v>
      </c>
      <c r="G492" s="202">
        <f>G493+G502+G506+G500+G498</f>
        <v>106773.80000000002</v>
      </c>
      <c r="H492" s="202">
        <f>H493+H502+H506+H500+H498</f>
        <v>1646.3</v>
      </c>
      <c r="I492" s="202">
        <f>I493+I502+I506+I500+I498</f>
        <v>108420.1</v>
      </c>
      <c r="J492" s="202">
        <f>J493+J502+J506+J500+J504</f>
        <v>25071.800000000003</v>
      </c>
      <c r="K492" s="202">
        <f>K493+K495+K500+K502+K506+K504+K498</f>
        <v>13939.7</v>
      </c>
      <c r="L492" s="202">
        <f>L493+L502+L506+L500+L504+L498</f>
        <v>39011.5</v>
      </c>
      <c r="M492" s="202">
        <f>M493+M502+M506+M500+M504+M498</f>
        <v>131845.6</v>
      </c>
      <c r="N492" s="202">
        <f>N493+N502+N506+N500+N498</f>
        <v>15586</v>
      </c>
      <c r="O492" s="226">
        <f>O493+O502+O506+O500+O504+O498</f>
        <v>147431.6</v>
      </c>
      <c r="P492" s="226">
        <f>P493+P502+P506+P500+P504+P498</f>
        <v>146899.70000000001</v>
      </c>
      <c r="Q492" s="199">
        <f t="shared" si="133"/>
        <v>99.639222527599244</v>
      </c>
      <c r="R492" s="200"/>
      <c r="S492" s="200"/>
    </row>
    <row r="493" spans="1:19" s="197" customFormat="1" ht="61.5" customHeight="1" x14ac:dyDescent="0.25">
      <c r="A493" s="285"/>
      <c r="B493" s="198" t="s">
        <v>134</v>
      </c>
      <c r="C493" s="198" t="s">
        <v>477</v>
      </c>
      <c r="D493" s="201" t="s">
        <v>483</v>
      </c>
      <c r="E493" s="201" t="s">
        <v>499</v>
      </c>
      <c r="F493" s="201" t="s">
        <v>11</v>
      </c>
      <c r="G493" s="202">
        <f>G494+G495+G496+G497</f>
        <v>99695.200000000012</v>
      </c>
      <c r="H493" s="202">
        <f>SUM(H495)+H496+H494</f>
        <v>-91.2</v>
      </c>
      <c r="I493" s="202">
        <f>I494+I495+I496+I497</f>
        <v>99604</v>
      </c>
      <c r="J493" s="202">
        <f>J494+J495+J496+J497</f>
        <v>20725.600000000002</v>
      </c>
      <c r="K493" s="202">
        <f>K494+K495+K496</f>
        <v>7097.3</v>
      </c>
      <c r="L493" s="202">
        <f>L494+L495+L496+L497</f>
        <v>27822.9</v>
      </c>
      <c r="M493" s="202">
        <f>M494+M495+M496+M497</f>
        <v>120420.8</v>
      </c>
      <c r="N493" s="202">
        <f>N494+N495+N497+N496</f>
        <v>7006.1</v>
      </c>
      <c r="O493" s="226">
        <f>O494+O495+O496+O497</f>
        <v>127426.9</v>
      </c>
      <c r="P493" s="226">
        <f>P494+P495+P496+P497</f>
        <v>126895</v>
      </c>
      <c r="Q493" s="199">
        <f t="shared" si="133"/>
        <v>99.582584211026088</v>
      </c>
      <c r="R493" s="200"/>
      <c r="S493" s="200"/>
    </row>
    <row r="494" spans="1:19" s="197" customFormat="1" ht="138.75" customHeight="1" x14ac:dyDescent="0.25">
      <c r="A494" s="285"/>
      <c r="B494" s="198" t="s">
        <v>61</v>
      </c>
      <c r="C494" s="198" t="s">
        <v>477</v>
      </c>
      <c r="D494" s="201" t="s">
        <v>483</v>
      </c>
      <c r="E494" s="201" t="s">
        <v>499</v>
      </c>
      <c r="F494" s="201" t="s">
        <v>62</v>
      </c>
      <c r="G494" s="202">
        <v>16500.3</v>
      </c>
      <c r="H494" s="202">
        <v>-91.2</v>
      </c>
      <c r="I494" s="202">
        <f>16500.3+H494</f>
        <v>16409.099999999999</v>
      </c>
      <c r="J494" s="206">
        <v>3655.4</v>
      </c>
      <c r="K494" s="202">
        <f>1334.9-195.3</f>
        <v>1139.6000000000001</v>
      </c>
      <c r="L494" s="202">
        <f>J494+K494</f>
        <v>4795</v>
      </c>
      <c r="M494" s="202">
        <f>G494+J494</f>
        <v>20155.7</v>
      </c>
      <c r="N494" s="202">
        <f>H494+K494</f>
        <v>1048.4000000000001</v>
      </c>
      <c r="O494" s="226">
        <f>I494+L494</f>
        <v>21204.1</v>
      </c>
      <c r="P494" s="226">
        <v>21167.4</v>
      </c>
      <c r="Q494" s="199">
        <f t="shared" si="133"/>
        <v>99.826920265420384</v>
      </c>
      <c r="R494" s="200"/>
      <c r="S494" s="200"/>
    </row>
    <row r="495" spans="1:19" s="197" customFormat="1" ht="75" x14ac:dyDescent="0.25">
      <c r="A495" s="285"/>
      <c r="B495" s="198" t="s">
        <v>40</v>
      </c>
      <c r="C495" s="198" t="s">
        <v>477</v>
      </c>
      <c r="D495" s="201" t="s">
        <v>483</v>
      </c>
      <c r="E495" s="201" t="s">
        <v>499</v>
      </c>
      <c r="F495" s="201" t="s">
        <v>41</v>
      </c>
      <c r="G495" s="202">
        <v>6034.3</v>
      </c>
      <c r="H495" s="202"/>
      <c r="I495" s="202">
        <f>SUM(G495)+H495</f>
        <v>6034.3</v>
      </c>
      <c r="J495" s="206">
        <v>0</v>
      </c>
      <c r="K495" s="202"/>
      <c r="L495" s="206">
        <v>0</v>
      </c>
      <c r="M495" s="202">
        <f>SUM(G495)</f>
        <v>6034.3</v>
      </c>
      <c r="N495" s="202">
        <f>SUM(H495)</f>
        <v>0</v>
      </c>
      <c r="O495" s="226">
        <f>SUM(I495)</f>
        <v>6034.3</v>
      </c>
      <c r="P495" s="226">
        <v>5545.3</v>
      </c>
      <c r="Q495" s="199">
        <f t="shared" si="133"/>
        <v>91.8963260030161</v>
      </c>
      <c r="R495" s="200"/>
      <c r="S495" s="200"/>
    </row>
    <row r="496" spans="1:19" s="197" customFormat="1" ht="39" customHeight="1" x14ac:dyDescent="0.25">
      <c r="A496" s="285"/>
      <c r="B496" s="198" t="s">
        <v>95</v>
      </c>
      <c r="C496" s="198" t="s">
        <v>477</v>
      </c>
      <c r="D496" s="201" t="s">
        <v>483</v>
      </c>
      <c r="E496" s="201" t="s">
        <v>499</v>
      </c>
      <c r="F496" s="201" t="s">
        <v>96</v>
      </c>
      <c r="G496" s="202">
        <f>75925300/1000+1213.2</f>
        <v>77138.5</v>
      </c>
      <c r="H496" s="202"/>
      <c r="I496" s="202">
        <f>75925300/1000+1213.2+H496</f>
        <v>77138.5</v>
      </c>
      <c r="J496" s="206">
        <v>17070.2</v>
      </c>
      <c r="K496" s="202">
        <f>5762.4+195.3</f>
        <v>5957.7</v>
      </c>
      <c r="L496" s="202">
        <f>J496+K496</f>
        <v>23027.9</v>
      </c>
      <c r="M496" s="202">
        <f>G496+J496</f>
        <v>94208.7</v>
      </c>
      <c r="N496" s="202">
        <f>SUM(K496)+H496</f>
        <v>5957.7</v>
      </c>
      <c r="O496" s="226">
        <f>I496+L496</f>
        <v>100166.39999999999</v>
      </c>
      <c r="P496" s="226">
        <v>100166.5</v>
      </c>
      <c r="Q496" s="199">
        <f t="shared" si="133"/>
        <v>100.00009983387643</v>
      </c>
      <c r="R496" s="200"/>
      <c r="S496" s="200"/>
    </row>
    <row r="497" spans="1:19" s="197" customFormat="1" ht="25.5" customHeight="1" x14ac:dyDescent="0.25">
      <c r="A497" s="285"/>
      <c r="B497" s="198" t="s">
        <v>338</v>
      </c>
      <c r="C497" s="198" t="s">
        <v>477</v>
      </c>
      <c r="D497" s="201" t="s">
        <v>483</v>
      </c>
      <c r="E497" s="201" t="s">
        <v>499</v>
      </c>
      <c r="F497" s="201" t="s">
        <v>71</v>
      </c>
      <c r="G497" s="202">
        <v>22.1</v>
      </c>
      <c r="H497" s="202"/>
      <c r="I497" s="202">
        <v>22.1</v>
      </c>
      <c r="J497" s="206">
        <v>0</v>
      </c>
      <c r="K497" s="202"/>
      <c r="L497" s="206">
        <v>0</v>
      </c>
      <c r="M497" s="202">
        <f>G497+J497</f>
        <v>22.1</v>
      </c>
      <c r="N497" s="202">
        <f>SUM(H497)</f>
        <v>0</v>
      </c>
      <c r="O497" s="226">
        <f>I497+L497</f>
        <v>22.1</v>
      </c>
      <c r="P497" s="226">
        <v>15.8</v>
      </c>
      <c r="Q497" s="199">
        <f t="shared" si="133"/>
        <v>71.49321266968326</v>
      </c>
      <c r="R497" s="200"/>
      <c r="S497" s="200"/>
    </row>
    <row r="498" spans="1:19" s="197" customFormat="1" ht="63" customHeight="1" x14ac:dyDescent="0.25">
      <c r="A498" s="285"/>
      <c r="B498" s="198" t="s">
        <v>392</v>
      </c>
      <c r="C498" s="198">
        <v>993</v>
      </c>
      <c r="D498" s="201" t="s">
        <v>483</v>
      </c>
      <c r="E498" s="211" t="s">
        <v>600</v>
      </c>
      <c r="F498" s="201"/>
      <c r="G498" s="202">
        <v>797.2</v>
      </c>
      <c r="H498" s="202">
        <f>H499</f>
        <v>0</v>
      </c>
      <c r="I498" s="202">
        <f>SUM(H498)+G498</f>
        <v>797.2</v>
      </c>
      <c r="J498" s="206"/>
      <c r="K498" s="202">
        <v>5000</v>
      </c>
      <c r="L498" s="206">
        <f>SUM(K498)</f>
        <v>5000</v>
      </c>
      <c r="M498" s="202">
        <f>SUM(G498)</f>
        <v>797.2</v>
      </c>
      <c r="N498" s="202">
        <f>SUM(K498)</f>
        <v>5000</v>
      </c>
      <c r="O498" s="226">
        <f>SUM(I498)+N498</f>
        <v>5797.2</v>
      </c>
      <c r="P498" s="226">
        <f>SUM(J498)+O498</f>
        <v>5797.2</v>
      </c>
      <c r="Q498" s="199">
        <f t="shared" si="133"/>
        <v>100</v>
      </c>
      <c r="R498" s="200"/>
      <c r="S498" s="200"/>
    </row>
    <row r="499" spans="1:19" s="197" customFormat="1" ht="84.75" customHeight="1" x14ac:dyDescent="0.25">
      <c r="A499" s="285"/>
      <c r="B499" s="198" t="s">
        <v>95</v>
      </c>
      <c r="C499" s="198">
        <v>993</v>
      </c>
      <c r="D499" s="201" t="s">
        <v>483</v>
      </c>
      <c r="E499" s="211" t="s">
        <v>600</v>
      </c>
      <c r="F499" s="201">
        <v>600</v>
      </c>
      <c r="G499" s="202">
        <v>797.2</v>
      </c>
      <c r="H499" s="202"/>
      <c r="I499" s="202">
        <f>SUM(H499)+G499</f>
        <v>797.2</v>
      </c>
      <c r="J499" s="206"/>
      <c r="K499" s="202">
        <v>5000</v>
      </c>
      <c r="L499" s="206">
        <f>SUM(K499)</f>
        <v>5000</v>
      </c>
      <c r="M499" s="202">
        <f>SUM(G499)</f>
        <v>797.2</v>
      </c>
      <c r="N499" s="202">
        <f>SUM(K499)</f>
        <v>5000</v>
      </c>
      <c r="O499" s="226">
        <f>SUM(I499)+N499</f>
        <v>5797.2</v>
      </c>
      <c r="P499" s="226">
        <v>5797.2</v>
      </c>
      <c r="Q499" s="199">
        <f t="shared" si="133"/>
        <v>100</v>
      </c>
      <c r="R499" s="200"/>
      <c r="S499" s="200"/>
    </row>
    <row r="500" spans="1:19" s="197" customFormat="1" ht="60.75" customHeight="1" x14ac:dyDescent="0.25">
      <c r="A500" s="285"/>
      <c r="B500" s="198" t="s">
        <v>500</v>
      </c>
      <c r="C500" s="198">
        <v>993</v>
      </c>
      <c r="D500" s="201" t="s">
        <v>483</v>
      </c>
      <c r="E500" s="211" t="s">
        <v>501</v>
      </c>
      <c r="F500" s="201"/>
      <c r="G500" s="202">
        <f>SUM(F500)+G501</f>
        <v>2648.7</v>
      </c>
      <c r="H500" s="202">
        <f>SUM(H501)</f>
        <v>0</v>
      </c>
      <c r="I500" s="202">
        <f>SUM(G500)+H500</f>
        <v>2648.7</v>
      </c>
      <c r="J500" s="206">
        <f>SUM(J501)</f>
        <v>0</v>
      </c>
      <c r="K500" s="202">
        <f>SUM(K501)</f>
        <v>0</v>
      </c>
      <c r="L500" s="206">
        <f>SUM(J500)+K500</f>
        <v>0</v>
      </c>
      <c r="M500" s="202">
        <f>SUM(G500+J500)</f>
        <v>2648.7</v>
      </c>
      <c r="N500" s="202">
        <f>SUM(K500)+H500</f>
        <v>0</v>
      </c>
      <c r="O500" s="226">
        <f>SUM(I500)+L500</f>
        <v>2648.7</v>
      </c>
      <c r="P500" s="226">
        <f>SUM(J500)+M500</f>
        <v>2648.7</v>
      </c>
      <c r="Q500" s="199">
        <f t="shared" si="133"/>
        <v>100</v>
      </c>
      <c r="R500" s="200"/>
      <c r="S500" s="200"/>
    </row>
    <row r="501" spans="1:19" s="197" customFormat="1" ht="78" customHeight="1" x14ac:dyDescent="0.25">
      <c r="A501" s="285"/>
      <c r="B501" s="198" t="s">
        <v>95</v>
      </c>
      <c r="C501" s="198">
        <v>993</v>
      </c>
      <c r="D501" s="201" t="s">
        <v>483</v>
      </c>
      <c r="E501" s="211" t="s">
        <v>501</v>
      </c>
      <c r="F501" s="201">
        <v>600</v>
      </c>
      <c r="G501" s="202">
        <v>2648.7</v>
      </c>
      <c r="H501" s="202"/>
      <c r="I501" s="202">
        <f>SUM(G501)+H501</f>
        <v>2648.7</v>
      </c>
      <c r="J501" s="206">
        <v>0</v>
      </c>
      <c r="K501" s="202"/>
      <c r="L501" s="206">
        <f>SUM(J501)+K501</f>
        <v>0</v>
      </c>
      <c r="M501" s="202">
        <f>SUM(G501+J501)</f>
        <v>2648.7</v>
      </c>
      <c r="N501" s="202">
        <f>SUM(K501)+H501</f>
        <v>0</v>
      </c>
      <c r="O501" s="226">
        <f>SUM(I501)+L501</f>
        <v>2648.7</v>
      </c>
      <c r="P501" s="226">
        <v>2648.7</v>
      </c>
      <c r="Q501" s="199">
        <f t="shared" si="133"/>
        <v>100</v>
      </c>
      <c r="R501" s="200"/>
      <c r="S501" s="200"/>
    </row>
    <row r="502" spans="1:19" s="197" customFormat="1" ht="98.25" customHeight="1" x14ac:dyDescent="0.25">
      <c r="A502" s="285"/>
      <c r="B502" s="198" t="s">
        <v>283</v>
      </c>
      <c r="C502" s="198" t="s">
        <v>477</v>
      </c>
      <c r="D502" s="201" t="s">
        <v>483</v>
      </c>
      <c r="E502" s="201" t="s">
        <v>502</v>
      </c>
      <c r="F502" s="201" t="s">
        <v>11</v>
      </c>
      <c r="G502" s="202">
        <f>G503</f>
        <v>3006.6</v>
      </c>
      <c r="H502" s="202">
        <f>SUM(H503)</f>
        <v>1737.5</v>
      </c>
      <c r="I502" s="202">
        <f>SUM(G502)+H502</f>
        <v>4744.1000000000004</v>
      </c>
      <c r="J502" s="202">
        <f t="shared" ref="J502:P502" si="134">J503</f>
        <v>0</v>
      </c>
      <c r="K502" s="202">
        <f t="shared" si="134"/>
        <v>1842.4</v>
      </c>
      <c r="L502" s="202">
        <f t="shared" si="134"/>
        <v>1842.4</v>
      </c>
      <c r="M502" s="202">
        <f t="shared" si="134"/>
        <v>3006.6</v>
      </c>
      <c r="N502" s="202">
        <f t="shared" si="134"/>
        <v>3579.9</v>
      </c>
      <c r="O502" s="226">
        <f t="shared" si="134"/>
        <v>6586.5</v>
      </c>
      <c r="P502" s="226">
        <f t="shared" si="134"/>
        <v>6586.5</v>
      </c>
      <c r="Q502" s="199">
        <f t="shared" si="133"/>
        <v>100</v>
      </c>
      <c r="R502" s="200"/>
      <c r="S502" s="200"/>
    </row>
    <row r="503" spans="1:19" s="197" customFormat="1" ht="36" customHeight="1" x14ac:dyDescent="0.25">
      <c r="A503" s="285"/>
      <c r="B503" s="198" t="s">
        <v>95</v>
      </c>
      <c r="C503" s="198" t="s">
        <v>477</v>
      </c>
      <c r="D503" s="201" t="s">
        <v>483</v>
      </c>
      <c r="E503" s="201" t="s">
        <v>502</v>
      </c>
      <c r="F503" s="201" t="s">
        <v>96</v>
      </c>
      <c r="G503" s="202">
        <v>3006.6</v>
      </c>
      <c r="H503" s="202">
        <f>600+1137.5</f>
        <v>1737.5</v>
      </c>
      <c r="I503" s="202">
        <f>SUM(G503)+H503</f>
        <v>4744.1000000000004</v>
      </c>
      <c r="J503" s="206"/>
      <c r="K503" s="202">
        <f>1842.4</f>
        <v>1842.4</v>
      </c>
      <c r="L503" s="206">
        <f>SUM(J503:K503)</f>
        <v>1842.4</v>
      </c>
      <c r="M503" s="202">
        <f>SUM(G503)</f>
        <v>3006.6</v>
      </c>
      <c r="N503" s="202">
        <f>H503+K503</f>
        <v>3579.9</v>
      </c>
      <c r="O503" s="226">
        <f>SUM(M503)+N503</f>
        <v>6586.5</v>
      </c>
      <c r="P503" s="226">
        <v>6586.5</v>
      </c>
      <c r="Q503" s="199">
        <f t="shared" si="133"/>
        <v>100</v>
      </c>
      <c r="R503" s="200"/>
      <c r="S503" s="200"/>
    </row>
    <row r="504" spans="1:19" s="197" customFormat="1" ht="102.75" customHeight="1" x14ac:dyDescent="0.25">
      <c r="A504" s="285"/>
      <c r="B504" s="210" t="s">
        <v>587</v>
      </c>
      <c r="C504" s="198" t="s">
        <v>477</v>
      </c>
      <c r="D504" s="201" t="s">
        <v>483</v>
      </c>
      <c r="E504" s="211" t="s">
        <v>586</v>
      </c>
      <c r="F504" s="201" t="s">
        <v>11</v>
      </c>
      <c r="G504" s="202"/>
      <c r="H504" s="202"/>
      <c r="I504" s="202"/>
      <c r="J504" s="206">
        <f t="shared" ref="J504:P504" si="135">J505</f>
        <v>500</v>
      </c>
      <c r="K504" s="202">
        <f t="shared" si="135"/>
        <v>0</v>
      </c>
      <c r="L504" s="206">
        <f t="shared" si="135"/>
        <v>500</v>
      </c>
      <c r="M504" s="202">
        <f t="shared" si="135"/>
        <v>500</v>
      </c>
      <c r="N504" s="202">
        <f t="shared" si="135"/>
        <v>0</v>
      </c>
      <c r="O504" s="226">
        <f t="shared" si="135"/>
        <v>500</v>
      </c>
      <c r="P504" s="226">
        <f t="shared" si="135"/>
        <v>500</v>
      </c>
      <c r="Q504" s="199">
        <f t="shared" si="133"/>
        <v>100</v>
      </c>
      <c r="R504" s="200"/>
      <c r="S504" s="200"/>
    </row>
    <row r="505" spans="1:19" s="197" customFormat="1" ht="84" customHeight="1" x14ac:dyDescent="0.25">
      <c r="A505" s="285"/>
      <c r="B505" s="198" t="s">
        <v>95</v>
      </c>
      <c r="C505" s="198" t="s">
        <v>477</v>
      </c>
      <c r="D505" s="201" t="s">
        <v>483</v>
      </c>
      <c r="E505" s="211" t="s">
        <v>586</v>
      </c>
      <c r="F505" s="201" t="s">
        <v>96</v>
      </c>
      <c r="G505" s="202"/>
      <c r="H505" s="202"/>
      <c r="I505" s="202"/>
      <c r="J505" s="206">
        <v>500</v>
      </c>
      <c r="K505" s="202"/>
      <c r="L505" s="206">
        <f>SUM(J505:K505)</f>
        <v>500</v>
      </c>
      <c r="M505" s="202">
        <f>G505+J505</f>
        <v>500</v>
      </c>
      <c r="N505" s="202">
        <f>H505+K505</f>
        <v>0</v>
      </c>
      <c r="O505" s="226">
        <f>SUM(M505:N505)</f>
        <v>500</v>
      </c>
      <c r="P505" s="226">
        <v>500</v>
      </c>
      <c r="Q505" s="199">
        <f t="shared" si="133"/>
        <v>100</v>
      </c>
      <c r="R505" s="200"/>
      <c r="S505" s="200"/>
    </row>
    <row r="506" spans="1:19" s="197" customFormat="1" ht="76.5" customHeight="1" x14ac:dyDescent="0.25">
      <c r="A506" s="285"/>
      <c r="B506" s="198" t="s">
        <v>503</v>
      </c>
      <c r="C506" s="198" t="s">
        <v>477</v>
      </c>
      <c r="D506" s="201" t="s">
        <v>483</v>
      </c>
      <c r="E506" s="201" t="s">
        <v>504</v>
      </c>
      <c r="F506" s="201" t="s">
        <v>11</v>
      </c>
      <c r="G506" s="202">
        <f>G507</f>
        <v>626.1</v>
      </c>
      <c r="H506" s="202">
        <f>SUM(H507)</f>
        <v>0</v>
      </c>
      <c r="I506" s="202">
        <f>I507</f>
        <v>626.1</v>
      </c>
      <c r="J506" s="202">
        <f>J507</f>
        <v>3846.2</v>
      </c>
      <c r="K506" s="202"/>
      <c r="L506" s="202">
        <f>L507</f>
        <v>3846.2</v>
      </c>
      <c r="M506" s="202">
        <f>M507</f>
        <v>4472.3</v>
      </c>
      <c r="N506" s="202">
        <f>N507</f>
        <v>0</v>
      </c>
      <c r="O506" s="226">
        <f>O507</f>
        <v>4472.3</v>
      </c>
      <c r="P506" s="226">
        <f>P507</f>
        <v>4472.3</v>
      </c>
      <c r="Q506" s="199">
        <f t="shared" si="133"/>
        <v>100</v>
      </c>
      <c r="R506" s="200"/>
      <c r="S506" s="200"/>
    </row>
    <row r="507" spans="1:19" s="197" customFormat="1" ht="82.5" customHeight="1" x14ac:dyDescent="0.25">
      <c r="A507" s="285"/>
      <c r="B507" s="198" t="s">
        <v>95</v>
      </c>
      <c r="C507" s="198" t="s">
        <v>477</v>
      </c>
      <c r="D507" s="201" t="s">
        <v>483</v>
      </c>
      <c r="E507" s="201" t="s">
        <v>504</v>
      </c>
      <c r="F507" s="201" t="s">
        <v>96</v>
      </c>
      <c r="G507" s="202">
        <v>626.1</v>
      </c>
      <c r="H507" s="202"/>
      <c r="I507" s="202">
        <v>626.1</v>
      </c>
      <c r="J507" s="206">
        <v>3846.2</v>
      </c>
      <c r="K507" s="202"/>
      <c r="L507" s="206">
        <v>3846.2</v>
      </c>
      <c r="M507" s="202">
        <f>G507+J507</f>
        <v>4472.3</v>
      </c>
      <c r="N507" s="202">
        <f>SUM(H507)</f>
        <v>0</v>
      </c>
      <c r="O507" s="226">
        <f>I507+L507</f>
        <v>4472.3</v>
      </c>
      <c r="P507" s="226">
        <v>4472.3</v>
      </c>
      <c r="Q507" s="199">
        <f t="shared" si="133"/>
        <v>100</v>
      </c>
      <c r="R507" s="200"/>
      <c r="S507" s="200"/>
    </row>
    <row r="508" spans="1:19" s="197" customFormat="1" ht="38.25" customHeight="1" x14ac:dyDescent="0.25">
      <c r="A508" s="285"/>
      <c r="B508" s="207" t="s">
        <v>505</v>
      </c>
      <c r="C508" s="198">
        <v>993</v>
      </c>
      <c r="D508" s="201" t="s">
        <v>483</v>
      </c>
      <c r="E508" s="201" t="s">
        <v>506</v>
      </c>
      <c r="F508" s="201"/>
      <c r="G508" s="202">
        <v>254.4</v>
      </c>
      <c r="H508" s="202"/>
      <c r="I508" s="202">
        <v>254.4</v>
      </c>
      <c r="J508" s="206">
        <v>1562.5</v>
      </c>
      <c r="K508" s="202"/>
      <c r="L508" s="206">
        <v>1562.5</v>
      </c>
      <c r="M508" s="202">
        <f>254.4+J508</f>
        <v>1816.9</v>
      </c>
      <c r="N508" s="202"/>
      <c r="O508" s="226">
        <f>254.4+L508</f>
        <v>1816.9</v>
      </c>
      <c r="P508" s="226">
        <f>M508</f>
        <v>1816.9</v>
      </c>
      <c r="Q508" s="199">
        <f t="shared" si="133"/>
        <v>100</v>
      </c>
      <c r="R508" s="200"/>
      <c r="S508" s="200"/>
    </row>
    <row r="509" spans="1:19" s="197" customFormat="1" ht="44.25" customHeight="1" x14ac:dyDescent="0.25">
      <c r="A509" s="285"/>
      <c r="B509" s="207" t="s">
        <v>507</v>
      </c>
      <c r="C509" s="198">
        <v>993</v>
      </c>
      <c r="D509" s="201" t="s">
        <v>483</v>
      </c>
      <c r="E509" s="201" t="s">
        <v>508</v>
      </c>
      <c r="F509" s="201"/>
      <c r="G509" s="202">
        <v>254.4</v>
      </c>
      <c r="H509" s="202"/>
      <c r="I509" s="202">
        <v>254.4</v>
      </c>
      <c r="J509" s="206">
        <v>1562.5</v>
      </c>
      <c r="K509" s="202"/>
      <c r="L509" s="206">
        <v>1562.5</v>
      </c>
      <c r="M509" s="202">
        <f>254.4+J509</f>
        <v>1816.9</v>
      </c>
      <c r="N509" s="202"/>
      <c r="O509" s="226">
        <f>254.4+L509</f>
        <v>1816.9</v>
      </c>
      <c r="P509" s="226">
        <f>M509</f>
        <v>1816.9</v>
      </c>
      <c r="Q509" s="199">
        <f t="shared" si="133"/>
        <v>100</v>
      </c>
      <c r="R509" s="200"/>
      <c r="S509" s="200"/>
    </row>
    <row r="510" spans="1:19" s="197" customFormat="1" ht="79.5" customHeight="1" x14ac:dyDescent="0.25">
      <c r="A510" s="285"/>
      <c r="B510" s="198" t="s">
        <v>95</v>
      </c>
      <c r="C510" s="198">
        <v>993</v>
      </c>
      <c r="D510" s="201" t="s">
        <v>483</v>
      </c>
      <c r="E510" s="201" t="s">
        <v>508</v>
      </c>
      <c r="F510" s="201">
        <v>600</v>
      </c>
      <c r="G510" s="202">
        <v>254.4</v>
      </c>
      <c r="H510" s="205"/>
      <c r="I510" s="202">
        <v>254.4</v>
      </c>
      <c r="J510" s="206">
        <v>1562.5</v>
      </c>
      <c r="K510" s="205"/>
      <c r="L510" s="206">
        <v>1562.5</v>
      </c>
      <c r="M510" s="202">
        <f>254.4+J510</f>
        <v>1816.9</v>
      </c>
      <c r="N510" s="202"/>
      <c r="O510" s="226">
        <f>254.4+L510</f>
        <v>1816.9</v>
      </c>
      <c r="P510" s="226">
        <v>1816.9</v>
      </c>
      <c r="Q510" s="199">
        <f t="shared" si="133"/>
        <v>100</v>
      </c>
      <c r="R510" s="200"/>
      <c r="S510" s="200"/>
    </row>
    <row r="511" spans="1:19" s="197" customFormat="1" ht="36" hidden="1" customHeight="1" x14ac:dyDescent="0.25">
      <c r="A511" s="285"/>
      <c r="B511" s="207" t="s">
        <v>459</v>
      </c>
      <c r="C511" s="198">
        <v>993</v>
      </c>
      <c r="D511" s="201" t="s">
        <v>483</v>
      </c>
      <c r="E511" s="201">
        <v>1300000000</v>
      </c>
      <c r="F511" s="201"/>
      <c r="G511" s="202"/>
      <c r="H511" s="202">
        <f>SUM(H512)</f>
        <v>0</v>
      </c>
      <c r="I511" s="202">
        <f>SUM(H512)</f>
        <v>0</v>
      </c>
      <c r="J511" s="206"/>
      <c r="K511" s="205"/>
      <c r="L511" s="206"/>
      <c r="M511" s="202"/>
      <c r="N511" s="202">
        <f t="shared" ref="N511:O514" si="136">SUM(H511)</f>
        <v>0</v>
      </c>
      <c r="O511" s="226">
        <f t="shared" si="136"/>
        <v>0</v>
      </c>
      <c r="P511" s="226"/>
      <c r="Q511" s="199" t="e">
        <f t="shared" si="133"/>
        <v>#DIV/0!</v>
      </c>
      <c r="R511" s="200"/>
      <c r="S511" s="200"/>
    </row>
    <row r="512" spans="1:19" s="197" customFormat="1" ht="36" hidden="1" customHeight="1" x14ac:dyDescent="0.25">
      <c r="A512" s="285"/>
      <c r="B512" s="207" t="s">
        <v>461</v>
      </c>
      <c r="C512" s="198">
        <v>993</v>
      </c>
      <c r="D512" s="201" t="s">
        <v>483</v>
      </c>
      <c r="E512" s="211" t="s">
        <v>462</v>
      </c>
      <c r="F512" s="201"/>
      <c r="G512" s="202"/>
      <c r="H512" s="202">
        <f>SUM(H513)</f>
        <v>0</v>
      </c>
      <c r="I512" s="202">
        <f>SUM(H513)</f>
        <v>0</v>
      </c>
      <c r="J512" s="206"/>
      <c r="K512" s="205"/>
      <c r="L512" s="206"/>
      <c r="M512" s="202"/>
      <c r="N512" s="202">
        <f t="shared" si="136"/>
        <v>0</v>
      </c>
      <c r="O512" s="226">
        <f t="shared" si="136"/>
        <v>0</v>
      </c>
      <c r="P512" s="226"/>
      <c r="Q512" s="199" t="e">
        <f t="shared" si="133"/>
        <v>#DIV/0!</v>
      </c>
      <c r="R512" s="200"/>
      <c r="S512" s="200"/>
    </row>
    <row r="513" spans="1:19" s="197" customFormat="1" ht="36" hidden="1" customHeight="1" x14ac:dyDescent="0.25">
      <c r="A513" s="285"/>
      <c r="B513" s="207" t="s">
        <v>463</v>
      </c>
      <c r="C513" s="198">
        <v>993</v>
      </c>
      <c r="D513" s="201" t="s">
        <v>483</v>
      </c>
      <c r="E513" s="211" t="s">
        <v>464</v>
      </c>
      <c r="F513" s="201"/>
      <c r="G513" s="202"/>
      <c r="H513" s="202">
        <f>SUM(H514)</f>
        <v>0</v>
      </c>
      <c r="I513" s="202">
        <f>SUM(H514)</f>
        <v>0</v>
      </c>
      <c r="J513" s="206"/>
      <c r="K513" s="205"/>
      <c r="L513" s="206"/>
      <c r="M513" s="202"/>
      <c r="N513" s="202">
        <f t="shared" si="136"/>
        <v>0</v>
      </c>
      <c r="O513" s="226">
        <f t="shared" si="136"/>
        <v>0</v>
      </c>
      <c r="P513" s="226"/>
      <c r="Q513" s="199" t="e">
        <f t="shared" si="133"/>
        <v>#DIV/0!</v>
      </c>
      <c r="R513" s="200"/>
      <c r="S513" s="200"/>
    </row>
    <row r="514" spans="1:19" s="197" customFormat="1" ht="36" hidden="1" customHeight="1" x14ac:dyDescent="0.25">
      <c r="A514" s="285"/>
      <c r="B514" s="198" t="s">
        <v>40</v>
      </c>
      <c r="C514" s="198">
        <v>993</v>
      </c>
      <c r="D514" s="201" t="s">
        <v>483</v>
      </c>
      <c r="E514" s="211" t="s">
        <v>464</v>
      </c>
      <c r="F514" s="201">
        <v>200</v>
      </c>
      <c r="G514" s="202"/>
      <c r="H514" s="205"/>
      <c r="I514" s="245">
        <f>SUM(H514)</f>
        <v>0</v>
      </c>
      <c r="J514" s="206"/>
      <c r="K514" s="205"/>
      <c r="L514" s="206"/>
      <c r="M514" s="202"/>
      <c r="N514" s="202">
        <f t="shared" si="136"/>
        <v>0</v>
      </c>
      <c r="O514" s="226">
        <f t="shared" si="136"/>
        <v>0</v>
      </c>
      <c r="P514" s="226"/>
      <c r="Q514" s="199" t="e">
        <f t="shared" si="133"/>
        <v>#DIV/0!</v>
      </c>
      <c r="R514" s="200"/>
      <c r="S514" s="200"/>
    </row>
    <row r="515" spans="1:19" s="197" customFormat="1" ht="23.25" customHeight="1" x14ac:dyDescent="0.25">
      <c r="A515" s="285"/>
      <c r="B515" s="198" t="s">
        <v>510</v>
      </c>
      <c r="C515" s="203" t="s">
        <v>477</v>
      </c>
      <c r="D515" s="204" t="s">
        <v>511</v>
      </c>
      <c r="E515" s="204" t="s">
        <v>11</v>
      </c>
      <c r="F515" s="204" t="s">
        <v>11</v>
      </c>
      <c r="G515" s="205">
        <f t="shared" ref="G515:P519" si="137">G516</f>
        <v>11335.7</v>
      </c>
      <c r="H515" s="205">
        <f t="shared" si="137"/>
        <v>0</v>
      </c>
      <c r="I515" s="205">
        <f t="shared" si="137"/>
        <v>11335.7</v>
      </c>
      <c r="J515" s="205">
        <f t="shared" si="137"/>
        <v>747.5</v>
      </c>
      <c r="K515" s="202">
        <f>K516</f>
        <v>657.3</v>
      </c>
      <c r="L515" s="205">
        <f t="shared" si="137"/>
        <v>1404.8</v>
      </c>
      <c r="M515" s="205">
        <f>M516</f>
        <v>12083.2</v>
      </c>
      <c r="N515" s="205">
        <f t="shared" si="137"/>
        <v>657.3</v>
      </c>
      <c r="O515" s="227">
        <f t="shared" si="137"/>
        <v>12740.5</v>
      </c>
      <c r="P515" s="227">
        <f t="shared" si="137"/>
        <v>12740.5</v>
      </c>
      <c r="Q515" s="199">
        <f t="shared" si="133"/>
        <v>100</v>
      </c>
      <c r="R515" s="200"/>
      <c r="S515" s="200"/>
    </row>
    <row r="516" spans="1:19" s="197" customFormat="1" ht="59.25" customHeight="1" x14ac:dyDescent="0.25">
      <c r="A516" s="285"/>
      <c r="B516" s="198" t="s">
        <v>484</v>
      </c>
      <c r="C516" s="198" t="s">
        <v>477</v>
      </c>
      <c r="D516" s="201" t="s">
        <v>511</v>
      </c>
      <c r="E516" s="201" t="s">
        <v>485</v>
      </c>
      <c r="F516" s="201" t="s">
        <v>11</v>
      </c>
      <c r="G516" s="202">
        <f t="shared" si="137"/>
        <v>11335.7</v>
      </c>
      <c r="H516" s="202">
        <f t="shared" si="137"/>
        <v>0</v>
      </c>
      <c r="I516" s="202">
        <f t="shared" si="137"/>
        <v>11335.7</v>
      </c>
      <c r="J516" s="202">
        <f t="shared" si="137"/>
        <v>747.5</v>
      </c>
      <c r="K516" s="202">
        <f>K517</f>
        <v>657.3</v>
      </c>
      <c r="L516" s="202">
        <f t="shared" si="137"/>
        <v>1404.8</v>
      </c>
      <c r="M516" s="202">
        <f t="shared" si="137"/>
        <v>12083.2</v>
      </c>
      <c r="N516" s="202">
        <f t="shared" si="137"/>
        <v>657.3</v>
      </c>
      <c r="O516" s="226">
        <f t="shared" si="137"/>
        <v>12740.5</v>
      </c>
      <c r="P516" s="226">
        <f t="shared" si="137"/>
        <v>12740.5</v>
      </c>
      <c r="Q516" s="199">
        <f t="shared" si="133"/>
        <v>100</v>
      </c>
      <c r="R516" s="200"/>
      <c r="S516" s="200"/>
    </row>
    <row r="517" spans="1:19" s="197" customFormat="1" ht="96" customHeight="1" x14ac:dyDescent="0.25">
      <c r="A517" s="285"/>
      <c r="B517" s="198" t="s">
        <v>495</v>
      </c>
      <c r="C517" s="198" t="s">
        <v>477</v>
      </c>
      <c r="D517" s="201" t="s">
        <v>511</v>
      </c>
      <c r="E517" s="201" t="s">
        <v>496</v>
      </c>
      <c r="F517" s="201" t="s">
        <v>11</v>
      </c>
      <c r="G517" s="202">
        <f t="shared" si="137"/>
        <v>11335.7</v>
      </c>
      <c r="H517" s="202">
        <f t="shared" si="137"/>
        <v>0</v>
      </c>
      <c r="I517" s="202">
        <f t="shared" si="137"/>
        <v>11335.7</v>
      </c>
      <c r="J517" s="202">
        <f t="shared" si="137"/>
        <v>747.5</v>
      </c>
      <c r="K517" s="202">
        <f>K518</f>
        <v>657.3</v>
      </c>
      <c r="L517" s="202">
        <f t="shared" si="137"/>
        <v>1404.8</v>
      </c>
      <c r="M517" s="202">
        <f t="shared" si="137"/>
        <v>12083.2</v>
      </c>
      <c r="N517" s="202">
        <f t="shared" si="137"/>
        <v>657.3</v>
      </c>
      <c r="O517" s="226">
        <f t="shared" si="137"/>
        <v>12740.5</v>
      </c>
      <c r="P517" s="226">
        <f t="shared" si="137"/>
        <v>12740.5</v>
      </c>
      <c r="Q517" s="199">
        <f t="shared" si="133"/>
        <v>100</v>
      </c>
      <c r="R517" s="200"/>
      <c r="S517" s="200"/>
    </row>
    <row r="518" spans="1:19" s="197" customFormat="1" ht="81.75" customHeight="1" x14ac:dyDescent="0.25">
      <c r="A518" s="285"/>
      <c r="B518" s="198" t="s">
        <v>497</v>
      </c>
      <c r="C518" s="198" t="s">
        <v>477</v>
      </c>
      <c r="D518" s="201" t="s">
        <v>511</v>
      </c>
      <c r="E518" s="201" t="s">
        <v>498</v>
      </c>
      <c r="F518" s="201" t="s">
        <v>11</v>
      </c>
      <c r="G518" s="202">
        <f>G519+G521</f>
        <v>11335.7</v>
      </c>
      <c r="H518" s="202">
        <f>SUM(H519)</f>
        <v>0</v>
      </c>
      <c r="I518" s="202">
        <f>I519+I521</f>
        <v>11335.7</v>
      </c>
      <c r="J518" s="202">
        <f t="shared" si="137"/>
        <v>747.5</v>
      </c>
      <c r="K518" s="202">
        <f>K519</f>
        <v>657.3</v>
      </c>
      <c r="L518" s="202">
        <f t="shared" si="137"/>
        <v>1404.8</v>
      </c>
      <c r="M518" s="202">
        <f>M519+M521</f>
        <v>12083.2</v>
      </c>
      <c r="N518" s="202">
        <f t="shared" si="137"/>
        <v>657.3</v>
      </c>
      <c r="O518" s="226">
        <f>O519+O521</f>
        <v>12740.5</v>
      </c>
      <c r="P518" s="226">
        <f>P519+P521</f>
        <v>12740.5</v>
      </c>
      <c r="Q518" s="199">
        <f t="shared" si="133"/>
        <v>100</v>
      </c>
      <c r="R518" s="200"/>
      <c r="S518" s="200"/>
    </row>
    <row r="519" spans="1:19" s="197" customFormat="1" ht="60" customHeight="1" x14ac:dyDescent="0.25">
      <c r="A519" s="285"/>
      <c r="B519" s="198" t="s">
        <v>134</v>
      </c>
      <c r="C519" s="198" t="s">
        <v>477</v>
      </c>
      <c r="D519" s="201" t="s">
        <v>511</v>
      </c>
      <c r="E519" s="201" t="s">
        <v>499</v>
      </c>
      <c r="F519" s="201" t="s">
        <v>11</v>
      </c>
      <c r="G519" s="202">
        <f>G520</f>
        <v>10735.7</v>
      </c>
      <c r="H519" s="205"/>
      <c r="I519" s="202">
        <f>I520</f>
        <v>10735.7</v>
      </c>
      <c r="J519" s="202">
        <f t="shared" si="137"/>
        <v>747.5</v>
      </c>
      <c r="K519" s="205">
        <f>K520</f>
        <v>657.3</v>
      </c>
      <c r="L519" s="202">
        <f t="shared" si="137"/>
        <v>1404.8</v>
      </c>
      <c r="M519" s="202">
        <f t="shared" si="137"/>
        <v>11483.2</v>
      </c>
      <c r="N519" s="202">
        <f t="shared" si="137"/>
        <v>657.3</v>
      </c>
      <c r="O519" s="226">
        <f t="shared" si="137"/>
        <v>12140.5</v>
      </c>
      <c r="P519" s="226">
        <f t="shared" si="137"/>
        <v>12140.5</v>
      </c>
      <c r="Q519" s="199">
        <f t="shared" si="133"/>
        <v>100</v>
      </c>
      <c r="R519" s="200"/>
      <c r="S519" s="200"/>
    </row>
    <row r="520" spans="1:19" s="197" customFormat="1" ht="44.25" customHeight="1" x14ac:dyDescent="0.25">
      <c r="A520" s="285"/>
      <c r="B520" s="198" t="s">
        <v>95</v>
      </c>
      <c r="C520" s="198" t="s">
        <v>477</v>
      </c>
      <c r="D520" s="201" t="s">
        <v>511</v>
      </c>
      <c r="E520" s="201" t="s">
        <v>499</v>
      </c>
      <c r="F520" s="201" t="s">
        <v>96</v>
      </c>
      <c r="G520" s="202">
        <f>10735700/1000</f>
        <v>10735.7</v>
      </c>
      <c r="H520" s="205"/>
      <c r="I520" s="202">
        <f>10735700/1000+H520</f>
        <v>10735.7</v>
      </c>
      <c r="J520" s="206">
        <v>747.5</v>
      </c>
      <c r="K520" s="202">
        <v>657.3</v>
      </c>
      <c r="L520" s="206">
        <f>J520+K520</f>
        <v>1404.8</v>
      </c>
      <c r="M520" s="202">
        <f>G520+J520</f>
        <v>11483.2</v>
      </c>
      <c r="N520" s="202">
        <f>SUM(K520)</f>
        <v>657.3</v>
      </c>
      <c r="O520" s="226">
        <f>I520+L520</f>
        <v>12140.5</v>
      </c>
      <c r="P520" s="226">
        <v>12140.5</v>
      </c>
      <c r="Q520" s="199">
        <f t="shared" si="133"/>
        <v>100</v>
      </c>
      <c r="R520" s="200"/>
      <c r="S520" s="200"/>
    </row>
    <row r="521" spans="1:19" s="197" customFormat="1" ht="45.75" customHeight="1" x14ac:dyDescent="0.25">
      <c r="A521" s="285"/>
      <c r="B521" s="198" t="s">
        <v>283</v>
      </c>
      <c r="C521" s="198">
        <v>993</v>
      </c>
      <c r="D521" s="201" t="s">
        <v>511</v>
      </c>
      <c r="E521" s="201" t="s">
        <v>502</v>
      </c>
      <c r="F521" s="201"/>
      <c r="G521" s="202">
        <f>SUM(G522)</f>
        <v>600</v>
      </c>
      <c r="H521" s="205"/>
      <c r="I521" s="202">
        <f>SUM(G521)</f>
        <v>600</v>
      </c>
      <c r="J521" s="206"/>
      <c r="K521" s="205"/>
      <c r="L521" s="206"/>
      <c r="M521" s="202">
        <f t="shared" ref="M521:O522" si="138">SUM(G521)</f>
        <v>600</v>
      </c>
      <c r="N521" s="202">
        <f t="shared" si="138"/>
        <v>0</v>
      </c>
      <c r="O521" s="226">
        <f t="shared" si="138"/>
        <v>600</v>
      </c>
      <c r="P521" s="226">
        <v>600</v>
      </c>
      <c r="Q521" s="199">
        <f t="shared" si="133"/>
        <v>100</v>
      </c>
      <c r="R521" s="200"/>
      <c r="S521" s="200"/>
    </row>
    <row r="522" spans="1:19" s="197" customFormat="1" ht="55.5" customHeight="1" x14ac:dyDescent="0.25">
      <c r="A522" s="285"/>
      <c r="B522" s="198" t="s">
        <v>95</v>
      </c>
      <c r="C522" s="198">
        <v>993</v>
      </c>
      <c r="D522" s="201" t="s">
        <v>511</v>
      </c>
      <c r="E522" s="201" t="s">
        <v>502</v>
      </c>
      <c r="F522" s="201">
        <v>600</v>
      </c>
      <c r="G522" s="202">
        <v>600</v>
      </c>
      <c r="H522" s="205"/>
      <c r="I522" s="202">
        <f>SUM(G522)</f>
        <v>600</v>
      </c>
      <c r="J522" s="206"/>
      <c r="K522" s="205"/>
      <c r="L522" s="206"/>
      <c r="M522" s="202">
        <f t="shared" si="138"/>
        <v>600</v>
      </c>
      <c r="N522" s="202">
        <f t="shared" si="138"/>
        <v>0</v>
      </c>
      <c r="O522" s="226">
        <f t="shared" si="138"/>
        <v>600</v>
      </c>
      <c r="P522" s="226">
        <v>600</v>
      </c>
      <c r="Q522" s="199">
        <f t="shared" si="133"/>
        <v>100</v>
      </c>
      <c r="R522" s="200"/>
      <c r="S522" s="200"/>
    </row>
    <row r="523" spans="1:19" s="197" customFormat="1" ht="49.5" customHeight="1" x14ac:dyDescent="0.25">
      <c r="A523" s="285"/>
      <c r="B523" s="198" t="s">
        <v>513</v>
      </c>
      <c r="C523" s="203" t="s">
        <v>477</v>
      </c>
      <c r="D523" s="204" t="s">
        <v>514</v>
      </c>
      <c r="E523" s="204" t="s">
        <v>11</v>
      </c>
      <c r="F523" s="204" t="s">
        <v>11</v>
      </c>
      <c r="G523" s="205">
        <f>G524</f>
        <v>19152.7</v>
      </c>
      <c r="H523" s="205">
        <f>H524+H535</f>
        <v>91.2</v>
      </c>
      <c r="I523" s="205">
        <f>I524</f>
        <v>19243.900000000001</v>
      </c>
      <c r="J523" s="205">
        <f>J524</f>
        <v>537.79999999999995</v>
      </c>
      <c r="K523" s="202">
        <f>K524+K535</f>
        <v>216.1</v>
      </c>
      <c r="L523" s="205">
        <f>L524</f>
        <v>753.9</v>
      </c>
      <c r="M523" s="205">
        <f>M524</f>
        <v>19690.5</v>
      </c>
      <c r="N523" s="205">
        <f>N524</f>
        <v>307.3</v>
      </c>
      <c r="O523" s="227">
        <f>O524</f>
        <v>19997.8</v>
      </c>
      <c r="P523" s="227">
        <f>P524</f>
        <v>19849.5</v>
      </c>
      <c r="Q523" s="199">
        <f t="shared" si="133"/>
        <v>99.258418426026864</v>
      </c>
      <c r="R523" s="200"/>
      <c r="S523" s="200"/>
    </row>
    <row r="524" spans="1:19" s="197" customFormat="1" ht="66.75" customHeight="1" x14ac:dyDescent="0.25">
      <c r="A524" s="285"/>
      <c r="B524" s="198" t="s">
        <v>484</v>
      </c>
      <c r="C524" s="198" t="s">
        <v>477</v>
      </c>
      <c r="D524" s="201" t="s">
        <v>514</v>
      </c>
      <c r="E524" s="201" t="s">
        <v>485</v>
      </c>
      <c r="F524" s="201" t="s">
        <v>11</v>
      </c>
      <c r="G524" s="202">
        <f>G525+G536</f>
        <v>19152.7</v>
      </c>
      <c r="H524" s="202">
        <f>H525+H536</f>
        <v>91.2</v>
      </c>
      <c r="I524" s="202">
        <f>I525+I536</f>
        <v>19243.900000000001</v>
      </c>
      <c r="J524" s="202">
        <f>J525+J536</f>
        <v>537.79999999999995</v>
      </c>
      <c r="K524" s="202">
        <f>K525+K529</f>
        <v>216.1</v>
      </c>
      <c r="L524" s="202">
        <f>L525+L536</f>
        <v>753.9</v>
      </c>
      <c r="M524" s="202">
        <f>M525+M536</f>
        <v>19690.5</v>
      </c>
      <c r="N524" s="202">
        <f>N525+N536</f>
        <v>307.3</v>
      </c>
      <c r="O524" s="226">
        <f>O525+O536</f>
        <v>19997.8</v>
      </c>
      <c r="P524" s="226">
        <f>P525+P536</f>
        <v>19849.5</v>
      </c>
      <c r="Q524" s="199">
        <f t="shared" si="133"/>
        <v>99.258418426026864</v>
      </c>
      <c r="R524" s="200"/>
      <c r="S524" s="200"/>
    </row>
    <row r="525" spans="1:19" s="197" customFormat="1" ht="78.75" customHeight="1" x14ac:dyDescent="0.25">
      <c r="A525" s="285"/>
      <c r="B525" s="198" t="s">
        <v>495</v>
      </c>
      <c r="C525" s="198" t="s">
        <v>477</v>
      </c>
      <c r="D525" s="201" t="s">
        <v>514</v>
      </c>
      <c r="E525" s="201" t="s">
        <v>496</v>
      </c>
      <c r="F525" s="201" t="s">
        <v>11</v>
      </c>
      <c r="G525" s="202">
        <f>G526+G531</f>
        <v>16014.7</v>
      </c>
      <c r="H525" s="202">
        <f>H526+H531</f>
        <v>91.2</v>
      </c>
      <c r="I525" s="202">
        <f>I526+I531</f>
        <v>16105.9</v>
      </c>
      <c r="J525" s="202">
        <f>J526+J531</f>
        <v>537.79999999999995</v>
      </c>
      <c r="K525" s="202">
        <f>K526</f>
        <v>216.1</v>
      </c>
      <c r="L525" s="202">
        <f>L526+L531</f>
        <v>753.9</v>
      </c>
      <c r="M525" s="202">
        <f>M526+M531</f>
        <v>16552.5</v>
      </c>
      <c r="N525" s="202">
        <f>N526+N531</f>
        <v>307.3</v>
      </c>
      <c r="O525" s="226">
        <f>O526+O531</f>
        <v>16859.8</v>
      </c>
      <c r="P525" s="226">
        <f>P526+P531</f>
        <v>16715.5</v>
      </c>
      <c r="Q525" s="199">
        <f t="shared" si="133"/>
        <v>99.144117961067153</v>
      </c>
      <c r="R525" s="200"/>
      <c r="S525" s="200"/>
    </row>
    <row r="526" spans="1:19" s="197" customFormat="1" ht="78.75" customHeight="1" x14ac:dyDescent="0.25">
      <c r="A526" s="285"/>
      <c r="B526" s="198" t="s">
        <v>497</v>
      </c>
      <c r="C526" s="198" t="s">
        <v>477</v>
      </c>
      <c r="D526" s="201" t="s">
        <v>514</v>
      </c>
      <c r="E526" s="201" t="s">
        <v>498</v>
      </c>
      <c r="F526" s="201" t="s">
        <v>11</v>
      </c>
      <c r="G526" s="202">
        <f>G527</f>
        <v>4752.5999999999995</v>
      </c>
      <c r="H526" s="202">
        <f>H527</f>
        <v>91.2</v>
      </c>
      <c r="I526" s="202">
        <f>I527</f>
        <v>4843.7999999999993</v>
      </c>
      <c r="J526" s="202">
        <f>J527</f>
        <v>537.79999999999995</v>
      </c>
      <c r="K526" s="202">
        <f>K527</f>
        <v>216.1</v>
      </c>
      <c r="L526" s="202">
        <f>L527</f>
        <v>753.9</v>
      </c>
      <c r="M526" s="202">
        <f>M527</f>
        <v>5290.4</v>
      </c>
      <c r="N526" s="202">
        <f>N527</f>
        <v>307.3</v>
      </c>
      <c r="O526" s="226">
        <f>O527</f>
        <v>5597.6999999999989</v>
      </c>
      <c r="P526" s="226">
        <f>P527</f>
        <v>5522.3</v>
      </c>
      <c r="Q526" s="199">
        <f t="shared" si="133"/>
        <v>98.653018203905191</v>
      </c>
      <c r="R526" s="200"/>
      <c r="S526" s="200"/>
    </row>
    <row r="527" spans="1:19" s="197" customFormat="1" ht="56.25" x14ac:dyDescent="0.25">
      <c r="A527" s="285"/>
      <c r="B527" s="198" t="s">
        <v>134</v>
      </c>
      <c r="C527" s="198" t="s">
        <v>477</v>
      </c>
      <c r="D527" s="201" t="s">
        <v>514</v>
      </c>
      <c r="E527" s="201" t="s">
        <v>499</v>
      </c>
      <c r="F527" s="201" t="s">
        <v>11</v>
      </c>
      <c r="G527" s="202">
        <f>G528+G529+G530</f>
        <v>4752.5999999999995</v>
      </c>
      <c r="H527" s="202">
        <f>H528+H529</f>
        <v>91.2</v>
      </c>
      <c r="I527" s="202">
        <f>SUM(I528:I530)</f>
        <v>4843.7999999999993</v>
      </c>
      <c r="J527" s="202">
        <f>J528+J529</f>
        <v>537.79999999999995</v>
      </c>
      <c r="K527" s="202">
        <f>K528</f>
        <v>216.1</v>
      </c>
      <c r="L527" s="202">
        <f>L528+L529</f>
        <v>753.9</v>
      </c>
      <c r="M527" s="202">
        <f>M528+M529+M530</f>
        <v>5290.4</v>
      </c>
      <c r="N527" s="202">
        <f>N528+N529+N530</f>
        <v>307.3</v>
      </c>
      <c r="O527" s="226">
        <f>O528+O529+O530</f>
        <v>5597.6999999999989</v>
      </c>
      <c r="P527" s="226">
        <f>P528+P529+P530</f>
        <v>5522.3</v>
      </c>
      <c r="Q527" s="199">
        <f t="shared" si="133"/>
        <v>98.653018203905191</v>
      </c>
      <c r="R527" s="200"/>
      <c r="S527" s="200"/>
    </row>
    <row r="528" spans="1:19" s="197" customFormat="1" ht="171" customHeight="1" x14ac:dyDescent="0.25">
      <c r="A528" s="285"/>
      <c r="B528" s="198" t="s">
        <v>61</v>
      </c>
      <c r="C528" s="198" t="s">
        <v>477</v>
      </c>
      <c r="D528" s="201" t="s">
        <v>514</v>
      </c>
      <c r="E528" s="201" t="s">
        <v>499</v>
      </c>
      <c r="F528" s="201" t="s">
        <v>62</v>
      </c>
      <c r="G528" s="202">
        <v>4110.2</v>
      </c>
      <c r="H528" s="202">
        <v>91.2</v>
      </c>
      <c r="I528" s="202">
        <f>G528+H528</f>
        <v>4201.3999999999996</v>
      </c>
      <c r="J528" s="206">
        <v>537.79999999999995</v>
      </c>
      <c r="K528" s="202">
        <v>216.1</v>
      </c>
      <c r="L528" s="206">
        <f>J528+K528</f>
        <v>753.9</v>
      </c>
      <c r="M528" s="202">
        <f>G528+J528</f>
        <v>4648</v>
      </c>
      <c r="N528" s="202">
        <f>H528+K528</f>
        <v>307.3</v>
      </c>
      <c r="O528" s="226">
        <f>I528+L528</f>
        <v>4955.2999999999993</v>
      </c>
      <c r="P528" s="226">
        <v>4954.5</v>
      </c>
      <c r="Q528" s="199">
        <f t="shared" si="133"/>
        <v>99.983855669687017</v>
      </c>
      <c r="R528" s="200"/>
      <c r="S528" s="200"/>
    </row>
    <row r="529" spans="1:19" s="197" customFormat="1" ht="75" x14ac:dyDescent="0.25">
      <c r="A529" s="285"/>
      <c r="B529" s="198" t="s">
        <v>40</v>
      </c>
      <c r="C529" s="198" t="s">
        <v>477</v>
      </c>
      <c r="D529" s="201" t="s">
        <v>514</v>
      </c>
      <c r="E529" s="201" t="s">
        <v>499</v>
      </c>
      <c r="F529" s="201" t="s">
        <v>41</v>
      </c>
      <c r="G529" s="202">
        <v>641.4</v>
      </c>
      <c r="H529" s="202"/>
      <c r="I529" s="202">
        <f>SUM(G529+H529)</f>
        <v>641.4</v>
      </c>
      <c r="J529" s="206"/>
      <c r="K529" s="202"/>
      <c r="L529" s="206"/>
      <c r="M529" s="202">
        <f>SUM(G529)</f>
        <v>641.4</v>
      </c>
      <c r="N529" s="202">
        <f>SUM(H529)</f>
        <v>0</v>
      </c>
      <c r="O529" s="226">
        <f>SUM(M529+N529)</f>
        <v>641.4</v>
      </c>
      <c r="P529" s="226">
        <v>567.5</v>
      </c>
      <c r="Q529" s="199">
        <f t="shared" si="133"/>
        <v>88.478328656064861</v>
      </c>
      <c r="R529" s="200"/>
      <c r="S529" s="200"/>
    </row>
    <row r="530" spans="1:19" s="197" customFormat="1" ht="21.75" customHeight="1" x14ac:dyDescent="0.25">
      <c r="A530" s="285"/>
      <c r="B530" s="198" t="s">
        <v>70</v>
      </c>
      <c r="C530" s="198">
        <v>993</v>
      </c>
      <c r="D530" s="201" t="s">
        <v>514</v>
      </c>
      <c r="E530" s="201" t="s">
        <v>499</v>
      </c>
      <c r="F530" s="201">
        <v>800</v>
      </c>
      <c r="G530" s="202">
        <v>1</v>
      </c>
      <c r="H530" s="202"/>
      <c r="I530" s="202">
        <v>1</v>
      </c>
      <c r="J530" s="206"/>
      <c r="K530" s="202"/>
      <c r="L530" s="206"/>
      <c r="M530" s="202">
        <f>SUM(G530)</f>
        <v>1</v>
      </c>
      <c r="N530" s="202">
        <f>SUM(H530)</f>
        <v>0</v>
      </c>
      <c r="O530" s="226">
        <f>SUM(I530)</f>
        <v>1</v>
      </c>
      <c r="P530" s="226">
        <v>0.3</v>
      </c>
      <c r="Q530" s="199">
        <f t="shared" si="133"/>
        <v>30</v>
      </c>
      <c r="R530" s="200"/>
      <c r="S530" s="200"/>
    </row>
    <row r="531" spans="1:19" s="197" customFormat="1" ht="95.25" customHeight="1" x14ac:dyDescent="0.25">
      <c r="A531" s="285"/>
      <c r="B531" s="198" t="s">
        <v>515</v>
      </c>
      <c r="C531" s="198" t="s">
        <v>477</v>
      </c>
      <c r="D531" s="201" t="s">
        <v>514</v>
      </c>
      <c r="E531" s="201" t="s">
        <v>516</v>
      </c>
      <c r="F531" s="201" t="s">
        <v>11</v>
      </c>
      <c r="G531" s="202">
        <f>G532</f>
        <v>11262.1</v>
      </c>
      <c r="H531" s="202">
        <f>H532</f>
        <v>0</v>
      </c>
      <c r="I531" s="202">
        <f>I532</f>
        <v>11262.1</v>
      </c>
      <c r="J531" s="202">
        <f>J532</f>
        <v>0</v>
      </c>
      <c r="K531" s="202">
        <f>K532+K533+K534</f>
        <v>0</v>
      </c>
      <c r="L531" s="202">
        <f>L532</f>
        <v>0</v>
      </c>
      <c r="M531" s="202">
        <f>M532</f>
        <v>11262.1</v>
      </c>
      <c r="N531" s="202">
        <f>N532</f>
        <v>0</v>
      </c>
      <c r="O531" s="226">
        <f>O532</f>
        <v>11262.1</v>
      </c>
      <c r="P531" s="226">
        <f>P532</f>
        <v>11193.199999999999</v>
      </c>
      <c r="Q531" s="199">
        <f t="shared" si="133"/>
        <v>99.388213565853604</v>
      </c>
      <c r="R531" s="200"/>
      <c r="S531" s="200"/>
    </row>
    <row r="532" spans="1:19" s="197" customFormat="1" ht="56.25" x14ac:dyDescent="0.25">
      <c r="A532" s="285"/>
      <c r="B532" s="198" t="s">
        <v>134</v>
      </c>
      <c r="C532" s="198" t="s">
        <v>477</v>
      </c>
      <c r="D532" s="201" t="s">
        <v>514</v>
      </c>
      <c r="E532" s="201" t="s">
        <v>517</v>
      </c>
      <c r="F532" s="201" t="s">
        <v>11</v>
      </c>
      <c r="G532" s="202">
        <f>G533+G534+G535</f>
        <v>11262.1</v>
      </c>
      <c r="H532" s="202">
        <f>SUM(H533+H534)</f>
        <v>0</v>
      </c>
      <c r="I532" s="202">
        <f>I533+I534+I535</f>
        <v>11262.1</v>
      </c>
      <c r="J532" s="202">
        <f>J533+J534+J535</f>
        <v>0</v>
      </c>
      <c r="K532" s="202"/>
      <c r="L532" s="202">
        <f>L533+L534+L535</f>
        <v>0</v>
      </c>
      <c r="M532" s="202">
        <f>M533+M534+M535</f>
        <v>11262.1</v>
      </c>
      <c r="N532" s="202">
        <f>N533+N534+N535</f>
        <v>0</v>
      </c>
      <c r="O532" s="226">
        <f>O533+O534+O535</f>
        <v>11262.1</v>
      </c>
      <c r="P532" s="226">
        <f>P533+P534+P535</f>
        <v>11193.199999999999</v>
      </c>
      <c r="Q532" s="199">
        <f t="shared" si="133"/>
        <v>99.388213565853604</v>
      </c>
      <c r="R532" s="200"/>
      <c r="S532" s="200"/>
    </row>
    <row r="533" spans="1:19" s="197" customFormat="1" ht="168.75" customHeight="1" x14ac:dyDescent="0.25">
      <c r="A533" s="285"/>
      <c r="B533" s="198" t="s">
        <v>61</v>
      </c>
      <c r="C533" s="198" t="s">
        <v>477</v>
      </c>
      <c r="D533" s="201" t="s">
        <v>514</v>
      </c>
      <c r="E533" s="201" t="s">
        <v>517</v>
      </c>
      <c r="F533" s="201" t="s">
        <v>62</v>
      </c>
      <c r="G533" s="202">
        <v>9834.1</v>
      </c>
      <c r="H533" s="202">
        <v>100</v>
      </c>
      <c r="I533" s="202">
        <f>SUM(G533)+H533</f>
        <v>9934.1</v>
      </c>
      <c r="J533" s="206">
        <v>0</v>
      </c>
      <c r="K533" s="202"/>
      <c r="L533" s="206">
        <v>0</v>
      </c>
      <c r="M533" s="202">
        <f t="shared" ref="M533:O534" si="139">SUM(G533)</f>
        <v>9834.1</v>
      </c>
      <c r="N533" s="202">
        <f t="shared" si="139"/>
        <v>100</v>
      </c>
      <c r="O533" s="226">
        <f t="shared" si="139"/>
        <v>9934.1</v>
      </c>
      <c r="P533" s="226">
        <v>9931.2999999999993</v>
      </c>
      <c r="Q533" s="199">
        <f t="shared" si="133"/>
        <v>99.971814255946683</v>
      </c>
      <c r="R533" s="200"/>
      <c r="S533" s="200"/>
    </row>
    <row r="534" spans="1:19" s="197" customFormat="1" ht="75" x14ac:dyDescent="0.25">
      <c r="A534" s="285"/>
      <c r="B534" s="198" t="s">
        <v>40</v>
      </c>
      <c r="C534" s="198" t="s">
        <v>477</v>
      </c>
      <c r="D534" s="201" t="s">
        <v>514</v>
      </c>
      <c r="E534" s="201" t="s">
        <v>517</v>
      </c>
      <c r="F534" s="201" t="s">
        <v>41</v>
      </c>
      <c r="G534" s="202">
        <v>1426.9</v>
      </c>
      <c r="H534" s="202">
        <v>-100</v>
      </c>
      <c r="I534" s="202">
        <f>SUM(G534)+H534</f>
        <v>1326.9</v>
      </c>
      <c r="J534" s="206">
        <v>0</v>
      </c>
      <c r="K534" s="202"/>
      <c r="L534" s="206">
        <v>0</v>
      </c>
      <c r="M534" s="202">
        <f t="shared" si="139"/>
        <v>1426.9</v>
      </c>
      <c r="N534" s="202">
        <f t="shared" si="139"/>
        <v>-100</v>
      </c>
      <c r="O534" s="226">
        <f t="shared" si="139"/>
        <v>1326.9</v>
      </c>
      <c r="P534" s="226">
        <v>1260.9000000000001</v>
      </c>
      <c r="Q534" s="199">
        <f t="shared" si="133"/>
        <v>95.026000452181776</v>
      </c>
      <c r="R534" s="200"/>
      <c r="S534" s="200"/>
    </row>
    <row r="535" spans="1:19" s="197" customFormat="1" ht="24.75" customHeight="1" x14ac:dyDescent="0.25">
      <c r="A535" s="285"/>
      <c r="B535" s="198" t="s">
        <v>70</v>
      </c>
      <c r="C535" s="198" t="s">
        <v>477</v>
      </c>
      <c r="D535" s="201" t="s">
        <v>514</v>
      </c>
      <c r="E535" s="201" t="s">
        <v>517</v>
      </c>
      <c r="F535" s="201" t="s">
        <v>71</v>
      </c>
      <c r="G535" s="202">
        <f>1100/1000</f>
        <v>1.1000000000000001</v>
      </c>
      <c r="H535" s="202"/>
      <c r="I535" s="202">
        <f>1100/1000</f>
        <v>1.1000000000000001</v>
      </c>
      <c r="J535" s="206">
        <v>0</v>
      </c>
      <c r="K535" s="202"/>
      <c r="L535" s="206">
        <v>0</v>
      </c>
      <c r="M535" s="202">
        <f>1100/1000</f>
        <v>1.1000000000000001</v>
      </c>
      <c r="N535" s="202"/>
      <c r="O535" s="226">
        <f>1100/1000</f>
        <v>1.1000000000000001</v>
      </c>
      <c r="P535" s="226">
        <v>1</v>
      </c>
      <c r="Q535" s="199">
        <f t="shared" si="133"/>
        <v>90.909090909090907</v>
      </c>
      <c r="R535" s="200"/>
      <c r="S535" s="200"/>
    </row>
    <row r="536" spans="1:19" s="197" customFormat="1" ht="60" customHeight="1" x14ac:dyDescent="0.25">
      <c r="A536" s="285"/>
      <c r="B536" s="198" t="s">
        <v>518</v>
      </c>
      <c r="C536" s="198" t="s">
        <v>477</v>
      </c>
      <c r="D536" s="201" t="s">
        <v>514</v>
      </c>
      <c r="E536" s="201" t="s">
        <v>519</v>
      </c>
      <c r="F536" s="201" t="s">
        <v>11</v>
      </c>
      <c r="G536" s="202">
        <f t="shared" ref="G536:P537" si="140">G537</f>
        <v>3138</v>
      </c>
      <c r="H536" s="202">
        <f t="shared" si="140"/>
        <v>0</v>
      </c>
      <c r="I536" s="202">
        <f t="shared" si="140"/>
        <v>3138</v>
      </c>
      <c r="J536" s="202">
        <f t="shared" si="140"/>
        <v>0</v>
      </c>
      <c r="K536" s="202">
        <f t="shared" si="140"/>
        <v>0</v>
      </c>
      <c r="L536" s="202">
        <f t="shared" si="140"/>
        <v>0</v>
      </c>
      <c r="M536" s="202">
        <f t="shared" si="140"/>
        <v>3138</v>
      </c>
      <c r="N536" s="202">
        <f t="shared" si="140"/>
        <v>0</v>
      </c>
      <c r="O536" s="226">
        <f t="shared" si="140"/>
        <v>3138</v>
      </c>
      <c r="P536" s="226">
        <f t="shared" si="140"/>
        <v>3134</v>
      </c>
      <c r="Q536" s="199">
        <f t="shared" si="133"/>
        <v>99.872530274059912</v>
      </c>
      <c r="R536" s="200"/>
      <c r="S536" s="200"/>
    </row>
    <row r="537" spans="1:19" s="197" customFormat="1" ht="77.25" customHeight="1" x14ac:dyDescent="0.25">
      <c r="A537" s="285"/>
      <c r="B537" s="198" t="s">
        <v>520</v>
      </c>
      <c r="C537" s="198" t="s">
        <v>477</v>
      </c>
      <c r="D537" s="201" t="s">
        <v>514</v>
      </c>
      <c r="E537" s="201" t="s">
        <v>521</v>
      </c>
      <c r="F537" s="201" t="s">
        <v>11</v>
      </c>
      <c r="G537" s="202">
        <f>G538+G544</f>
        <v>3138</v>
      </c>
      <c r="H537" s="202">
        <f>H538+H540+H544</f>
        <v>0</v>
      </c>
      <c r="I537" s="202">
        <f>I538+I540+I544</f>
        <v>3138</v>
      </c>
      <c r="J537" s="202">
        <f t="shared" si="140"/>
        <v>0</v>
      </c>
      <c r="K537" s="202">
        <f>K538+K539</f>
        <v>0</v>
      </c>
      <c r="L537" s="202">
        <f t="shared" si="140"/>
        <v>0</v>
      </c>
      <c r="M537" s="202">
        <f>M538+M544</f>
        <v>3138</v>
      </c>
      <c r="N537" s="202">
        <f>SUM(H537)</f>
        <v>0</v>
      </c>
      <c r="O537" s="226">
        <f>O538+O544</f>
        <v>3138</v>
      </c>
      <c r="P537" s="226">
        <f>P538+P544</f>
        <v>3134</v>
      </c>
      <c r="Q537" s="199">
        <f t="shared" si="133"/>
        <v>99.872530274059912</v>
      </c>
      <c r="R537" s="200"/>
      <c r="S537" s="200"/>
    </row>
    <row r="538" spans="1:19" s="197" customFormat="1" ht="56.25" x14ac:dyDescent="0.25">
      <c r="A538" s="285"/>
      <c r="B538" s="198" t="s">
        <v>38</v>
      </c>
      <c r="C538" s="198" t="s">
        <v>477</v>
      </c>
      <c r="D538" s="201" t="s">
        <v>514</v>
      </c>
      <c r="E538" s="201" t="s">
        <v>522</v>
      </c>
      <c r="F538" s="201" t="s">
        <v>11</v>
      </c>
      <c r="G538" s="202">
        <f>G539+G542+G543</f>
        <v>2090.6</v>
      </c>
      <c r="H538" s="202">
        <f>SUM(H542)+H539</f>
        <v>-13.1</v>
      </c>
      <c r="I538" s="202">
        <f>I539+I542+I543</f>
        <v>2077.5</v>
      </c>
      <c r="J538" s="202">
        <f>J539+J542</f>
        <v>0</v>
      </c>
      <c r="K538" s="202"/>
      <c r="L538" s="202">
        <f>L539+L542</f>
        <v>0</v>
      </c>
      <c r="M538" s="202">
        <f>M539+M542+M543</f>
        <v>2090.6</v>
      </c>
      <c r="N538" s="202">
        <f>SUM(N542)+N539</f>
        <v>-13.1</v>
      </c>
      <c r="O538" s="226">
        <f>O539+O542+O543</f>
        <v>2077.5</v>
      </c>
      <c r="P538" s="226">
        <f>P539+P542+P543</f>
        <v>2073.6</v>
      </c>
      <c r="Q538" s="199">
        <f t="shared" si="133"/>
        <v>99.812274368231044</v>
      </c>
      <c r="R538" s="200"/>
      <c r="S538" s="200"/>
    </row>
    <row r="539" spans="1:19" s="197" customFormat="1" ht="96" customHeight="1" x14ac:dyDescent="0.25">
      <c r="A539" s="285"/>
      <c r="B539" s="198" t="s">
        <v>61</v>
      </c>
      <c r="C539" s="198" t="s">
        <v>477</v>
      </c>
      <c r="D539" s="201" t="s">
        <v>514</v>
      </c>
      <c r="E539" s="201" t="s">
        <v>522</v>
      </c>
      <c r="F539" s="201" t="s">
        <v>62</v>
      </c>
      <c r="G539" s="202">
        <v>2080.1</v>
      </c>
      <c r="H539" s="202">
        <v>-13.1</v>
      </c>
      <c r="I539" s="202">
        <f>SUM(G539)+H539</f>
        <v>2067</v>
      </c>
      <c r="J539" s="206">
        <v>0</v>
      </c>
      <c r="K539" s="202"/>
      <c r="L539" s="206">
        <v>0</v>
      </c>
      <c r="M539" s="202">
        <f t="shared" ref="M539:O543" si="141">SUM(G539)</f>
        <v>2080.1</v>
      </c>
      <c r="N539" s="202">
        <f t="shared" si="141"/>
        <v>-13.1</v>
      </c>
      <c r="O539" s="226">
        <f t="shared" si="141"/>
        <v>2067</v>
      </c>
      <c r="P539" s="226">
        <v>2063.6</v>
      </c>
      <c r="Q539" s="199">
        <f t="shared" si="133"/>
        <v>99.835510401548134</v>
      </c>
      <c r="R539" s="200"/>
      <c r="S539" s="200"/>
    </row>
    <row r="540" spans="1:19" s="197" customFormat="1" ht="187.5" hidden="1" customHeight="1" x14ac:dyDescent="0.25">
      <c r="A540" s="285"/>
      <c r="B540" s="207" t="s">
        <v>607</v>
      </c>
      <c r="C540" s="198">
        <v>993</v>
      </c>
      <c r="D540" s="201" t="s">
        <v>514</v>
      </c>
      <c r="E540" s="211" t="s">
        <v>608</v>
      </c>
      <c r="F540" s="201"/>
      <c r="G540" s="202"/>
      <c r="H540" s="202">
        <f>SUM(H541)</f>
        <v>0</v>
      </c>
      <c r="I540" s="202">
        <f>SUM(H540)</f>
        <v>0</v>
      </c>
      <c r="J540" s="206"/>
      <c r="K540" s="202"/>
      <c r="L540" s="206"/>
      <c r="M540" s="202"/>
      <c r="N540" s="202">
        <f>SUM(H540)</f>
        <v>0</v>
      </c>
      <c r="O540" s="226">
        <f>SUM(I540)</f>
        <v>0</v>
      </c>
      <c r="P540" s="226"/>
      <c r="Q540" s="199" t="e">
        <f t="shared" si="133"/>
        <v>#DIV/0!</v>
      </c>
      <c r="R540" s="200"/>
      <c r="S540" s="200"/>
    </row>
    <row r="541" spans="1:19" s="197" customFormat="1" ht="168.75" hidden="1" customHeight="1" x14ac:dyDescent="0.25">
      <c r="A541" s="285"/>
      <c r="B541" s="198" t="s">
        <v>61</v>
      </c>
      <c r="C541" s="198">
        <v>993</v>
      </c>
      <c r="D541" s="201" t="s">
        <v>514</v>
      </c>
      <c r="E541" s="211" t="s">
        <v>608</v>
      </c>
      <c r="F541" s="201">
        <v>100</v>
      </c>
      <c r="G541" s="202"/>
      <c r="H541" s="202"/>
      <c r="I541" s="202">
        <f>SUM(H541)</f>
        <v>0</v>
      </c>
      <c r="J541" s="206"/>
      <c r="K541" s="202"/>
      <c r="L541" s="206"/>
      <c r="M541" s="202"/>
      <c r="N541" s="202">
        <f>SUM(H541)</f>
        <v>0</v>
      </c>
      <c r="O541" s="226">
        <f>SUM(I541)</f>
        <v>0</v>
      </c>
      <c r="P541" s="226"/>
      <c r="Q541" s="199" t="e">
        <f t="shared" si="133"/>
        <v>#DIV/0!</v>
      </c>
      <c r="R541" s="200"/>
      <c r="S541" s="200"/>
    </row>
    <row r="542" spans="1:19" s="197" customFormat="1" ht="75" x14ac:dyDescent="0.25">
      <c r="A542" s="285"/>
      <c r="B542" s="198" t="s">
        <v>40</v>
      </c>
      <c r="C542" s="198" t="s">
        <v>477</v>
      </c>
      <c r="D542" s="201" t="s">
        <v>514</v>
      </c>
      <c r="E542" s="201" t="s">
        <v>522</v>
      </c>
      <c r="F542" s="201" t="s">
        <v>41</v>
      </c>
      <c r="G542" s="202">
        <v>9.5</v>
      </c>
      <c r="H542" s="202"/>
      <c r="I542" s="202">
        <f>SUM(G542)</f>
        <v>9.5</v>
      </c>
      <c r="J542" s="206">
        <v>0</v>
      </c>
      <c r="K542" s="202"/>
      <c r="L542" s="206">
        <v>0</v>
      </c>
      <c r="M542" s="202">
        <f t="shared" si="141"/>
        <v>9.5</v>
      </c>
      <c r="N542" s="202">
        <f t="shared" si="141"/>
        <v>0</v>
      </c>
      <c r="O542" s="226">
        <f t="shared" si="141"/>
        <v>9.5</v>
      </c>
      <c r="P542" s="226">
        <v>9.5</v>
      </c>
      <c r="Q542" s="199">
        <f t="shared" si="133"/>
        <v>100</v>
      </c>
      <c r="R542" s="200"/>
      <c r="S542" s="200"/>
    </row>
    <row r="543" spans="1:19" s="197" customFormat="1" ht="21" customHeight="1" x14ac:dyDescent="0.25">
      <c r="A543" s="285"/>
      <c r="B543" s="198" t="s">
        <v>70</v>
      </c>
      <c r="C543" s="198" t="s">
        <v>477</v>
      </c>
      <c r="D543" s="201" t="s">
        <v>514</v>
      </c>
      <c r="E543" s="201" t="s">
        <v>522</v>
      </c>
      <c r="F543" s="201">
        <v>800</v>
      </c>
      <c r="G543" s="202">
        <v>1</v>
      </c>
      <c r="H543" s="202">
        <v>0</v>
      </c>
      <c r="I543" s="202">
        <f>SUM(H543)+G543</f>
        <v>1</v>
      </c>
      <c r="J543" s="206"/>
      <c r="K543" s="202"/>
      <c r="L543" s="206"/>
      <c r="M543" s="202">
        <f t="shared" si="141"/>
        <v>1</v>
      </c>
      <c r="N543" s="202">
        <f t="shared" si="141"/>
        <v>0</v>
      </c>
      <c r="O543" s="226">
        <f t="shared" si="141"/>
        <v>1</v>
      </c>
      <c r="P543" s="226">
        <v>0.5</v>
      </c>
      <c r="Q543" s="199">
        <f t="shared" si="133"/>
        <v>50</v>
      </c>
      <c r="R543" s="200"/>
      <c r="S543" s="200"/>
    </row>
    <row r="544" spans="1:19" s="197" customFormat="1" ht="171.75" customHeight="1" x14ac:dyDescent="0.25">
      <c r="A544" s="285"/>
      <c r="B544" s="207" t="s">
        <v>607</v>
      </c>
      <c r="C544" s="198">
        <v>993</v>
      </c>
      <c r="D544" s="201" t="s">
        <v>514</v>
      </c>
      <c r="E544" s="211" t="s">
        <v>608</v>
      </c>
      <c r="F544" s="201"/>
      <c r="G544" s="202">
        <f>SUM(G545)</f>
        <v>1047.4000000000001</v>
      </c>
      <c r="H544" s="202">
        <f>SUM(H545)</f>
        <v>13.1</v>
      </c>
      <c r="I544" s="202">
        <f>SUM(I545)</f>
        <v>1060.5</v>
      </c>
      <c r="J544" s="206"/>
      <c r="K544" s="202"/>
      <c r="L544" s="206"/>
      <c r="M544" s="202">
        <f>SUM(G544)</f>
        <v>1047.4000000000001</v>
      </c>
      <c r="N544" s="202">
        <f>SUM(H544)</f>
        <v>13.1</v>
      </c>
      <c r="O544" s="226">
        <f>SUM(O545)</f>
        <v>1060.5</v>
      </c>
      <c r="P544" s="226">
        <f>SUM(P545)</f>
        <v>1060.4000000000001</v>
      </c>
      <c r="Q544" s="199">
        <f t="shared" si="133"/>
        <v>99.990570485619997</v>
      </c>
      <c r="R544" s="200"/>
      <c r="S544" s="200"/>
    </row>
    <row r="545" spans="1:19" s="197" customFormat="1" ht="174.75" customHeight="1" x14ac:dyDescent="0.25">
      <c r="A545" s="286"/>
      <c r="B545" s="198" t="s">
        <v>61</v>
      </c>
      <c r="C545" s="198">
        <v>993</v>
      </c>
      <c r="D545" s="201" t="s">
        <v>514</v>
      </c>
      <c r="E545" s="211" t="s">
        <v>608</v>
      </c>
      <c r="F545" s="201">
        <v>100</v>
      </c>
      <c r="G545" s="202">
        <v>1047.4000000000001</v>
      </c>
      <c r="H545" s="202">
        <v>13.1</v>
      </c>
      <c r="I545" s="202">
        <f>SUM(H545)+G545</f>
        <v>1060.5</v>
      </c>
      <c r="J545" s="206"/>
      <c r="K545" s="202"/>
      <c r="L545" s="206"/>
      <c r="M545" s="202">
        <f>SUM(G545)</f>
        <v>1047.4000000000001</v>
      </c>
      <c r="N545" s="202">
        <f>SUM(H545)</f>
        <v>13.1</v>
      </c>
      <c r="O545" s="226">
        <f>SUM(I545)</f>
        <v>1060.5</v>
      </c>
      <c r="P545" s="226">
        <v>1060.4000000000001</v>
      </c>
      <c r="Q545" s="199">
        <f t="shared" si="133"/>
        <v>99.990570485619997</v>
      </c>
      <c r="R545" s="200"/>
      <c r="S545" s="200"/>
    </row>
    <row r="546" spans="1:19" s="197" customFormat="1" ht="93.75" x14ac:dyDescent="0.25">
      <c r="A546" s="284" t="s">
        <v>523</v>
      </c>
      <c r="B546" s="198" t="s">
        <v>524</v>
      </c>
      <c r="C546" s="198" t="s">
        <v>525</v>
      </c>
      <c r="D546" s="201" t="s">
        <v>11</v>
      </c>
      <c r="E546" s="201" t="s">
        <v>11</v>
      </c>
      <c r="F546" s="201" t="s">
        <v>11</v>
      </c>
      <c r="G546" s="202">
        <f>G547+G566</f>
        <v>13712.5</v>
      </c>
      <c r="H546" s="202">
        <f>H547+H566</f>
        <v>0</v>
      </c>
      <c r="I546" s="202">
        <f>I547+I566</f>
        <v>13712.5</v>
      </c>
      <c r="J546" s="202">
        <f>J547+J566</f>
        <v>0</v>
      </c>
      <c r="K546" s="202">
        <f>K547</f>
        <v>0</v>
      </c>
      <c r="L546" s="202">
        <f>L547+L566</f>
        <v>0</v>
      </c>
      <c r="M546" s="202">
        <f>M547+M566</f>
        <v>13712.5</v>
      </c>
      <c r="N546" s="202">
        <f>N547+N566</f>
        <v>0</v>
      </c>
      <c r="O546" s="226">
        <f>O547+O566</f>
        <v>25349</v>
      </c>
      <c r="P546" s="226">
        <f>P547+P566</f>
        <v>25010.1</v>
      </c>
      <c r="Q546" s="199">
        <f t="shared" si="133"/>
        <v>98.663063631701448</v>
      </c>
      <c r="R546" s="200"/>
      <c r="S546" s="200"/>
    </row>
    <row r="547" spans="1:19" s="197" customFormat="1" ht="37.5" x14ac:dyDescent="0.25">
      <c r="A547" s="285"/>
      <c r="B547" s="198" t="s">
        <v>30</v>
      </c>
      <c r="C547" s="198" t="s">
        <v>525</v>
      </c>
      <c r="D547" s="201" t="s">
        <v>31</v>
      </c>
      <c r="E547" s="201" t="s">
        <v>11</v>
      </c>
      <c r="F547" s="201" t="s">
        <v>11</v>
      </c>
      <c r="G547" s="202">
        <f t="shared" ref="G547:P549" si="142">G548</f>
        <v>13712.5</v>
      </c>
      <c r="H547" s="205">
        <f t="shared" si="142"/>
        <v>0</v>
      </c>
      <c r="I547" s="202">
        <f t="shared" si="142"/>
        <v>13712.5</v>
      </c>
      <c r="J547" s="202">
        <f t="shared" si="142"/>
        <v>0</v>
      </c>
      <c r="K547" s="205">
        <f>K548</f>
        <v>0</v>
      </c>
      <c r="L547" s="202">
        <f t="shared" si="142"/>
        <v>0</v>
      </c>
      <c r="M547" s="202">
        <f t="shared" si="142"/>
        <v>13712.5</v>
      </c>
      <c r="N547" s="202">
        <f t="shared" si="142"/>
        <v>0</v>
      </c>
      <c r="O547" s="226">
        <f t="shared" si="142"/>
        <v>13712.5</v>
      </c>
      <c r="P547" s="226">
        <f t="shared" si="142"/>
        <v>13373.6</v>
      </c>
      <c r="Q547" s="199">
        <f t="shared" si="133"/>
        <v>97.528532360984514</v>
      </c>
      <c r="R547" s="200"/>
      <c r="S547" s="200"/>
    </row>
    <row r="548" spans="1:19" s="197" customFormat="1" ht="42.75" customHeight="1" x14ac:dyDescent="0.25">
      <c r="A548" s="285"/>
      <c r="B548" s="198" t="s">
        <v>85</v>
      </c>
      <c r="C548" s="203" t="s">
        <v>525</v>
      </c>
      <c r="D548" s="204" t="s">
        <v>86</v>
      </c>
      <c r="E548" s="204" t="s">
        <v>11</v>
      </c>
      <c r="F548" s="204" t="s">
        <v>11</v>
      </c>
      <c r="G548" s="205">
        <f t="shared" si="142"/>
        <v>13712.5</v>
      </c>
      <c r="H548" s="202">
        <f t="shared" si="142"/>
        <v>0</v>
      </c>
      <c r="I548" s="205">
        <f t="shared" si="142"/>
        <v>13712.5</v>
      </c>
      <c r="J548" s="205">
        <f t="shared" si="142"/>
        <v>0</v>
      </c>
      <c r="K548" s="202">
        <f>K549</f>
        <v>0</v>
      </c>
      <c r="L548" s="205">
        <f t="shared" si="142"/>
        <v>0</v>
      </c>
      <c r="M548" s="205">
        <f t="shared" si="142"/>
        <v>13712.5</v>
      </c>
      <c r="N548" s="205">
        <f t="shared" si="142"/>
        <v>0</v>
      </c>
      <c r="O548" s="227">
        <f t="shared" si="142"/>
        <v>13712.5</v>
      </c>
      <c r="P548" s="227">
        <f t="shared" si="142"/>
        <v>13373.6</v>
      </c>
      <c r="Q548" s="199">
        <f t="shared" si="133"/>
        <v>97.528532360984514</v>
      </c>
      <c r="R548" s="200"/>
      <c r="S548" s="200"/>
    </row>
    <row r="549" spans="1:19" s="197" customFormat="1" ht="57.75" customHeight="1" x14ac:dyDescent="0.25">
      <c r="A549" s="285"/>
      <c r="B549" s="198" t="s">
        <v>128</v>
      </c>
      <c r="C549" s="198" t="s">
        <v>525</v>
      </c>
      <c r="D549" s="201" t="s">
        <v>86</v>
      </c>
      <c r="E549" s="201" t="s">
        <v>129</v>
      </c>
      <c r="F549" s="201" t="s">
        <v>11</v>
      </c>
      <c r="G549" s="202">
        <f t="shared" si="142"/>
        <v>13712.5</v>
      </c>
      <c r="H549" s="202">
        <f t="shared" si="142"/>
        <v>0</v>
      </c>
      <c r="I549" s="202">
        <f t="shared" si="142"/>
        <v>13712.5</v>
      </c>
      <c r="J549" s="202">
        <f t="shared" si="142"/>
        <v>0</v>
      </c>
      <c r="K549" s="202">
        <f>K550+K556</f>
        <v>0</v>
      </c>
      <c r="L549" s="202">
        <f t="shared" si="142"/>
        <v>0</v>
      </c>
      <c r="M549" s="202">
        <f t="shared" si="142"/>
        <v>13712.5</v>
      </c>
      <c r="N549" s="202">
        <f t="shared" si="142"/>
        <v>0</v>
      </c>
      <c r="O549" s="226">
        <f t="shared" si="142"/>
        <v>13712.5</v>
      </c>
      <c r="P549" s="226">
        <f t="shared" si="142"/>
        <v>13373.6</v>
      </c>
      <c r="Q549" s="199">
        <f t="shared" si="133"/>
        <v>97.528532360984514</v>
      </c>
      <c r="R549" s="200"/>
      <c r="S549" s="200"/>
    </row>
    <row r="550" spans="1:19" s="197" customFormat="1" ht="62.25" customHeight="1" x14ac:dyDescent="0.25">
      <c r="A550" s="285"/>
      <c r="B550" s="198" t="s">
        <v>528</v>
      </c>
      <c r="C550" s="198" t="s">
        <v>525</v>
      </c>
      <c r="D550" s="201" t="s">
        <v>86</v>
      </c>
      <c r="E550" s="201" t="s">
        <v>529</v>
      </c>
      <c r="F550" s="201" t="s">
        <v>11</v>
      </c>
      <c r="G550" s="202">
        <f>G551+G559</f>
        <v>13712.5</v>
      </c>
      <c r="H550" s="202">
        <f>H551+H559</f>
        <v>0</v>
      </c>
      <c r="I550" s="202">
        <f>I551+I559</f>
        <v>13712.5</v>
      </c>
      <c r="J550" s="202">
        <f>J551+J559</f>
        <v>0</v>
      </c>
      <c r="K550" s="202">
        <f>K551</f>
        <v>0</v>
      </c>
      <c r="L550" s="202">
        <f>L551+L559</f>
        <v>0</v>
      </c>
      <c r="M550" s="202">
        <f>M551+M559</f>
        <v>13712.5</v>
      </c>
      <c r="N550" s="202">
        <f>N551+N559</f>
        <v>0</v>
      </c>
      <c r="O550" s="226">
        <f>O551+O559</f>
        <v>13712.5</v>
      </c>
      <c r="P550" s="226">
        <f>P551+P559</f>
        <v>13373.6</v>
      </c>
      <c r="Q550" s="199">
        <f t="shared" si="133"/>
        <v>97.528532360984514</v>
      </c>
      <c r="R550" s="200"/>
      <c r="S550" s="200"/>
    </row>
    <row r="551" spans="1:19" s="197" customFormat="1" ht="102.75" customHeight="1" x14ac:dyDescent="0.25">
      <c r="A551" s="285"/>
      <c r="B551" s="198" t="s">
        <v>530</v>
      </c>
      <c r="C551" s="198" t="s">
        <v>525</v>
      </c>
      <c r="D551" s="201" t="s">
        <v>86</v>
      </c>
      <c r="E551" s="201" t="s">
        <v>531</v>
      </c>
      <c r="F551" s="201" t="s">
        <v>11</v>
      </c>
      <c r="G551" s="202">
        <f>G552+G554+G557</f>
        <v>4335.0999999999995</v>
      </c>
      <c r="H551" s="202">
        <f>H552+H554</f>
        <v>0</v>
      </c>
      <c r="I551" s="202">
        <f>I552+I554+I557</f>
        <v>4335.0999999999995</v>
      </c>
      <c r="J551" s="202">
        <f>J552</f>
        <v>0</v>
      </c>
      <c r="K551" s="202"/>
      <c r="L551" s="202">
        <f>L552</f>
        <v>0</v>
      </c>
      <c r="M551" s="202">
        <f>M552+M554+M557</f>
        <v>4335.0999999999995</v>
      </c>
      <c r="N551" s="202">
        <f>SUM(H551)</f>
        <v>0</v>
      </c>
      <c r="O551" s="226">
        <f>O552+O554+O557</f>
        <v>4335.0999999999995</v>
      </c>
      <c r="P551" s="226">
        <f>P552+P554+P557</f>
        <v>4327.8999999999996</v>
      </c>
      <c r="Q551" s="199">
        <f t="shared" si="133"/>
        <v>99.833913865885449</v>
      </c>
      <c r="R551" s="200"/>
      <c r="S551" s="200"/>
    </row>
    <row r="552" spans="1:19" s="197" customFormat="1" ht="60" customHeight="1" x14ac:dyDescent="0.25">
      <c r="A552" s="285"/>
      <c r="B552" s="198" t="s">
        <v>38</v>
      </c>
      <c r="C552" s="198" t="s">
        <v>525</v>
      </c>
      <c r="D552" s="201" t="s">
        <v>86</v>
      </c>
      <c r="E552" s="201" t="s">
        <v>532</v>
      </c>
      <c r="F552" s="201" t="s">
        <v>11</v>
      </c>
      <c r="G552" s="202">
        <f>G553+G556</f>
        <v>3784.2</v>
      </c>
      <c r="H552" s="202">
        <f>SUM(H553)+H556</f>
        <v>0</v>
      </c>
      <c r="I552" s="202">
        <f>I553+I556</f>
        <v>3784.2</v>
      </c>
      <c r="J552" s="202">
        <f>J553+J556</f>
        <v>0</v>
      </c>
      <c r="K552" s="202"/>
      <c r="L552" s="202">
        <f>L553+L556</f>
        <v>0</v>
      </c>
      <c r="M552" s="202">
        <f>M553+M556</f>
        <v>3784.2</v>
      </c>
      <c r="N552" s="202">
        <f>N553+N556</f>
        <v>0</v>
      </c>
      <c r="O552" s="226">
        <f>O553+O556</f>
        <v>3784.2</v>
      </c>
      <c r="P552" s="226">
        <f>P553+P556</f>
        <v>3777.1</v>
      </c>
      <c r="Q552" s="199">
        <f t="shared" si="133"/>
        <v>99.812377781301194</v>
      </c>
      <c r="R552" s="200"/>
      <c r="S552" s="200"/>
    </row>
    <row r="553" spans="1:19" s="197" customFormat="1" ht="141" customHeight="1" x14ac:dyDescent="0.25">
      <c r="A553" s="285"/>
      <c r="B553" s="198" t="s">
        <v>61</v>
      </c>
      <c r="C553" s="198" t="s">
        <v>525</v>
      </c>
      <c r="D553" s="201" t="s">
        <v>86</v>
      </c>
      <c r="E553" s="201" t="s">
        <v>532</v>
      </c>
      <c r="F553" s="201" t="s">
        <v>62</v>
      </c>
      <c r="G553" s="202">
        <v>3766.1</v>
      </c>
      <c r="H553" s="202"/>
      <c r="I553" s="202">
        <f>G553+H553</f>
        <v>3766.1</v>
      </c>
      <c r="J553" s="206">
        <v>0</v>
      </c>
      <c r="K553" s="202"/>
      <c r="L553" s="206">
        <v>0</v>
      </c>
      <c r="M553" s="202">
        <f t="shared" ref="M553:O556" si="143">SUM(G553)</f>
        <v>3766.1</v>
      </c>
      <c r="N553" s="202">
        <f t="shared" si="143"/>
        <v>0</v>
      </c>
      <c r="O553" s="226">
        <f t="shared" si="143"/>
        <v>3766.1</v>
      </c>
      <c r="P553" s="226">
        <v>3759</v>
      </c>
      <c r="Q553" s="199">
        <f>P553/O553*100</f>
        <v>99.81147606277051</v>
      </c>
      <c r="R553" s="200"/>
      <c r="S553" s="200"/>
    </row>
    <row r="554" spans="1:19" s="197" customFormat="1" ht="0.75" hidden="1" customHeight="1" x14ac:dyDescent="0.25">
      <c r="A554" s="285"/>
      <c r="B554" s="207" t="s">
        <v>607</v>
      </c>
      <c r="C554" s="198">
        <v>995</v>
      </c>
      <c r="D554" s="201" t="s">
        <v>86</v>
      </c>
      <c r="E554" s="201">
        <v>1230100390</v>
      </c>
      <c r="F554" s="201"/>
      <c r="G554" s="202">
        <f>SUM(G555)</f>
        <v>0</v>
      </c>
      <c r="H554" s="202">
        <f>SUM(H555)</f>
        <v>0</v>
      </c>
      <c r="I554" s="202">
        <f>SUM(H554)+G554</f>
        <v>0</v>
      </c>
      <c r="J554" s="206"/>
      <c r="K554" s="202"/>
      <c r="L554" s="206"/>
      <c r="M554" s="202">
        <f t="shared" ref="M554:O555" si="144">SUM(G554)</f>
        <v>0</v>
      </c>
      <c r="N554" s="202">
        <f t="shared" si="144"/>
        <v>0</v>
      </c>
      <c r="O554" s="226">
        <f t="shared" si="144"/>
        <v>0</v>
      </c>
      <c r="P554" s="226"/>
      <c r="Q554" s="199">
        <f t="shared" ref="Q554:Q569" si="145">P543/O543*100</f>
        <v>50</v>
      </c>
      <c r="R554" s="200"/>
      <c r="S554" s="200"/>
    </row>
    <row r="555" spans="1:19" s="197" customFormat="1" ht="168.75" hidden="1" customHeight="1" x14ac:dyDescent="0.25">
      <c r="A555" s="285"/>
      <c r="B555" s="198" t="s">
        <v>61</v>
      </c>
      <c r="C555" s="198">
        <v>995</v>
      </c>
      <c r="D555" s="201" t="s">
        <v>86</v>
      </c>
      <c r="E555" s="201">
        <v>1230100390</v>
      </c>
      <c r="F555" s="201">
        <v>100</v>
      </c>
      <c r="G555" s="202"/>
      <c r="H555" s="202"/>
      <c r="I555" s="202">
        <f>SUM(H555)+G555</f>
        <v>0</v>
      </c>
      <c r="J555" s="206"/>
      <c r="K555" s="202"/>
      <c r="L555" s="206"/>
      <c r="M555" s="202">
        <f t="shared" si="144"/>
        <v>0</v>
      </c>
      <c r="N555" s="202">
        <f t="shared" si="144"/>
        <v>0</v>
      </c>
      <c r="O555" s="226">
        <f t="shared" si="144"/>
        <v>0</v>
      </c>
      <c r="P555" s="226"/>
      <c r="Q555" s="199">
        <f t="shared" si="145"/>
        <v>99.990570485619997</v>
      </c>
      <c r="R555" s="200"/>
      <c r="S555" s="200"/>
    </row>
    <row r="556" spans="1:19" s="197" customFormat="1" ht="84" customHeight="1" x14ac:dyDescent="0.25">
      <c r="A556" s="285"/>
      <c r="B556" s="198" t="s">
        <v>40</v>
      </c>
      <c r="C556" s="198" t="s">
        <v>525</v>
      </c>
      <c r="D556" s="201" t="s">
        <v>86</v>
      </c>
      <c r="E556" s="201" t="s">
        <v>532</v>
      </c>
      <c r="F556" s="201" t="s">
        <v>41</v>
      </c>
      <c r="G556" s="202">
        <v>18.100000000000001</v>
      </c>
      <c r="H556" s="202"/>
      <c r="I556" s="202">
        <f>G556+H556</f>
        <v>18.100000000000001</v>
      </c>
      <c r="J556" s="206">
        <v>0</v>
      </c>
      <c r="K556" s="202">
        <f>K559</f>
        <v>0</v>
      </c>
      <c r="L556" s="206">
        <v>0</v>
      </c>
      <c r="M556" s="202">
        <f t="shared" si="143"/>
        <v>18.100000000000001</v>
      </c>
      <c r="N556" s="202">
        <f t="shared" si="143"/>
        <v>0</v>
      </c>
      <c r="O556" s="226">
        <f t="shared" si="143"/>
        <v>18.100000000000001</v>
      </c>
      <c r="P556" s="226">
        <v>18.100000000000001</v>
      </c>
      <c r="Q556" s="199">
        <f>P556/O556*100</f>
        <v>100</v>
      </c>
      <c r="R556" s="200"/>
      <c r="S556" s="200"/>
    </row>
    <row r="557" spans="1:19" s="197" customFormat="1" ht="192" customHeight="1" x14ac:dyDescent="0.25">
      <c r="A557" s="285"/>
      <c r="B557" s="207" t="s">
        <v>607</v>
      </c>
      <c r="C557" s="198">
        <v>995</v>
      </c>
      <c r="D557" s="201" t="s">
        <v>86</v>
      </c>
      <c r="E557" s="201">
        <v>1230100390</v>
      </c>
      <c r="F557" s="201"/>
      <c r="G557" s="202">
        <v>550.9</v>
      </c>
      <c r="H557" s="202"/>
      <c r="I557" s="202">
        <f>SUM(G557)</f>
        <v>550.9</v>
      </c>
      <c r="J557" s="206"/>
      <c r="K557" s="202"/>
      <c r="L557" s="206"/>
      <c r="M557" s="202">
        <f>SUM(G557)</f>
        <v>550.9</v>
      </c>
      <c r="N557" s="202"/>
      <c r="O557" s="226">
        <f>SUM(I557)</f>
        <v>550.9</v>
      </c>
      <c r="P557" s="226">
        <v>550.79999999999995</v>
      </c>
      <c r="Q557" s="199">
        <v>100</v>
      </c>
      <c r="R557" s="200"/>
      <c r="S557" s="200"/>
    </row>
    <row r="558" spans="1:19" s="197" customFormat="1" ht="175.5" customHeight="1" x14ac:dyDescent="0.25">
      <c r="A558" s="285"/>
      <c r="B558" s="198" t="s">
        <v>61</v>
      </c>
      <c r="C558" s="198">
        <v>995</v>
      </c>
      <c r="D558" s="201" t="s">
        <v>86</v>
      </c>
      <c r="E558" s="201">
        <v>1230100390</v>
      </c>
      <c r="F558" s="201">
        <v>100</v>
      </c>
      <c r="G558" s="202">
        <v>550.9</v>
      </c>
      <c r="H558" s="202"/>
      <c r="I558" s="202">
        <f>SUM(G558)</f>
        <v>550.9</v>
      </c>
      <c r="J558" s="206"/>
      <c r="K558" s="202"/>
      <c r="L558" s="206"/>
      <c r="M558" s="202">
        <f>SUM(G558)</f>
        <v>550.9</v>
      </c>
      <c r="N558" s="202"/>
      <c r="O558" s="226">
        <f>SUM(I558)</f>
        <v>550.9</v>
      </c>
      <c r="P558" s="226">
        <v>550.79999999999995</v>
      </c>
      <c r="Q558" s="199">
        <v>100</v>
      </c>
      <c r="R558" s="200"/>
      <c r="S558" s="200"/>
    </row>
    <row r="559" spans="1:19" s="197" customFormat="1" ht="78" customHeight="1" x14ac:dyDescent="0.25">
      <c r="A559" s="285"/>
      <c r="B559" s="198" t="s">
        <v>533</v>
      </c>
      <c r="C559" s="198" t="s">
        <v>525</v>
      </c>
      <c r="D559" s="201" t="s">
        <v>86</v>
      </c>
      <c r="E559" s="201" t="s">
        <v>534</v>
      </c>
      <c r="F559" s="201" t="s">
        <v>11</v>
      </c>
      <c r="G559" s="202">
        <f>G560+G564</f>
        <v>9377.4</v>
      </c>
      <c r="H559" s="202">
        <f>SUM(H560)+H564</f>
        <v>0</v>
      </c>
      <c r="I559" s="202">
        <f>I560+I564</f>
        <v>9377.4</v>
      </c>
      <c r="J559" s="202">
        <f>J560</f>
        <v>0</v>
      </c>
      <c r="K559" s="202">
        <f>K560+K561</f>
        <v>0</v>
      </c>
      <c r="L559" s="202">
        <f>L560</f>
        <v>0</v>
      </c>
      <c r="M559" s="202">
        <f>M560+M564</f>
        <v>9377.4</v>
      </c>
      <c r="N559" s="202">
        <f>N560+N564</f>
        <v>0</v>
      </c>
      <c r="O559" s="226">
        <f>O560+O564</f>
        <v>9377.4</v>
      </c>
      <c r="P559" s="226">
        <f>P560+P564</f>
        <v>9045.7000000000007</v>
      </c>
      <c r="Q559" s="199">
        <f>P559/O559*100</f>
        <v>96.462772196984247</v>
      </c>
      <c r="R559" s="200"/>
      <c r="S559" s="200"/>
    </row>
    <row r="560" spans="1:19" s="197" customFormat="1" ht="78" customHeight="1" x14ac:dyDescent="0.25">
      <c r="A560" s="285"/>
      <c r="B560" s="198" t="s">
        <v>535</v>
      </c>
      <c r="C560" s="198" t="s">
        <v>525</v>
      </c>
      <c r="D560" s="201" t="s">
        <v>86</v>
      </c>
      <c r="E560" s="201" t="s">
        <v>536</v>
      </c>
      <c r="F560" s="201" t="s">
        <v>11</v>
      </c>
      <c r="G560" s="202">
        <f>G561+G562</f>
        <v>1517.4</v>
      </c>
      <c r="H560" s="202">
        <f>H561+H562</f>
        <v>0</v>
      </c>
      <c r="I560" s="202">
        <f>I561+I562</f>
        <v>1517.4</v>
      </c>
      <c r="J560" s="202">
        <f>J561+J562</f>
        <v>0</v>
      </c>
      <c r="K560" s="202"/>
      <c r="L560" s="202">
        <f>L561+L562</f>
        <v>0</v>
      </c>
      <c r="M560" s="202">
        <f>M561+M562</f>
        <v>1517.4</v>
      </c>
      <c r="N560" s="202">
        <f>N561+N562</f>
        <v>0</v>
      </c>
      <c r="O560" s="226">
        <f>O561+O562</f>
        <v>1517.4</v>
      </c>
      <c r="P560" s="226">
        <f>P561+P562</f>
        <v>1185.7</v>
      </c>
      <c r="Q560" s="199">
        <f t="shared" ref="Q560:Q561" si="146">P560/O560*100</f>
        <v>78.140239884012118</v>
      </c>
      <c r="R560" s="200"/>
      <c r="S560" s="200"/>
    </row>
    <row r="561" spans="1:19" s="197" customFormat="1" ht="84.75" customHeight="1" x14ac:dyDescent="0.25">
      <c r="A561" s="285"/>
      <c r="B561" s="198" t="s">
        <v>40</v>
      </c>
      <c r="C561" s="198" t="s">
        <v>525</v>
      </c>
      <c r="D561" s="201" t="s">
        <v>86</v>
      </c>
      <c r="E561" s="201" t="s">
        <v>536</v>
      </c>
      <c r="F561" s="201" t="s">
        <v>41</v>
      </c>
      <c r="G561" s="202">
        <v>1517.4</v>
      </c>
      <c r="H561" s="202"/>
      <c r="I561" s="202">
        <f>SUM(G561)+H561</f>
        <v>1517.4</v>
      </c>
      <c r="J561" s="206">
        <v>0</v>
      </c>
      <c r="K561" s="202"/>
      <c r="L561" s="206">
        <v>0</v>
      </c>
      <c r="M561" s="202">
        <f>SUM(G561)</f>
        <v>1517.4</v>
      </c>
      <c r="N561" s="202">
        <f>SUM(H561)</f>
        <v>0</v>
      </c>
      <c r="O561" s="226">
        <f>SUM(I561)</f>
        <v>1517.4</v>
      </c>
      <c r="P561" s="226">
        <v>1185.7</v>
      </c>
      <c r="Q561" s="199">
        <f t="shared" si="146"/>
        <v>78.140239884012118</v>
      </c>
      <c r="R561" s="200"/>
      <c r="S561" s="200"/>
    </row>
    <row r="562" spans="1:19" s="197" customFormat="1" ht="37.5" hidden="1" customHeight="1" x14ac:dyDescent="0.25">
      <c r="A562" s="285"/>
      <c r="B562" s="198" t="s">
        <v>70</v>
      </c>
      <c r="C562" s="198" t="s">
        <v>525</v>
      </c>
      <c r="D562" s="201" t="s">
        <v>86</v>
      </c>
      <c r="E562" s="201" t="s">
        <v>536</v>
      </c>
      <c r="F562" s="201" t="s">
        <v>71</v>
      </c>
      <c r="G562" s="202">
        <v>0</v>
      </c>
      <c r="H562" s="202"/>
      <c r="I562" s="202">
        <v>0</v>
      </c>
      <c r="J562" s="206">
        <v>0</v>
      </c>
      <c r="K562" s="202">
        <f>K566</f>
        <v>0</v>
      </c>
      <c r="L562" s="206">
        <v>0</v>
      </c>
      <c r="M562" s="202">
        <v>0</v>
      </c>
      <c r="N562" s="202">
        <f>SUM(H562)</f>
        <v>0</v>
      </c>
      <c r="O562" s="226">
        <v>0</v>
      </c>
      <c r="P562" s="226"/>
      <c r="Q562" s="199"/>
      <c r="R562" s="200"/>
      <c r="S562" s="200"/>
    </row>
    <row r="563" spans="1:19" s="197" customFormat="1" ht="0.75" hidden="1" customHeight="1" x14ac:dyDescent="0.25">
      <c r="A563" s="285"/>
      <c r="B563" s="198"/>
      <c r="C563" s="198">
        <v>995</v>
      </c>
      <c r="D563" s="201" t="s">
        <v>86</v>
      </c>
      <c r="E563" s="201">
        <v>1230300000</v>
      </c>
      <c r="F563" s="201"/>
      <c r="G563" s="202"/>
      <c r="H563" s="202"/>
      <c r="I563" s="202"/>
      <c r="J563" s="206"/>
      <c r="K563" s="202"/>
      <c r="L563" s="206"/>
      <c r="M563" s="202"/>
      <c r="N563" s="202"/>
      <c r="O563" s="226"/>
      <c r="P563" s="226"/>
      <c r="Q563" s="199">
        <f t="shared" si="145"/>
        <v>99.812377781301194</v>
      </c>
      <c r="R563" s="200"/>
      <c r="S563" s="200"/>
    </row>
    <row r="564" spans="1:19" s="197" customFormat="1" ht="102" customHeight="1" x14ac:dyDescent="0.25">
      <c r="A564" s="285"/>
      <c r="B564" s="198" t="s">
        <v>597</v>
      </c>
      <c r="C564" s="198">
        <v>995</v>
      </c>
      <c r="D564" s="201" t="s">
        <v>86</v>
      </c>
      <c r="E564" s="201">
        <v>1230320330</v>
      </c>
      <c r="F564" s="201"/>
      <c r="G564" s="202">
        <v>7860</v>
      </c>
      <c r="H564" s="202">
        <f>SUM(H565)</f>
        <v>0</v>
      </c>
      <c r="I564" s="202">
        <f>SUM(H564)+G564</f>
        <v>7860</v>
      </c>
      <c r="J564" s="206"/>
      <c r="K564" s="202"/>
      <c r="L564" s="206"/>
      <c r="M564" s="202">
        <f t="shared" ref="M564:O565" si="147">SUM(G564)</f>
        <v>7860</v>
      </c>
      <c r="N564" s="202">
        <f t="shared" si="147"/>
        <v>0</v>
      </c>
      <c r="O564" s="226">
        <f t="shared" si="147"/>
        <v>7860</v>
      </c>
      <c r="P564" s="226">
        <v>7860</v>
      </c>
      <c r="Q564" s="199">
        <v>100</v>
      </c>
      <c r="R564" s="200"/>
      <c r="S564" s="200"/>
    </row>
    <row r="565" spans="1:19" s="197" customFormat="1" ht="57.75" customHeight="1" x14ac:dyDescent="0.25">
      <c r="A565" s="285"/>
      <c r="B565" s="198" t="s">
        <v>225</v>
      </c>
      <c r="C565" s="198">
        <v>995</v>
      </c>
      <c r="D565" s="201" t="s">
        <v>86</v>
      </c>
      <c r="E565" s="201">
        <v>1230320330</v>
      </c>
      <c r="F565" s="201">
        <v>400</v>
      </c>
      <c r="G565" s="202">
        <v>7860</v>
      </c>
      <c r="H565" s="202"/>
      <c r="I565" s="202">
        <f>SUM(G565)</f>
        <v>7860</v>
      </c>
      <c r="J565" s="206"/>
      <c r="K565" s="202"/>
      <c r="L565" s="206"/>
      <c r="M565" s="202">
        <f t="shared" si="147"/>
        <v>7860</v>
      </c>
      <c r="N565" s="202">
        <f t="shared" si="147"/>
        <v>0</v>
      </c>
      <c r="O565" s="226">
        <f t="shared" si="147"/>
        <v>7860</v>
      </c>
      <c r="P565" s="226">
        <v>7860</v>
      </c>
      <c r="Q565" s="199">
        <v>100</v>
      </c>
      <c r="R565" s="200"/>
      <c r="S565" s="200"/>
    </row>
    <row r="566" spans="1:19" s="197" customFormat="1" ht="43.5" customHeight="1" x14ac:dyDescent="0.25">
      <c r="A566" s="285"/>
      <c r="B566" s="198" t="s">
        <v>213</v>
      </c>
      <c r="C566" s="198" t="s">
        <v>525</v>
      </c>
      <c r="D566" s="201" t="s">
        <v>214</v>
      </c>
      <c r="E566" s="201" t="s">
        <v>11</v>
      </c>
      <c r="F566" s="201" t="s">
        <v>11</v>
      </c>
      <c r="G566" s="202">
        <f t="shared" ref="G566:P570" si="148">G567</f>
        <v>0</v>
      </c>
      <c r="H566" s="205">
        <f t="shared" si="148"/>
        <v>0</v>
      </c>
      <c r="I566" s="202">
        <f t="shared" si="148"/>
        <v>0</v>
      </c>
      <c r="J566" s="202">
        <f t="shared" si="148"/>
        <v>0</v>
      </c>
      <c r="K566" s="205">
        <f t="shared" si="148"/>
        <v>0</v>
      </c>
      <c r="L566" s="202">
        <f t="shared" si="148"/>
        <v>0</v>
      </c>
      <c r="M566" s="202">
        <f t="shared" si="148"/>
        <v>0</v>
      </c>
      <c r="N566" s="202">
        <f t="shared" si="148"/>
        <v>0</v>
      </c>
      <c r="O566" s="226">
        <f t="shared" si="148"/>
        <v>11636.5</v>
      </c>
      <c r="P566" s="226">
        <f t="shared" si="148"/>
        <v>11636.5</v>
      </c>
      <c r="Q566" s="199">
        <v>100</v>
      </c>
      <c r="R566" s="200"/>
      <c r="S566" s="200"/>
    </row>
    <row r="567" spans="1:19" s="197" customFormat="1" ht="43.5" customHeight="1" x14ac:dyDescent="0.25">
      <c r="A567" s="285"/>
      <c r="B567" s="198" t="s">
        <v>261</v>
      </c>
      <c r="C567" s="198" t="s">
        <v>525</v>
      </c>
      <c r="D567" s="201" t="s">
        <v>262</v>
      </c>
      <c r="E567" s="201" t="s">
        <v>11</v>
      </c>
      <c r="F567" s="201" t="s">
        <v>11</v>
      </c>
      <c r="G567" s="202">
        <f t="shared" si="148"/>
        <v>0</v>
      </c>
      <c r="H567" s="202">
        <f t="shared" si="148"/>
        <v>0</v>
      </c>
      <c r="I567" s="202">
        <f t="shared" si="148"/>
        <v>0</v>
      </c>
      <c r="J567" s="202">
        <f t="shared" si="148"/>
        <v>0</v>
      </c>
      <c r="K567" s="202">
        <f t="shared" si="148"/>
        <v>0</v>
      </c>
      <c r="L567" s="202">
        <f t="shared" si="148"/>
        <v>0</v>
      </c>
      <c r="M567" s="202">
        <f t="shared" si="148"/>
        <v>0</v>
      </c>
      <c r="N567" s="202">
        <f t="shared" si="148"/>
        <v>0</v>
      </c>
      <c r="O567" s="226">
        <f t="shared" si="148"/>
        <v>11636.5</v>
      </c>
      <c r="P567" s="226">
        <f t="shared" si="148"/>
        <v>11636.5</v>
      </c>
      <c r="Q567" s="199">
        <f t="shared" si="145"/>
        <v>100</v>
      </c>
      <c r="R567" s="200"/>
      <c r="S567" s="200"/>
    </row>
    <row r="568" spans="1:19" s="197" customFormat="1" ht="63" customHeight="1" x14ac:dyDescent="0.25">
      <c r="A568" s="285"/>
      <c r="B568" s="198" t="s">
        <v>128</v>
      </c>
      <c r="C568" s="198" t="s">
        <v>525</v>
      </c>
      <c r="D568" s="201" t="s">
        <v>262</v>
      </c>
      <c r="E568" s="201" t="s">
        <v>129</v>
      </c>
      <c r="F568" s="201" t="s">
        <v>11</v>
      </c>
      <c r="G568" s="202">
        <f t="shared" si="148"/>
        <v>0</v>
      </c>
      <c r="H568" s="202">
        <f t="shared" si="148"/>
        <v>0</v>
      </c>
      <c r="I568" s="202">
        <f t="shared" si="148"/>
        <v>0</v>
      </c>
      <c r="J568" s="202">
        <f t="shared" si="148"/>
        <v>0</v>
      </c>
      <c r="K568" s="202">
        <f t="shared" si="148"/>
        <v>0</v>
      </c>
      <c r="L568" s="202">
        <f t="shared" si="148"/>
        <v>0</v>
      </c>
      <c r="M568" s="202">
        <f t="shared" si="148"/>
        <v>0</v>
      </c>
      <c r="N568" s="202">
        <f t="shared" si="148"/>
        <v>0</v>
      </c>
      <c r="O568" s="226">
        <f t="shared" si="148"/>
        <v>11636.5</v>
      </c>
      <c r="P568" s="226">
        <f t="shared" si="148"/>
        <v>11636.5</v>
      </c>
      <c r="Q568" s="199">
        <f t="shared" si="145"/>
        <v>99.981847885278626</v>
      </c>
      <c r="R568" s="200"/>
      <c r="S568" s="200"/>
    </row>
    <row r="569" spans="1:19" s="197" customFormat="1" ht="57" customHeight="1" x14ac:dyDescent="0.25">
      <c r="A569" s="285"/>
      <c r="B569" s="198" t="s">
        <v>528</v>
      </c>
      <c r="C569" s="198" t="s">
        <v>525</v>
      </c>
      <c r="D569" s="201" t="s">
        <v>262</v>
      </c>
      <c r="E569" s="201" t="s">
        <v>529</v>
      </c>
      <c r="F569" s="201" t="s">
        <v>11</v>
      </c>
      <c r="G569" s="202">
        <f t="shared" si="148"/>
        <v>0</v>
      </c>
      <c r="H569" s="202">
        <f t="shared" si="148"/>
        <v>0</v>
      </c>
      <c r="I569" s="202">
        <f t="shared" si="148"/>
        <v>0</v>
      </c>
      <c r="J569" s="202">
        <f t="shared" si="148"/>
        <v>0</v>
      </c>
      <c r="K569" s="202">
        <f t="shared" si="148"/>
        <v>0</v>
      </c>
      <c r="L569" s="202">
        <f t="shared" si="148"/>
        <v>0</v>
      </c>
      <c r="M569" s="202">
        <f t="shared" si="148"/>
        <v>0</v>
      </c>
      <c r="N569" s="202">
        <f t="shared" si="148"/>
        <v>0</v>
      </c>
      <c r="O569" s="226">
        <f t="shared" si="148"/>
        <v>11636.5</v>
      </c>
      <c r="P569" s="226">
        <f t="shared" si="148"/>
        <v>11636.5</v>
      </c>
      <c r="Q569" s="199">
        <f t="shared" si="145"/>
        <v>99.981847885278626</v>
      </c>
      <c r="R569" s="200"/>
      <c r="S569" s="200"/>
    </row>
    <row r="570" spans="1:19" s="197" customFormat="1" ht="114.75" customHeight="1" x14ac:dyDescent="0.25">
      <c r="A570" s="285"/>
      <c r="B570" s="198" t="s">
        <v>539</v>
      </c>
      <c r="C570" s="198" t="s">
        <v>525</v>
      </c>
      <c r="D570" s="201" t="s">
        <v>262</v>
      </c>
      <c r="E570" s="201" t="s">
        <v>540</v>
      </c>
      <c r="F570" s="201" t="s">
        <v>11</v>
      </c>
      <c r="G570" s="202">
        <f t="shared" si="148"/>
        <v>0</v>
      </c>
      <c r="H570" s="202">
        <f t="shared" si="148"/>
        <v>0</v>
      </c>
      <c r="I570" s="202">
        <f t="shared" si="148"/>
        <v>0</v>
      </c>
      <c r="J570" s="202">
        <f t="shared" si="148"/>
        <v>0</v>
      </c>
      <c r="K570" s="202">
        <f t="shared" si="148"/>
        <v>0</v>
      </c>
      <c r="L570" s="202">
        <f t="shared" si="148"/>
        <v>0</v>
      </c>
      <c r="M570" s="202">
        <f t="shared" si="148"/>
        <v>0</v>
      </c>
      <c r="N570" s="202">
        <f t="shared" si="148"/>
        <v>0</v>
      </c>
      <c r="O570" s="226">
        <f t="shared" si="148"/>
        <v>11636.5</v>
      </c>
      <c r="P570" s="226">
        <f t="shared" si="148"/>
        <v>11636.5</v>
      </c>
      <c r="Q570" s="199">
        <v>100</v>
      </c>
      <c r="R570" s="200"/>
      <c r="S570" s="200"/>
    </row>
    <row r="571" spans="1:19" s="197" customFormat="1" ht="63.75" customHeight="1" x14ac:dyDescent="0.25">
      <c r="A571" s="285"/>
      <c r="B571" s="198" t="s">
        <v>134</v>
      </c>
      <c r="C571" s="198" t="s">
        <v>525</v>
      </c>
      <c r="D571" s="201" t="s">
        <v>262</v>
      </c>
      <c r="E571" s="201" t="s">
        <v>541</v>
      </c>
      <c r="F571" s="201" t="s">
        <v>11</v>
      </c>
      <c r="G571" s="202">
        <f>G579</f>
        <v>0</v>
      </c>
      <c r="H571" s="202">
        <f>SUM(H579)</f>
        <v>0</v>
      </c>
      <c r="I571" s="202">
        <f>I579</f>
        <v>0</v>
      </c>
      <c r="J571" s="202">
        <f>J579</f>
        <v>0</v>
      </c>
      <c r="K571" s="202"/>
      <c r="L571" s="202">
        <f>L579</f>
        <v>0</v>
      </c>
      <c r="M571" s="202">
        <f>M579</f>
        <v>0</v>
      </c>
      <c r="N571" s="202">
        <f>N579</f>
        <v>0</v>
      </c>
      <c r="O571" s="226">
        <v>11636.5</v>
      </c>
      <c r="P571" s="226">
        <v>11636.5</v>
      </c>
      <c r="Q571" s="199">
        <v>100</v>
      </c>
      <c r="R571" s="200"/>
      <c r="S571" s="200"/>
    </row>
    <row r="572" spans="1:19" s="197" customFormat="1" ht="59.25" customHeight="1" x14ac:dyDescent="0.25">
      <c r="A572" s="286"/>
      <c r="B572" s="198" t="s">
        <v>95</v>
      </c>
      <c r="C572" s="198" t="s">
        <v>525</v>
      </c>
      <c r="D572" s="201" t="s">
        <v>262</v>
      </c>
      <c r="E572" s="201" t="s">
        <v>541</v>
      </c>
      <c r="F572" s="201" t="s">
        <v>96</v>
      </c>
      <c r="G572" s="202">
        <v>11636.5</v>
      </c>
      <c r="H572" s="202"/>
      <c r="I572" s="202">
        <f>SUM(G572)</f>
        <v>11636.5</v>
      </c>
      <c r="J572" s="206">
        <v>0</v>
      </c>
      <c r="K572" s="202"/>
      <c r="L572" s="206">
        <v>0</v>
      </c>
      <c r="M572" s="202">
        <f>SUM(G572)</f>
        <v>11636.5</v>
      </c>
      <c r="N572" s="202">
        <f>SUM(H572)</f>
        <v>0</v>
      </c>
      <c r="O572" s="226">
        <f>SUM(I572)</f>
        <v>11636.5</v>
      </c>
      <c r="P572" s="226">
        <v>11636.5</v>
      </c>
      <c r="Q572" s="199">
        <v>100</v>
      </c>
      <c r="R572" s="200"/>
      <c r="S572" s="200"/>
    </row>
    <row r="573" spans="1:19" s="217" customFormat="1" ht="1.5" customHeight="1" x14ac:dyDescent="0.3">
      <c r="A573" s="236"/>
      <c r="B573" s="254"/>
      <c r="C573" s="198"/>
      <c r="D573" s="201"/>
      <c r="E573" s="201"/>
      <c r="F573" s="201"/>
      <c r="G573" s="202"/>
      <c r="H573" s="202"/>
      <c r="I573" s="202"/>
      <c r="J573" s="202"/>
      <c r="K573" s="202"/>
      <c r="L573" s="202"/>
      <c r="M573" s="202"/>
      <c r="N573" s="202"/>
      <c r="O573" s="202"/>
      <c r="P573" s="202"/>
      <c r="Q573" s="199"/>
      <c r="R573" s="216"/>
      <c r="S573" s="216"/>
    </row>
    <row r="574" spans="1:19" s="222" customFormat="1" ht="1.5" customHeight="1" x14ac:dyDescent="0.3">
      <c r="A574" s="218"/>
      <c r="B574" s="255"/>
      <c r="C574" s="195"/>
      <c r="D574" s="219"/>
      <c r="E574" s="219"/>
      <c r="F574" s="219"/>
      <c r="G574" s="196"/>
      <c r="H574" s="196"/>
      <c r="I574" s="196"/>
      <c r="J574" s="196"/>
      <c r="K574" s="196"/>
      <c r="L574" s="196"/>
      <c r="M574" s="196"/>
      <c r="N574" s="196"/>
      <c r="O574" s="196"/>
      <c r="P574" s="196"/>
      <c r="Q574" s="220"/>
      <c r="R574" s="221"/>
      <c r="S574" s="221"/>
    </row>
    <row r="575" spans="1:19" s="222" customFormat="1" ht="18.75" x14ac:dyDescent="0.25">
      <c r="A575" s="218"/>
      <c r="B575" s="256"/>
      <c r="C575" s="195"/>
      <c r="D575" s="219"/>
      <c r="E575" s="219"/>
      <c r="F575" s="219"/>
      <c r="G575" s="196"/>
      <c r="H575" s="196"/>
      <c r="I575" s="196"/>
      <c r="J575" s="196"/>
      <c r="K575" s="196"/>
      <c r="L575" s="196"/>
      <c r="M575" s="196"/>
      <c r="N575" s="196"/>
      <c r="O575" s="196"/>
      <c r="P575" s="196"/>
      <c r="Q575" s="220"/>
      <c r="R575" s="221"/>
      <c r="S575" s="221"/>
    </row>
    <row r="576" spans="1:19" s="197" customFormat="1" ht="25.5" customHeight="1" x14ac:dyDescent="0.3">
      <c r="A576" s="218"/>
      <c r="B576" s="255"/>
      <c r="C576" s="195"/>
      <c r="D576" s="219"/>
      <c r="E576" s="219"/>
      <c r="F576" s="219"/>
      <c r="G576" s="196"/>
      <c r="H576" s="196"/>
      <c r="I576" s="196"/>
      <c r="J576" s="196"/>
      <c r="K576" s="196"/>
      <c r="L576" s="196"/>
      <c r="M576" s="196"/>
      <c r="N576" s="196"/>
      <c r="O576" s="196"/>
      <c r="P576" s="196"/>
      <c r="Q576" s="220"/>
      <c r="R576" s="200"/>
      <c r="S576" s="200"/>
    </row>
    <row r="577" spans="1:19" s="197" customFormat="1" ht="22.5" customHeight="1" x14ac:dyDescent="0.25">
      <c r="A577" s="287" t="s">
        <v>620</v>
      </c>
      <c r="B577" s="281"/>
      <c r="C577" s="281"/>
      <c r="D577" s="281"/>
      <c r="E577" s="281"/>
      <c r="F577" s="219"/>
      <c r="G577" s="196"/>
      <c r="H577" s="196"/>
      <c r="I577" s="196"/>
      <c r="J577" s="196"/>
      <c r="K577" s="196"/>
      <c r="L577" s="196"/>
      <c r="M577" s="196"/>
      <c r="N577" s="196"/>
      <c r="O577" s="196"/>
      <c r="P577" s="196"/>
      <c r="Q577" s="220"/>
      <c r="R577" s="200"/>
      <c r="S577" s="200"/>
    </row>
    <row r="578" spans="1:19" s="197" customFormat="1" ht="25.5" hidden="1" customHeight="1" x14ac:dyDescent="0.3">
      <c r="A578" s="218"/>
      <c r="B578" s="255"/>
      <c r="C578" s="195"/>
      <c r="D578" s="219"/>
      <c r="E578" s="219"/>
      <c r="F578" s="219"/>
      <c r="G578" s="196"/>
      <c r="H578" s="196"/>
      <c r="I578" s="196"/>
      <c r="J578" s="196"/>
      <c r="K578" s="196"/>
      <c r="L578" s="196"/>
      <c r="M578" s="196"/>
      <c r="N578" s="196"/>
      <c r="O578" s="196"/>
      <c r="P578" s="196"/>
      <c r="Q578" s="220"/>
      <c r="R578" s="200"/>
      <c r="S578" s="200"/>
    </row>
    <row r="579" spans="1:19" s="197" customFormat="1" ht="44.25" customHeight="1" x14ac:dyDescent="0.25">
      <c r="A579" s="287" t="s">
        <v>621</v>
      </c>
      <c r="B579" s="281"/>
      <c r="C579" s="281"/>
      <c r="D579" s="281"/>
      <c r="E579" s="219"/>
      <c r="F579" s="219"/>
      <c r="G579" s="196"/>
      <c r="H579" s="196"/>
      <c r="I579" s="196"/>
      <c r="J579" s="223"/>
      <c r="K579" s="196"/>
      <c r="L579" s="223"/>
      <c r="M579" s="196"/>
      <c r="N579" s="196"/>
      <c r="O579" s="196"/>
      <c r="P579" s="283" t="s">
        <v>616</v>
      </c>
      <c r="Q579" s="281"/>
      <c r="R579" s="200"/>
      <c r="S579" s="200"/>
    </row>
    <row r="580" spans="1:19" ht="15.75" hidden="1" x14ac:dyDescent="0.2">
      <c r="Q580" s="194"/>
    </row>
    <row r="581" spans="1:19" ht="15.75" hidden="1" x14ac:dyDescent="0.2">
      <c r="Q581" s="186"/>
    </row>
    <row r="582" spans="1:19" ht="15.75" hidden="1" x14ac:dyDescent="0.2">
      <c r="Q582" s="186"/>
    </row>
    <row r="583" spans="1:19" ht="15.75" hidden="1" x14ac:dyDescent="0.2">
      <c r="Q583" s="186"/>
    </row>
    <row r="584" spans="1:19" ht="15.75" hidden="1" x14ac:dyDescent="0.2">
      <c r="Q584" s="186"/>
    </row>
    <row r="585" spans="1:19" ht="15.75" hidden="1" x14ac:dyDescent="0.2">
      <c r="Q585" s="186"/>
    </row>
    <row r="586" spans="1:19" ht="15.75" hidden="1" x14ac:dyDescent="0.2">
      <c r="Q586" s="186"/>
    </row>
    <row r="588" spans="1:19" x14ac:dyDescent="0.2">
      <c r="Q588" s="184"/>
    </row>
    <row r="589" spans="1:19" x14ac:dyDescent="0.2">
      <c r="Q589" s="184"/>
    </row>
    <row r="590" spans="1:19" x14ac:dyDescent="0.2">
      <c r="Q590" s="184"/>
    </row>
  </sheetData>
  <mergeCells count="32">
    <mergeCell ref="P579:Q579"/>
    <mergeCell ref="G21:O22"/>
    <mergeCell ref="A26:A37"/>
    <mergeCell ref="A38:A478"/>
    <mergeCell ref="A479:A545"/>
    <mergeCell ref="A546:A572"/>
    <mergeCell ref="A577:E577"/>
    <mergeCell ref="A579:D579"/>
    <mergeCell ref="C23:F23"/>
    <mergeCell ref="G23:O23"/>
    <mergeCell ref="J7:O7"/>
    <mergeCell ref="J1:O1"/>
    <mergeCell ref="J3:O3"/>
    <mergeCell ref="P10:Q10"/>
    <mergeCell ref="J5:O5"/>
    <mergeCell ref="J4:O4"/>
    <mergeCell ref="J6:O6"/>
    <mergeCell ref="P1:Q8"/>
    <mergeCell ref="B19:G19"/>
    <mergeCell ref="B20:G20"/>
    <mergeCell ref="B11:O11"/>
    <mergeCell ref="A13:P13"/>
    <mergeCell ref="P21:P22"/>
    <mergeCell ref="A12:Q12"/>
    <mergeCell ref="Q21:Q22"/>
    <mergeCell ref="A21:A22"/>
    <mergeCell ref="B21:B22"/>
    <mergeCell ref="C21:F21"/>
    <mergeCell ref="A14:O14"/>
    <mergeCell ref="C17:F17"/>
    <mergeCell ref="B18:C18"/>
    <mergeCell ref="D18:F18"/>
  </mergeCells>
  <pageMargins left="0.78740157480314965" right="0.78740157480314965" top="1.1811023622047245" bottom="0.39370078740157483" header="0.51181102362204722" footer="0.19685039370078741"/>
  <pageSetup paperSize="9" firstPageNumber="4294967295" orientation="landscape" r:id="rId1"/>
  <headerFooter differentFirst="1" alignWithMargins="0">
    <oddHeader>&amp;C&amp;P</oddHeader>
  </headerFooter>
  <rowBreaks count="5" manualBreakCount="5">
    <brk id="126" max="16383" man="1"/>
    <brk id="175" max="16" man="1"/>
    <brk id="195" max="16" man="1"/>
    <brk id="200" max="16" man="1"/>
    <brk id="224" max="16383" man="1"/>
  </rowBreaks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67"/>
  <sheetViews>
    <sheetView topLeftCell="A259" zoomScale="60" zoomScaleNormal="60" workbookViewId="0">
      <selection activeCell="I229" sqref="I229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552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73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73"/>
      <c r="I15" s="73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74"/>
      <c r="I16" s="74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75" t="s">
        <v>16</v>
      </c>
      <c r="D18" s="75" t="s">
        <v>17</v>
      </c>
      <c r="E18" s="75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75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>G21+G33+G393+G444</f>
        <v>612273.19999999995</v>
      </c>
      <c r="H20" s="25">
        <f>H21+H33+H393+H444+AH5+H386</f>
        <v>10581.2</v>
      </c>
      <c r="I20" s="31">
        <f>I21+I33+I393+I444</f>
        <v>628942.69999999995</v>
      </c>
      <c r="J20" s="32">
        <f>J21+J33+J393+J444</f>
        <v>2447246.8000000007</v>
      </c>
      <c r="K20" s="25">
        <f>SUM(K33+K21+K393+K444)</f>
        <v>54194.9</v>
      </c>
      <c r="L20" s="32">
        <f>L21+L33+L393+L444</f>
        <v>2501441.7000000007</v>
      </c>
      <c r="M20" s="31">
        <f>M21+M33+M393+M444</f>
        <v>3059520</v>
      </c>
      <c r="N20" s="31">
        <f>N21+N33+N393+N444</f>
        <v>70864.399999999994</v>
      </c>
      <c r="O20" s="31">
        <f>O21+O33+O393+O444</f>
        <v>3130384.3999999994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76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O26" si="0">J24</f>
        <v>0</v>
      </c>
      <c r="K23" s="45">
        <f>K24</f>
        <v>0</v>
      </c>
      <c r="L23" s="39">
        <f t="shared" si="0"/>
        <v>0</v>
      </c>
      <c r="M23" s="38">
        <f t="shared" si="0"/>
        <v>8.1</v>
      </c>
      <c r="N23" s="38">
        <f t="shared" si="0"/>
        <v>0</v>
      </c>
      <c r="O23" s="38">
        <f t="shared" si="0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0"/>
        <v>0</v>
      </c>
      <c r="K24" s="45">
        <f>K25</f>
        <v>0</v>
      </c>
      <c r="L24" s="46">
        <f t="shared" si="0"/>
        <v>0</v>
      </c>
      <c r="M24" s="45">
        <f t="shared" si="0"/>
        <v>8.1</v>
      </c>
      <c r="N24" s="45">
        <f t="shared" si="0"/>
        <v>0</v>
      </c>
      <c r="O24" s="45">
        <f t="shared" si="0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0"/>
        <v>0</v>
      </c>
      <c r="K25" s="45">
        <f>K26</f>
        <v>0</v>
      </c>
      <c r="L25" s="46">
        <f t="shared" si="0"/>
        <v>0</v>
      </c>
      <c r="M25" s="45">
        <f t="shared" si="0"/>
        <v>8.1</v>
      </c>
      <c r="N25" s="45">
        <f t="shared" si="0"/>
        <v>0</v>
      </c>
      <c r="O25" s="45">
        <f t="shared" si="0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0"/>
        <v>0</v>
      </c>
      <c r="K26" s="45"/>
      <c r="L26" s="46">
        <f t="shared" si="0"/>
        <v>0</v>
      </c>
      <c r="M26" s="45">
        <f t="shared" si="0"/>
        <v>8.1</v>
      </c>
      <c r="N26" s="45">
        <f t="shared" si="0"/>
        <v>0</v>
      </c>
      <c r="O26" s="45">
        <f t="shared" si="0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O31" si="1">G29</f>
        <v>1387.5</v>
      </c>
      <c r="H28" s="45">
        <f t="shared" si="1"/>
        <v>0</v>
      </c>
      <c r="I28" s="38">
        <f t="shared" si="1"/>
        <v>1387.5</v>
      </c>
      <c r="J28" s="39">
        <f t="shared" si="1"/>
        <v>0</v>
      </c>
      <c r="K28" s="45">
        <f>K29</f>
        <v>0</v>
      </c>
      <c r="L28" s="39">
        <f t="shared" si="1"/>
        <v>0</v>
      </c>
      <c r="M28" s="38">
        <f t="shared" si="1"/>
        <v>1387.5</v>
      </c>
      <c r="N28" s="38">
        <f t="shared" si="1"/>
        <v>0</v>
      </c>
      <c r="O28" s="38">
        <f t="shared" si="1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1"/>
        <v>1387.5</v>
      </c>
      <c r="H29" s="45">
        <f t="shared" si="1"/>
        <v>0</v>
      </c>
      <c r="I29" s="45">
        <f t="shared" si="1"/>
        <v>1387.5</v>
      </c>
      <c r="J29" s="46">
        <f t="shared" si="1"/>
        <v>0</v>
      </c>
      <c r="K29" s="45">
        <f>K30</f>
        <v>0</v>
      </c>
      <c r="L29" s="46">
        <f t="shared" si="1"/>
        <v>0</v>
      </c>
      <c r="M29" s="45">
        <f t="shared" si="1"/>
        <v>1387.5</v>
      </c>
      <c r="N29" s="45">
        <f t="shared" si="1"/>
        <v>0</v>
      </c>
      <c r="O29" s="45">
        <f t="shared" si="1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1"/>
        <v>1387.5</v>
      </c>
      <c r="H30" s="45">
        <f t="shared" si="1"/>
        <v>0</v>
      </c>
      <c r="I30" s="45">
        <f t="shared" si="1"/>
        <v>1387.5</v>
      </c>
      <c r="J30" s="46">
        <f t="shared" si="1"/>
        <v>0</v>
      </c>
      <c r="K30" s="45">
        <f>K31</f>
        <v>0</v>
      </c>
      <c r="L30" s="46">
        <f t="shared" si="1"/>
        <v>0</v>
      </c>
      <c r="M30" s="45">
        <f t="shared" si="1"/>
        <v>1387.5</v>
      </c>
      <c r="N30" s="45">
        <f t="shared" si="1"/>
        <v>0</v>
      </c>
      <c r="O30" s="45">
        <f t="shared" si="1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1"/>
        <v>0</v>
      </c>
      <c r="K31" s="45"/>
      <c r="L31" s="46">
        <f t="shared" si="1"/>
        <v>0</v>
      </c>
      <c r="M31" s="45">
        <f t="shared" si="1"/>
        <v>1387.5</v>
      </c>
      <c r="N31" s="45">
        <f t="shared" si="1"/>
        <v>0</v>
      </c>
      <c r="O31" s="45">
        <f t="shared" si="1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G34+G108+G155+G228+G328+G350+G375+G386</f>
        <v>457293.7</v>
      </c>
      <c r="H33" s="25">
        <f t="shared" ref="H33:O33" si="2">H34+H108+H155+H228+H328+H350+H375+H386</f>
        <v>18215.5</v>
      </c>
      <c r="I33" s="25">
        <f t="shared" si="2"/>
        <v>474637.2</v>
      </c>
      <c r="J33" s="25">
        <f t="shared" si="2"/>
        <v>2438538.1000000006</v>
      </c>
      <c r="K33" s="25">
        <f t="shared" si="2"/>
        <v>57494.9</v>
      </c>
      <c r="L33" s="25">
        <f t="shared" si="2"/>
        <v>2496033.0000000005</v>
      </c>
      <c r="M33" s="25">
        <f t="shared" si="2"/>
        <v>2895831.8</v>
      </c>
      <c r="N33" s="25">
        <f t="shared" si="2"/>
        <v>74838.399999999994</v>
      </c>
      <c r="O33" s="76">
        <f t="shared" si="2"/>
        <v>2970670.1999999993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89982.1</v>
      </c>
      <c r="H34" s="25">
        <f t="shared" ref="H34:O34" si="3">H35+H40+H54+H59</f>
        <v>2851</v>
      </c>
      <c r="I34" s="25">
        <f t="shared" si="3"/>
        <v>91961.1</v>
      </c>
      <c r="J34" s="25">
        <f t="shared" si="3"/>
        <v>768.1</v>
      </c>
      <c r="K34" s="25">
        <f t="shared" si="3"/>
        <v>0</v>
      </c>
      <c r="L34" s="25">
        <f t="shared" si="3"/>
        <v>768.1</v>
      </c>
      <c r="M34" s="25">
        <f t="shared" si="3"/>
        <v>90750.200000000012</v>
      </c>
      <c r="N34" s="25">
        <f t="shared" si="3"/>
        <v>1978.9999999999998</v>
      </c>
      <c r="O34" s="77">
        <f t="shared" si="3"/>
        <v>92729.2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 t="shared" ref="G35:O38" si="4">G36</f>
        <v>2021.3</v>
      </c>
      <c r="H35" s="45">
        <f t="shared" si="4"/>
        <v>0</v>
      </c>
      <c r="I35" s="38">
        <f t="shared" si="4"/>
        <v>2021.3</v>
      </c>
      <c r="J35" s="39">
        <f t="shared" si="4"/>
        <v>0</v>
      </c>
      <c r="K35" s="45">
        <f>K36</f>
        <v>0</v>
      </c>
      <c r="L35" s="39">
        <f t="shared" si="4"/>
        <v>0</v>
      </c>
      <c r="M35" s="38">
        <f t="shared" si="4"/>
        <v>2021.3</v>
      </c>
      <c r="N35" s="38">
        <f t="shared" si="4"/>
        <v>0</v>
      </c>
      <c r="O35" s="78">
        <f t="shared" si="4"/>
        <v>2021.3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 t="shared" si="4"/>
        <v>2021.3</v>
      </c>
      <c r="H36" s="45">
        <f t="shared" si="4"/>
        <v>0</v>
      </c>
      <c r="I36" s="45">
        <f t="shared" si="4"/>
        <v>2021.3</v>
      </c>
      <c r="J36" s="46">
        <f t="shared" si="4"/>
        <v>0</v>
      </c>
      <c r="K36" s="45">
        <f>K37</f>
        <v>0</v>
      </c>
      <c r="L36" s="46">
        <f t="shared" si="4"/>
        <v>0</v>
      </c>
      <c r="M36" s="45">
        <f t="shared" si="4"/>
        <v>2021.3</v>
      </c>
      <c r="N36" s="45">
        <f t="shared" si="4"/>
        <v>0</v>
      </c>
      <c r="O36" s="45">
        <f t="shared" si="4"/>
        <v>2021.3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 t="shared" si="4"/>
        <v>2021.3</v>
      </c>
      <c r="H37" s="45">
        <f t="shared" si="4"/>
        <v>0</v>
      </c>
      <c r="I37" s="45">
        <f t="shared" si="4"/>
        <v>2021.3</v>
      </c>
      <c r="J37" s="46">
        <f t="shared" si="4"/>
        <v>0</v>
      </c>
      <c r="K37" s="45">
        <f>K38</f>
        <v>0</v>
      </c>
      <c r="L37" s="46">
        <f t="shared" si="4"/>
        <v>0</v>
      </c>
      <c r="M37" s="45">
        <f t="shared" si="4"/>
        <v>2021.3</v>
      </c>
      <c r="N37" s="45">
        <f t="shared" si="4"/>
        <v>0</v>
      </c>
      <c r="O37" s="45">
        <f t="shared" si="4"/>
        <v>2021.3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45"/>
      <c r="I38" s="45">
        <f>I39</f>
        <v>2021.3</v>
      </c>
      <c r="J38" s="46">
        <f t="shared" si="4"/>
        <v>0</v>
      </c>
      <c r="K38" s="45"/>
      <c r="L38" s="46">
        <f t="shared" si="4"/>
        <v>0</v>
      </c>
      <c r="M38" s="45">
        <f t="shared" si="4"/>
        <v>2021.3</v>
      </c>
      <c r="N38" s="45">
        <f t="shared" si="4"/>
        <v>0</v>
      </c>
      <c r="O38" s="45">
        <f t="shared" si="4"/>
        <v>2021.3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/>
      <c r="I39" s="45">
        <v>2021.3</v>
      </c>
      <c r="J39" s="47">
        <v>0</v>
      </c>
      <c r="K39" s="38"/>
      <c r="L39" s="47">
        <v>0</v>
      </c>
      <c r="M39" s="45">
        <v>2021.3</v>
      </c>
      <c r="N39" s="45"/>
      <c r="O39" s="45">
        <v>2021.3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30614.5</v>
      </c>
      <c r="H40" s="45">
        <f>H41+H46</f>
        <v>368.6</v>
      </c>
      <c r="I40" s="38">
        <f>I41</f>
        <v>30983.1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31382.6</v>
      </c>
      <c r="N40" s="38">
        <f>N41</f>
        <v>368.6</v>
      </c>
      <c r="O40" s="78">
        <f>O41</f>
        <v>31751.199999999997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30614.5</v>
      </c>
      <c r="H41" s="45">
        <f>H42</f>
        <v>368.6</v>
      </c>
      <c r="I41" s="45">
        <f>I42+I47</f>
        <v>30983.1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31382.6</v>
      </c>
      <c r="N41" s="45">
        <f>N42+N47</f>
        <v>368.6</v>
      </c>
      <c r="O41" s="45">
        <f>O42+O47</f>
        <v>31751.199999999997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30614.5</v>
      </c>
      <c r="H42" s="45">
        <f>H43</f>
        <v>368.6</v>
      </c>
      <c r="I42" s="45">
        <f>I43</f>
        <v>30983.1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30614.5</v>
      </c>
      <c r="N42" s="45">
        <f>N43</f>
        <v>368.6</v>
      </c>
      <c r="O42" s="45">
        <f>O43</f>
        <v>30983.1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30614.5</v>
      </c>
      <c r="H43" s="45">
        <f>SUM(H44)</f>
        <v>368.6</v>
      </c>
      <c r="I43" s="45">
        <f>I44+I45+I46</f>
        <v>30983.1</v>
      </c>
      <c r="J43" s="46">
        <f>J44+J45+J46</f>
        <v>0</v>
      </c>
      <c r="K43" s="45"/>
      <c r="L43" s="46">
        <f>L44+L45+L46</f>
        <v>0</v>
      </c>
      <c r="M43" s="45">
        <f>M44+M45+M46</f>
        <v>30614.5</v>
      </c>
      <c r="N43" s="45">
        <f>N44+N45+N46</f>
        <v>368.6</v>
      </c>
      <c r="O43" s="45">
        <f>O44+O45+O46</f>
        <v>30983.1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30283.1</v>
      </c>
      <c r="H44" s="45">
        <f>239.1+129.5</f>
        <v>368.6</v>
      </c>
      <c r="I44" s="45">
        <f>30283.1+H44</f>
        <v>30651.699999999997</v>
      </c>
      <c r="J44" s="47">
        <v>0</v>
      </c>
      <c r="K44" s="45"/>
      <c r="L44" s="47">
        <v>0</v>
      </c>
      <c r="M44" s="45">
        <v>30283.1</v>
      </c>
      <c r="N44" s="45">
        <f>SUM(H44)</f>
        <v>368.6</v>
      </c>
      <c r="O44" s="45">
        <f>SUM(N44)+M44</f>
        <v>30651.699999999997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v>291.39999999999998</v>
      </c>
      <c r="J45" s="47">
        <v>0</v>
      </c>
      <c r="K45" s="45"/>
      <c r="L45" s="47">
        <v>0</v>
      </c>
      <c r="M45" s="45">
        <v>291.39999999999998</v>
      </c>
      <c r="N45" s="45"/>
      <c r="O45" s="45"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f>H51</f>
        <v>0</v>
      </c>
      <c r="I46" s="45">
        <v>40</v>
      </c>
      <c r="J46" s="47">
        <v>0</v>
      </c>
      <c r="K46" s="45">
        <f>K51</f>
        <v>0</v>
      </c>
      <c r="L46" s="47">
        <v>0</v>
      </c>
      <c r="M46" s="45">
        <v>40</v>
      </c>
      <c r="N46" s="45"/>
      <c r="O46" s="45">
        <v>40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5">H52</f>
        <v>0</v>
      </c>
      <c r="I51" s="45"/>
      <c r="J51" s="47"/>
      <c r="K51" s="45">
        <f t="shared" si="5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5"/>
        <v>0</v>
      </c>
      <c r="H52" s="45">
        <v>0</v>
      </c>
      <c r="I52" s="45">
        <f t="shared" si="5"/>
        <v>0</v>
      </c>
      <c r="J52" s="47">
        <f t="shared" si="5"/>
        <v>12.4</v>
      </c>
      <c r="K52" s="45">
        <v>0</v>
      </c>
      <c r="L52" s="47">
        <f t="shared" si="5"/>
        <v>12.4</v>
      </c>
      <c r="M52" s="45">
        <f t="shared" si="5"/>
        <v>12.4</v>
      </c>
      <c r="N52" s="45">
        <f t="shared" si="5"/>
        <v>0</v>
      </c>
      <c r="O52" s="45">
        <f t="shared" si="5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O57" si="6">G55</f>
        <v>1000</v>
      </c>
      <c r="H54" s="45">
        <f t="shared" si="6"/>
        <v>1963.1999999999998</v>
      </c>
      <c r="I54" s="38">
        <f t="shared" si="6"/>
        <v>2091.1999999999998</v>
      </c>
      <c r="J54" s="39">
        <f t="shared" si="6"/>
        <v>0</v>
      </c>
      <c r="K54" s="45">
        <f>K55</f>
        <v>0</v>
      </c>
      <c r="L54" s="39">
        <f t="shared" si="6"/>
        <v>0</v>
      </c>
      <c r="M54" s="38">
        <f t="shared" si="6"/>
        <v>1000</v>
      </c>
      <c r="N54" s="38">
        <f t="shared" si="6"/>
        <v>1091.1999999999996</v>
      </c>
      <c r="O54" s="79">
        <f t="shared" si="6"/>
        <v>2091.1999999999998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6"/>
        <v>1000</v>
      </c>
      <c r="H55" s="45">
        <f t="shared" si="6"/>
        <v>1963.1999999999998</v>
      </c>
      <c r="I55" s="45">
        <f t="shared" si="6"/>
        <v>2091.1999999999998</v>
      </c>
      <c r="J55" s="46">
        <f t="shared" si="6"/>
        <v>0</v>
      </c>
      <c r="K55" s="45">
        <f>K56</f>
        <v>0</v>
      </c>
      <c r="L55" s="46">
        <f t="shared" si="6"/>
        <v>0</v>
      </c>
      <c r="M55" s="45">
        <f t="shared" si="6"/>
        <v>1000</v>
      </c>
      <c r="N55" s="45">
        <f t="shared" si="6"/>
        <v>1091.1999999999996</v>
      </c>
      <c r="O55" s="60">
        <f t="shared" si="6"/>
        <v>2091.1999999999998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6"/>
        <v>1000</v>
      </c>
      <c r="H56" s="45">
        <f t="shared" si="6"/>
        <v>1963.1999999999998</v>
      </c>
      <c r="I56" s="45">
        <f t="shared" si="6"/>
        <v>2091.1999999999998</v>
      </c>
      <c r="J56" s="46">
        <f t="shared" si="6"/>
        <v>0</v>
      </c>
      <c r="K56" s="45">
        <f>K57</f>
        <v>0</v>
      </c>
      <c r="L56" s="46">
        <f t="shared" si="6"/>
        <v>0</v>
      </c>
      <c r="M56" s="45">
        <f t="shared" si="6"/>
        <v>1000</v>
      </c>
      <c r="N56" s="45">
        <f t="shared" si="6"/>
        <v>1091.1999999999996</v>
      </c>
      <c r="O56" s="60">
        <f t="shared" si="6"/>
        <v>2091.1999999999998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1000</v>
      </c>
      <c r="H57" s="38">
        <f>619.3+3063.7+0.1-1719.9</f>
        <v>1963.1999999999998</v>
      </c>
      <c r="I57" s="45">
        <f>I58</f>
        <v>2091.1999999999998</v>
      </c>
      <c r="J57" s="46">
        <f t="shared" si="6"/>
        <v>0</v>
      </c>
      <c r="K57" s="45"/>
      <c r="L57" s="46">
        <f t="shared" si="6"/>
        <v>0</v>
      </c>
      <c r="M57" s="45">
        <f t="shared" si="6"/>
        <v>1000</v>
      </c>
      <c r="N57" s="45">
        <f t="shared" si="6"/>
        <v>1091.1999999999996</v>
      </c>
      <c r="O57" s="60">
        <f t="shared" si="6"/>
        <v>2091.1999999999998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1000</v>
      </c>
      <c r="H58" s="79">
        <f>619.3+3063.7+0.1-1719.9-538.9-266.7-66.4</f>
        <v>1091.1999999999996</v>
      </c>
      <c r="I58" s="45">
        <f>1000+H58</f>
        <v>2091.1999999999998</v>
      </c>
      <c r="J58" s="47">
        <v>0</v>
      </c>
      <c r="K58" s="38"/>
      <c r="L58" s="47">
        <v>0</v>
      </c>
      <c r="M58" s="45">
        <v>1000</v>
      </c>
      <c r="N58" s="45">
        <f>SUM(H58)</f>
        <v>1091.1999999999996</v>
      </c>
      <c r="O58" s="60">
        <f>1000+N58</f>
        <v>2091.1999999999998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G60+G65+G70+G86+G104</f>
        <v>56346.3</v>
      </c>
      <c r="H59" s="45">
        <f>H60+H105+H86</f>
        <v>519.20000000000005</v>
      </c>
      <c r="I59" s="38">
        <f>I60+I65+I70+I86+I104</f>
        <v>56865.5</v>
      </c>
      <c r="J59" s="39">
        <f>J60+J65+J70+J86+J104</f>
        <v>0</v>
      </c>
      <c r="K59" s="45">
        <f>K60</f>
        <v>0</v>
      </c>
      <c r="L59" s="39">
        <f>L60+L65+L70+L86+L104</f>
        <v>0</v>
      </c>
      <c r="M59" s="38">
        <f>M60+M65+M70+M86+M104</f>
        <v>56346.3</v>
      </c>
      <c r="N59" s="38">
        <f>N60+N65+N70+N86+N104</f>
        <v>519.20000000000005</v>
      </c>
      <c r="O59" s="78">
        <f>O60+O65+O70+O86+O104</f>
        <v>56865.5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 t="shared" ref="G60:O63" si="7">G61</f>
        <v>80</v>
      </c>
      <c r="H60" s="45">
        <f t="shared" si="7"/>
        <v>0</v>
      </c>
      <c r="I60" s="45">
        <f t="shared" si="7"/>
        <v>80</v>
      </c>
      <c r="J60" s="46">
        <f t="shared" si="7"/>
        <v>0</v>
      </c>
      <c r="K60" s="45">
        <f>K61</f>
        <v>0</v>
      </c>
      <c r="L60" s="46">
        <f t="shared" si="7"/>
        <v>0</v>
      </c>
      <c r="M60" s="45">
        <f t="shared" si="7"/>
        <v>80</v>
      </c>
      <c r="N60" s="45">
        <f t="shared" si="7"/>
        <v>0</v>
      </c>
      <c r="O60" s="45">
        <f t="shared" si="7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 t="shared" si="7"/>
        <v>80</v>
      </c>
      <c r="H61" s="45">
        <f t="shared" si="7"/>
        <v>0</v>
      </c>
      <c r="I61" s="45">
        <f t="shared" si="7"/>
        <v>80</v>
      </c>
      <c r="J61" s="46">
        <f t="shared" si="7"/>
        <v>0</v>
      </c>
      <c r="K61" s="45">
        <f>K62</f>
        <v>0</v>
      </c>
      <c r="L61" s="46">
        <f t="shared" si="7"/>
        <v>0</v>
      </c>
      <c r="M61" s="45">
        <f t="shared" si="7"/>
        <v>80</v>
      </c>
      <c r="N61" s="45">
        <f t="shared" si="7"/>
        <v>0</v>
      </c>
      <c r="O61" s="45">
        <f t="shared" si="7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 t="shared" si="7"/>
        <v>80</v>
      </c>
      <c r="H62" s="45">
        <f t="shared" si="7"/>
        <v>0</v>
      </c>
      <c r="I62" s="45">
        <f t="shared" si="7"/>
        <v>80</v>
      </c>
      <c r="J62" s="46">
        <f t="shared" si="7"/>
        <v>0</v>
      </c>
      <c r="K62" s="45">
        <f>K63</f>
        <v>0</v>
      </c>
      <c r="L62" s="46">
        <f t="shared" si="7"/>
        <v>0</v>
      </c>
      <c r="M62" s="45">
        <f t="shared" si="7"/>
        <v>80</v>
      </c>
      <c r="N62" s="45">
        <f t="shared" si="7"/>
        <v>0</v>
      </c>
      <c r="O62" s="45">
        <f t="shared" si="7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7"/>
        <v>0</v>
      </c>
      <c r="K63" s="45"/>
      <c r="L63" s="46">
        <f t="shared" si="7"/>
        <v>0</v>
      </c>
      <c r="M63" s="45">
        <f t="shared" si="7"/>
        <v>80</v>
      </c>
      <c r="N63" s="45">
        <f t="shared" si="7"/>
        <v>0</v>
      </c>
      <c r="O63" s="45">
        <f t="shared" si="7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O68" si="8">G66</f>
        <v>3500</v>
      </c>
      <c r="H65" s="45">
        <f t="shared" si="8"/>
        <v>0</v>
      </c>
      <c r="I65" s="45">
        <f t="shared" si="8"/>
        <v>3500</v>
      </c>
      <c r="J65" s="46">
        <f t="shared" si="8"/>
        <v>0</v>
      </c>
      <c r="K65" s="45">
        <f>K66</f>
        <v>0</v>
      </c>
      <c r="L65" s="46">
        <f t="shared" si="8"/>
        <v>0</v>
      </c>
      <c r="M65" s="45">
        <f t="shared" si="8"/>
        <v>3500</v>
      </c>
      <c r="N65" s="45">
        <f t="shared" si="8"/>
        <v>0</v>
      </c>
      <c r="O65" s="45">
        <f t="shared" si="8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8"/>
        <v>3500</v>
      </c>
      <c r="H66" s="45">
        <f t="shared" si="8"/>
        <v>0</v>
      </c>
      <c r="I66" s="45">
        <f t="shared" si="8"/>
        <v>3500</v>
      </c>
      <c r="J66" s="46">
        <f t="shared" si="8"/>
        <v>0</v>
      </c>
      <c r="K66" s="45">
        <f>K67</f>
        <v>0</v>
      </c>
      <c r="L66" s="46">
        <f t="shared" si="8"/>
        <v>0</v>
      </c>
      <c r="M66" s="45">
        <f t="shared" si="8"/>
        <v>3500</v>
      </c>
      <c r="N66" s="45">
        <f t="shared" si="8"/>
        <v>0</v>
      </c>
      <c r="O66" s="45">
        <f t="shared" si="8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8"/>
        <v>3500</v>
      </c>
      <c r="H67" s="45">
        <f t="shared" si="8"/>
        <v>0</v>
      </c>
      <c r="I67" s="45">
        <f t="shared" si="8"/>
        <v>3500</v>
      </c>
      <c r="J67" s="46">
        <f t="shared" si="8"/>
        <v>0</v>
      </c>
      <c r="K67" s="45">
        <f>K68</f>
        <v>0</v>
      </c>
      <c r="L67" s="46">
        <f t="shared" si="8"/>
        <v>0</v>
      </c>
      <c r="M67" s="45">
        <f t="shared" si="8"/>
        <v>3500</v>
      </c>
      <c r="N67" s="45">
        <f t="shared" si="8"/>
        <v>0</v>
      </c>
      <c r="O67" s="45">
        <f t="shared" si="8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8"/>
        <v>0</v>
      </c>
      <c r="K68" s="45"/>
      <c r="L68" s="46">
        <f t="shared" si="8"/>
        <v>0</v>
      </c>
      <c r="M68" s="45">
        <f t="shared" si="8"/>
        <v>3500</v>
      </c>
      <c r="N68" s="45">
        <f t="shared" si="8"/>
        <v>0</v>
      </c>
      <c r="O68" s="45">
        <f t="shared" si="8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</f>
        <v>0</v>
      </c>
      <c r="I70" s="45">
        <f>I71+I77+I81</f>
        <v>5172</v>
      </c>
      <c r="J70" s="46">
        <f>J71+J77+J81</f>
        <v>0</v>
      </c>
      <c r="K70" s="45">
        <f>K71</f>
        <v>0</v>
      </c>
      <c r="L70" s="46">
        <f>L71+L77+L81</f>
        <v>0</v>
      </c>
      <c r="M70" s="45">
        <f>M71+M77+M81</f>
        <v>5172</v>
      </c>
      <c r="N70" s="45">
        <f>N71+N77+N81</f>
        <v>0</v>
      </c>
      <c r="O70" s="45">
        <f>O71+O77+O81</f>
        <v>5172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/>
      <c r="I75" s="45">
        <f>I76</f>
        <v>10</v>
      </c>
      <c r="J75" s="46">
        <f>J76</f>
        <v>0</v>
      </c>
      <c r="K75" s="45"/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O79" si="9">G78</f>
        <v>150</v>
      </c>
      <c r="H77" s="45">
        <f t="shared" si="9"/>
        <v>0</v>
      </c>
      <c r="I77" s="45">
        <f t="shared" si="9"/>
        <v>150</v>
      </c>
      <c r="J77" s="46">
        <f t="shared" si="9"/>
        <v>0</v>
      </c>
      <c r="K77" s="45">
        <f>K78</f>
        <v>0</v>
      </c>
      <c r="L77" s="46">
        <f t="shared" si="9"/>
        <v>0</v>
      </c>
      <c r="M77" s="45">
        <f t="shared" si="9"/>
        <v>150</v>
      </c>
      <c r="N77" s="45">
        <f t="shared" si="9"/>
        <v>0</v>
      </c>
      <c r="O77" s="45">
        <f t="shared" si="9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9"/>
        <v>150</v>
      </c>
      <c r="H78" s="45">
        <f t="shared" si="9"/>
        <v>0</v>
      </c>
      <c r="I78" s="45">
        <f t="shared" si="9"/>
        <v>150</v>
      </c>
      <c r="J78" s="46">
        <f t="shared" si="9"/>
        <v>0</v>
      </c>
      <c r="K78" s="45">
        <f>K79</f>
        <v>0</v>
      </c>
      <c r="L78" s="46">
        <f t="shared" si="9"/>
        <v>0</v>
      </c>
      <c r="M78" s="45">
        <f t="shared" si="9"/>
        <v>150</v>
      </c>
      <c r="N78" s="45">
        <f t="shared" si="9"/>
        <v>0</v>
      </c>
      <c r="O78" s="45">
        <f t="shared" si="9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9"/>
        <v>0</v>
      </c>
      <c r="K79" s="45"/>
      <c r="L79" s="46">
        <f t="shared" si="9"/>
        <v>0</v>
      </c>
      <c r="M79" s="45">
        <f t="shared" si="9"/>
        <v>150</v>
      </c>
      <c r="N79" s="45">
        <f t="shared" si="9"/>
        <v>0</v>
      </c>
      <c r="O79" s="45">
        <f t="shared" si="9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10">G82</f>
        <v>2600</v>
      </c>
      <c r="H81" s="45">
        <f t="shared" si="10"/>
        <v>0</v>
      </c>
      <c r="I81" s="45">
        <f t="shared" si="10"/>
        <v>2600</v>
      </c>
      <c r="J81" s="46">
        <f t="shared" si="10"/>
        <v>0</v>
      </c>
      <c r="K81" s="45">
        <f t="shared" si="10"/>
        <v>0</v>
      </c>
      <c r="L81" s="46">
        <f t="shared" si="10"/>
        <v>0</v>
      </c>
      <c r="M81" s="45">
        <f t="shared" si="10"/>
        <v>2600</v>
      </c>
      <c r="N81" s="45">
        <f t="shared" si="10"/>
        <v>0</v>
      </c>
      <c r="O81" s="45">
        <f t="shared" si="10"/>
        <v>2600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10"/>
        <v>2600</v>
      </c>
      <c r="H82" s="45">
        <f>H83+H84</f>
        <v>0</v>
      </c>
      <c r="I82" s="45">
        <f t="shared" si="10"/>
        <v>2600</v>
      </c>
      <c r="J82" s="46">
        <f t="shared" si="10"/>
        <v>0</v>
      </c>
      <c r="K82" s="45">
        <f>K83+K84</f>
        <v>0</v>
      </c>
      <c r="L82" s="46">
        <f t="shared" si="10"/>
        <v>0</v>
      </c>
      <c r="M82" s="45">
        <f t="shared" si="10"/>
        <v>2600</v>
      </c>
      <c r="N82" s="45">
        <f t="shared" si="10"/>
        <v>0</v>
      </c>
      <c r="O82" s="45">
        <f t="shared" si="10"/>
        <v>2600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2600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0</v>
      </c>
      <c r="O83" s="45">
        <f>O84+O85</f>
        <v>2600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/>
      <c r="I84" s="45">
        <v>2536.8000000000002</v>
      </c>
      <c r="J84" s="47">
        <v>0</v>
      </c>
      <c r="K84" s="45"/>
      <c r="L84" s="47">
        <v>0</v>
      </c>
      <c r="M84" s="45">
        <v>2536.8000000000002</v>
      </c>
      <c r="N84" s="45"/>
      <c r="O84" s="45">
        <v>2536.8000000000002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31.5" x14ac:dyDescent="0.2">
      <c r="A86" s="40"/>
      <c r="B86" s="41" t="s">
        <v>128</v>
      </c>
      <c r="C86" s="42" t="s">
        <v>51</v>
      </c>
      <c r="D86" s="43" t="s">
        <v>86</v>
      </c>
      <c r="E86" s="43" t="s">
        <v>129</v>
      </c>
      <c r="F86" s="44" t="s">
        <v>11</v>
      </c>
      <c r="G86" s="45">
        <f>G87+G100</f>
        <v>47548.4</v>
      </c>
      <c r="H86" s="45">
        <f>H87+H92+H97</f>
        <v>0</v>
      </c>
      <c r="I86" s="45">
        <f>I87+I100</f>
        <v>47548.4</v>
      </c>
      <c r="J86" s="46">
        <f>J87+J100</f>
        <v>0</v>
      </c>
      <c r="K86" s="45">
        <f>K87+K92</f>
        <v>0</v>
      </c>
      <c r="L86" s="46">
        <f>L87+L100</f>
        <v>0</v>
      </c>
      <c r="M86" s="45">
        <f>M87+M100</f>
        <v>47548.4</v>
      </c>
      <c r="N86" s="45">
        <f>N87+N100</f>
        <v>0</v>
      </c>
      <c r="O86" s="45">
        <f>O87+O100</f>
        <v>47548.4</v>
      </c>
      <c r="P86" s="16"/>
    </row>
    <row r="87" spans="1:16" ht="15.75" x14ac:dyDescent="0.2">
      <c r="A87" s="40"/>
      <c r="B87" s="41" t="s">
        <v>130</v>
      </c>
      <c r="C87" s="42" t="s">
        <v>51</v>
      </c>
      <c r="D87" s="43" t="s">
        <v>86</v>
      </c>
      <c r="E87" s="43" t="s">
        <v>131</v>
      </c>
      <c r="F87" s="44" t="s">
        <v>11</v>
      </c>
      <c r="G87" s="45">
        <f>G88+G93</f>
        <v>47348.4</v>
      </c>
      <c r="H87" s="45">
        <f>H88</f>
        <v>0</v>
      </c>
      <c r="I87" s="45">
        <f>I88+I93</f>
        <v>47348.4</v>
      </c>
      <c r="J87" s="46">
        <f>J88+J93</f>
        <v>0</v>
      </c>
      <c r="K87" s="45">
        <f>K88</f>
        <v>0</v>
      </c>
      <c r="L87" s="46">
        <f>L88+L93</f>
        <v>0</v>
      </c>
      <c r="M87" s="45">
        <f>M88+M93</f>
        <v>47348.4</v>
      </c>
      <c r="N87" s="45">
        <f>N88+N93</f>
        <v>0</v>
      </c>
      <c r="O87" s="45">
        <f>O88+O93</f>
        <v>47348.4</v>
      </c>
      <c r="P87" s="16"/>
    </row>
    <row r="88" spans="1:16" ht="15.75" x14ac:dyDescent="0.2">
      <c r="A88" s="40"/>
      <c r="B88" s="41" t="s">
        <v>132</v>
      </c>
      <c r="C88" s="42" t="s">
        <v>51</v>
      </c>
      <c r="D88" s="43" t="s">
        <v>86</v>
      </c>
      <c r="E88" s="43" t="s">
        <v>133</v>
      </c>
      <c r="F88" s="44" t="s">
        <v>11</v>
      </c>
      <c r="G88" s="45">
        <f>G89</f>
        <v>36467.9</v>
      </c>
      <c r="H88" s="45">
        <f>H89+H90+H91</f>
        <v>0</v>
      </c>
      <c r="I88" s="45">
        <f>I89</f>
        <v>36467.9</v>
      </c>
      <c r="J88" s="46">
        <f>J89</f>
        <v>0</v>
      </c>
      <c r="K88" s="45">
        <f>K89+K90+K91</f>
        <v>0</v>
      </c>
      <c r="L88" s="46">
        <f>L89</f>
        <v>0</v>
      </c>
      <c r="M88" s="45">
        <f>M89</f>
        <v>36467.9</v>
      </c>
      <c r="N88" s="45">
        <f>N89</f>
        <v>0</v>
      </c>
      <c r="O88" s="45">
        <f>O89</f>
        <v>36467.9</v>
      </c>
    </row>
    <row r="89" spans="1:16" ht="31.5" x14ac:dyDescent="0.2">
      <c r="A89" s="40"/>
      <c r="B89" s="41" t="s">
        <v>134</v>
      </c>
      <c r="C89" s="42" t="s">
        <v>51</v>
      </c>
      <c r="D89" s="43" t="s">
        <v>86</v>
      </c>
      <c r="E89" s="43" t="s">
        <v>135</v>
      </c>
      <c r="F89" s="44" t="s">
        <v>11</v>
      </c>
      <c r="G89" s="45">
        <f>G90+G91+G92</f>
        <v>36467.9</v>
      </c>
      <c r="H89" s="45"/>
      <c r="I89" s="45">
        <f>I90+I91+I92</f>
        <v>36467.9</v>
      </c>
      <c r="J89" s="46">
        <f>J90+J91+J92</f>
        <v>0</v>
      </c>
      <c r="K89" s="45"/>
      <c r="L89" s="46">
        <f>L90+L91+L92</f>
        <v>0</v>
      </c>
      <c r="M89" s="45">
        <f>M90+M91+M92</f>
        <v>36467.9</v>
      </c>
      <c r="N89" s="45">
        <f>N90+N91+N92</f>
        <v>0</v>
      </c>
      <c r="O89" s="45">
        <f>O90+O91+O92</f>
        <v>36467.9</v>
      </c>
      <c r="P89" s="16"/>
    </row>
    <row r="90" spans="1:16" ht="78.75" x14ac:dyDescent="0.2">
      <c r="A90" s="40"/>
      <c r="B90" s="41" t="s">
        <v>61</v>
      </c>
      <c r="C90" s="42" t="s">
        <v>51</v>
      </c>
      <c r="D90" s="43" t="s">
        <v>86</v>
      </c>
      <c r="E90" s="43" t="s">
        <v>135</v>
      </c>
      <c r="F90" s="44" t="s">
        <v>62</v>
      </c>
      <c r="G90" s="45">
        <v>25539</v>
      </c>
      <c r="H90" s="45"/>
      <c r="I90" s="45">
        <f>SUM(G90)</f>
        <v>25539</v>
      </c>
      <c r="J90" s="47">
        <v>0</v>
      </c>
      <c r="K90" s="45"/>
      <c r="L90" s="47">
        <v>0</v>
      </c>
      <c r="M90" s="45">
        <f t="shared" ref="M90:O91" si="11">SUM(G90)</f>
        <v>25539</v>
      </c>
      <c r="N90" s="45">
        <f t="shared" si="11"/>
        <v>0</v>
      </c>
      <c r="O90" s="45">
        <f t="shared" si="11"/>
        <v>25539</v>
      </c>
    </row>
    <row r="91" spans="1:16" ht="31.5" x14ac:dyDescent="0.2">
      <c r="A91" s="40"/>
      <c r="B91" s="41" t="s">
        <v>40</v>
      </c>
      <c r="C91" s="42" t="s">
        <v>51</v>
      </c>
      <c r="D91" s="43" t="s">
        <v>86</v>
      </c>
      <c r="E91" s="43" t="s">
        <v>135</v>
      </c>
      <c r="F91" s="44" t="s">
        <v>41</v>
      </c>
      <c r="G91" s="45">
        <v>10851.5</v>
      </c>
      <c r="H91" s="45"/>
      <c r="I91" s="45">
        <f>SUM(G91)</f>
        <v>10851.5</v>
      </c>
      <c r="J91" s="47">
        <v>0</v>
      </c>
      <c r="K91" s="45"/>
      <c r="L91" s="47">
        <v>0</v>
      </c>
      <c r="M91" s="45">
        <f t="shared" si="11"/>
        <v>10851.5</v>
      </c>
      <c r="N91" s="45">
        <f t="shared" si="11"/>
        <v>0</v>
      </c>
      <c r="O91" s="45">
        <f t="shared" si="11"/>
        <v>10851.5</v>
      </c>
    </row>
    <row r="92" spans="1:16" ht="15.75" x14ac:dyDescent="0.2">
      <c r="A92" s="40"/>
      <c r="B92" s="41" t="s">
        <v>70</v>
      </c>
      <c r="C92" s="42" t="s">
        <v>51</v>
      </c>
      <c r="D92" s="43" t="s">
        <v>86</v>
      </c>
      <c r="E92" s="43" t="s">
        <v>135</v>
      </c>
      <c r="F92" s="44" t="s">
        <v>71</v>
      </c>
      <c r="G92" s="45">
        <v>77.400000000000006</v>
      </c>
      <c r="H92" s="45"/>
      <c r="I92" s="45">
        <v>77.400000000000006</v>
      </c>
      <c r="J92" s="47">
        <v>0</v>
      </c>
      <c r="K92" s="45"/>
      <c r="L92" s="47">
        <v>0</v>
      </c>
      <c r="M92" s="45">
        <v>77.400000000000006</v>
      </c>
      <c r="N92" s="45"/>
      <c r="O92" s="45">
        <v>77.400000000000006</v>
      </c>
    </row>
    <row r="93" spans="1:16" ht="31.5" x14ac:dyDescent="0.2">
      <c r="A93" s="40"/>
      <c r="B93" s="41" t="s">
        <v>136</v>
      </c>
      <c r="C93" s="42" t="s">
        <v>51</v>
      </c>
      <c r="D93" s="43" t="s">
        <v>86</v>
      </c>
      <c r="E93" s="43" t="s">
        <v>137</v>
      </c>
      <c r="F93" s="44" t="s">
        <v>11</v>
      </c>
      <c r="G93" s="45">
        <f>G94+G97</f>
        <v>10880.5</v>
      </c>
      <c r="H93" s="45">
        <f>SUM(H97)</f>
        <v>0</v>
      </c>
      <c r="I93" s="45">
        <f>I94+I97</f>
        <v>10880.5</v>
      </c>
      <c r="J93" s="46">
        <f>J94+J97</f>
        <v>0</v>
      </c>
      <c r="K93" s="45">
        <f>K94+K95</f>
        <v>0</v>
      </c>
      <c r="L93" s="46">
        <f>L94+L97</f>
        <v>0</v>
      </c>
      <c r="M93" s="45">
        <f>M94+M97</f>
        <v>10880.5</v>
      </c>
      <c r="N93" s="45">
        <f>N94+N97</f>
        <v>0</v>
      </c>
      <c r="O93" s="45">
        <f>O94+O97</f>
        <v>10880.5</v>
      </c>
      <c r="P93" s="16"/>
    </row>
    <row r="94" spans="1:16" ht="31.5" x14ac:dyDescent="0.2">
      <c r="A94" s="40"/>
      <c r="B94" s="41" t="s">
        <v>134</v>
      </c>
      <c r="C94" s="42" t="s">
        <v>51</v>
      </c>
      <c r="D94" s="43" t="s">
        <v>86</v>
      </c>
      <c r="E94" s="43" t="s">
        <v>138</v>
      </c>
      <c r="F94" s="44" t="s">
        <v>11</v>
      </c>
      <c r="G94" s="45">
        <f>G95+G96</f>
        <v>9205.9</v>
      </c>
      <c r="H94" s="45"/>
      <c r="I94" s="45">
        <f>I95+I96</f>
        <v>9205.9</v>
      </c>
      <c r="J94" s="46">
        <f>J95+J96</f>
        <v>0</v>
      </c>
      <c r="K94" s="45"/>
      <c r="L94" s="46">
        <f>L95+L96</f>
        <v>0</v>
      </c>
      <c r="M94" s="45">
        <f>M95+M96</f>
        <v>9205.9</v>
      </c>
      <c r="N94" s="45">
        <f>N95+N96</f>
        <v>0</v>
      </c>
      <c r="O94" s="45">
        <f>O95+O96</f>
        <v>9205.9</v>
      </c>
    </row>
    <row r="95" spans="1:16" ht="78.75" x14ac:dyDescent="0.2">
      <c r="A95" s="40"/>
      <c r="B95" s="41" t="s">
        <v>61</v>
      </c>
      <c r="C95" s="42" t="s">
        <v>51</v>
      </c>
      <c r="D95" s="43" t="s">
        <v>86</v>
      </c>
      <c r="E95" s="43" t="s">
        <v>138</v>
      </c>
      <c r="F95" s="44" t="s">
        <v>62</v>
      </c>
      <c r="G95" s="45">
        <v>8505.9</v>
      </c>
      <c r="H95" s="45"/>
      <c r="I95" s="45">
        <v>8505.9</v>
      </c>
      <c r="J95" s="47">
        <v>0</v>
      </c>
      <c r="K95" s="45"/>
      <c r="L95" s="47">
        <v>0</v>
      </c>
      <c r="M95" s="45">
        <v>8505.9</v>
      </c>
      <c r="N95" s="45"/>
      <c r="O95" s="45">
        <v>8505.9</v>
      </c>
    </row>
    <row r="96" spans="1:16" ht="31.5" x14ac:dyDescent="0.2">
      <c r="A96" s="40"/>
      <c r="B96" s="41" t="s">
        <v>40</v>
      </c>
      <c r="C96" s="42" t="s">
        <v>51</v>
      </c>
      <c r="D96" s="43" t="s">
        <v>86</v>
      </c>
      <c r="E96" s="43" t="s">
        <v>138</v>
      </c>
      <c r="F96" s="44" t="s">
        <v>41</v>
      </c>
      <c r="G96" s="45">
        <v>700</v>
      </c>
      <c r="H96" s="45"/>
      <c r="I96" s="45">
        <v>700</v>
      </c>
      <c r="J96" s="47">
        <v>0</v>
      </c>
      <c r="K96" s="45"/>
      <c r="L96" s="47">
        <v>0</v>
      </c>
      <c r="M96" s="45">
        <v>700</v>
      </c>
      <c r="N96" s="45"/>
      <c r="O96" s="45">
        <v>700</v>
      </c>
    </row>
    <row r="97" spans="1:16" ht="47.25" x14ac:dyDescent="0.2">
      <c r="A97" s="40"/>
      <c r="B97" s="41" t="s">
        <v>139</v>
      </c>
      <c r="C97" s="42" t="s">
        <v>51</v>
      </c>
      <c r="D97" s="43" t="s">
        <v>86</v>
      </c>
      <c r="E97" s="43" t="s">
        <v>140</v>
      </c>
      <c r="F97" s="44" t="s">
        <v>11</v>
      </c>
      <c r="G97" s="45">
        <f>G98+G99</f>
        <v>1674.6</v>
      </c>
      <c r="H97" s="45">
        <f>SUM(H98)</f>
        <v>0</v>
      </c>
      <c r="I97" s="45">
        <f>I98+I99</f>
        <v>1674.6</v>
      </c>
      <c r="J97" s="46">
        <f>J98+J99</f>
        <v>0</v>
      </c>
      <c r="K97" s="45"/>
      <c r="L97" s="46">
        <f>L98+L99</f>
        <v>0</v>
      </c>
      <c r="M97" s="45">
        <f>M98+M99</f>
        <v>1674.6</v>
      </c>
      <c r="N97" s="45">
        <f>N98+N99</f>
        <v>0</v>
      </c>
      <c r="O97" s="45">
        <f>O98+O99</f>
        <v>1674.6</v>
      </c>
    </row>
    <row r="98" spans="1:16" ht="31.5" x14ac:dyDescent="0.2">
      <c r="A98" s="40"/>
      <c r="B98" s="41" t="s">
        <v>40</v>
      </c>
      <c r="C98" s="42" t="s">
        <v>51</v>
      </c>
      <c r="D98" s="43" t="s">
        <v>86</v>
      </c>
      <c r="E98" s="43" t="s">
        <v>140</v>
      </c>
      <c r="F98" s="44" t="s">
        <v>41</v>
      </c>
      <c r="G98" s="45">
        <v>855</v>
      </c>
      <c r="H98" s="45"/>
      <c r="I98" s="45">
        <f>SUM(G98)</f>
        <v>855</v>
      </c>
      <c r="J98" s="47">
        <v>0</v>
      </c>
      <c r="K98" s="45"/>
      <c r="L98" s="47">
        <v>0</v>
      </c>
      <c r="M98" s="45">
        <f>SUM(G98)</f>
        <v>855</v>
      </c>
      <c r="N98" s="45">
        <f>SUM(H98)</f>
        <v>0</v>
      </c>
      <c r="O98" s="45">
        <f>SUM(I98)</f>
        <v>855</v>
      </c>
    </row>
    <row r="99" spans="1:16" ht="15.75" x14ac:dyDescent="0.2">
      <c r="A99" s="40"/>
      <c r="B99" s="41" t="s">
        <v>70</v>
      </c>
      <c r="C99" s="42" t="s">
        <v>51</v>
      </c>
      <c r="D99" s="43" t="s">
        <v>86</v>
      </c>
      <c r="E99" s="43" t="s">
        <v>140</v>
      </c>
      <c r="F99" s="44" t="s">
        <v>71</v>
      </c>
      <c r="G99" s="45">
        <f>74.4+745.2</f>
        <v>819.6</v>
      </c>
      <c r="H99" s="45"/>
      <c r="I99" s="45">
        <f>74.4+745.2</f>
        <v>819.6</v>
      </c>
      <c r="J99" s="47">
        <v>0</v>
      </c>
      <c r="K99" s="45"/>
      <c r="L99" s="47">
        <v>0</v>
      </c>
      <c r="M99" s="45">
        <f>74.4+745.2</f>
        <v>819.6</v>
      </c>
      <c r="N99" s="45"/>
      <c r="O99" s="45">
        <f>74.4+745.2</f>
        <v>819.6</v>
      </c>
    </row>
    <row r="100" spans="1:16" ht="15.75" x14ac:dyDescent="0.2">
      <c r="A100" s="40"/>
      <c r="B100" s="41" t="s">
        <v>141</v>
      </c>
      <c r="C100" s="42" t="s">
        <v>51</v>
      </c>
      <c r="D100" s="43" t="s">
        <v>86</v>
      </c>
      <c r="E100" s="43" t="s">
        <v>142</v>
      </c>
      <c r="F100" s="44" t="s">
        <v>11</v>
      </c>
      <c r="G100" s="45">
        <f t="shared" ref="G100:O102" si="12">G101</f>
        <v>200</v>
      </c>
      <c r="H100" s="45">
        <f t="shared" si="12"/>
        <v>0</v>
      </c>
      <c r="I100" s="45">
        <f t="shared" si="12"/>
        <v>200</v>
      </c>
      <c r="J100" s="46">
        <f t="shared" si="12"/>
        <v>0</v>
      </c>
      <c r="K100" s="45">
        <f>K101</f>
        <v>0</v>
      </c>
      <c r="L100" s="46">
        <f t="shared" si="12"/>
        <v>0</v>
      </c>
      <c r="M100" s="45">
        <f t="shared" si="12"/>
        <v>200</v>
      </c>
      <c r="N100" s="45">
        <f t="shared" si="12"/>
        <v>0</v>
      </c>
      <c r="O100" s="45">
        <f t="shared" si="12"/>
        <v>200</v>
      </c>
    </row>
    <row r="101" spans="1:16" ht="47.25" x14ac:dyDescent="0.2">
      <c r="A101" s="40"/>
      <c r="B101" s="41" t="s">
        <v>143</v>
      </c>
      <c r="C101" s="42" t="s">
        <v>51</v>
      </c>
      <c r="D101" s="43" t="s">
        <v>86</v>
      </c>
      <c r="E101" s="43" t="s">
        <v>144</v>
      </c>
      <c r="F101" s="44" t="s">
        <v>11</v>
      </c>
      <c r="G101" s="45">
        <f t="shared" si="12"/>
        <v>200</v>
      </c>
      <c r="H101" s="45">
        <f t="shared" si="12"/>
        <v>0</v>
      </c>
      <c r="I101" s="45">
        <f t="shared" si="12"/>
        <v>200</v>
      </c>
      <c r="J101" s="46">
        <f t="shared" si="12"/>
        <v>0</v>
      </c>
      <c r="K101" s="45">
        <f>K102</f>
        <v>0</v>
      </c>
      <c r="L101" s="46">
        <f t="shared" si="12"/>
        <v>0</v>
      </c>
      <c r="M101" s="45">
        <f t="shared" si="12"/>
        <v>200</v>
      </c>
      <c r="N101" s="45">
        <f t="shared" si="12"/>
        <v>0</v>
      </c>
      <c r="O101" s="45">
        <f t="shared" si="12"/>
        <v>200</v>
      </c>
    </row>
    <row r="102" spans="1:16" ht="31.5" x14ac:dyDescent="0.2">
      <c r="A102" s="40"/>
      <c r="B102" s="41" t="s">
        <v>145</v>
      </c>
      <c r="C102" s="42" t="s">
        <v>51</v>
      </c>
      <c r="D102" s="43" t="s">
        <v>86</v>
      </c>
      <c r="E102" s="43" t="s">
        <v>146</v>
      </c>
      <c r="F102" s="44" t="s">
        <v>11</v>
      </c>
      <c r="G102" s="45">
        <f>G103</f>
        <v>200</v>
      </c>
      <c r="H102" s="45"/>
      <c r="I102" s="45">
        <f>I103</f>
        <v>200</v>
      </c>
      <c r="J102" s="46">
        <f t="shared" si="12"/>
        <v>0</v>
      </c>
      <c r="K102" s="45"/>
      <c r="L102" s="46">
        <f t="shared" si="12"/>
        <v>0</v>
      </c>
      <c r="M102" s="45">
        <f t="shared" si="12"/>
        <v>200</v>
      </c>
      <c r="N102" s="45">
        <f t="shared" si="12"/>
        <v>0</v>
      </c>
      <c r="O102" s="45">
        <f t="shared" si="12"/>
        <v>200</v>
      </c>
    </row>
    <row r="103" spans="1:16" ht="31.5" x14ac:dyDescent="0.2">
      <c r="A103" s="40"/>
      <c r="B103" s="41" t="s">
        <v>40</v>
      </c>
      <c r="C103" s="42" t="s">
        <v>51</v>
      </c>
      <c r="D103" s="43" t="s">
        <v>86</v>
      </c>
      <c r="E103" s="43" t="s">
        <v>146</v>
      </c>
      <c r="F103" s="44" t="s">
        <v>41</v>
      </c>
      <c r="G103" s="45">
        <v>200</v>
      </c>
      <c r="H103" s="45"/>
      <c r="I103" s="45">
        <v>200</v>
      </c>
      <c r="J103" s="47">
        <v>0</v>
      </c>
      <c r="K103" s="45">
        <f>K104</f>
        <v>0</v>
      </c>
      <c r="L103" s="47">
        <v>0</v>
      </c>
      <c r="M103" s="45">
        <v>200</v>
      </c>
      <c r="N103" s="45"/>
      <c r="O103" s="45">
        <v>200</v>
      </c>
    </row>
    <row r="104" spans="1:16" ht="1.5" customHeight="1" x14ac:dyDescent="0.2">
      <c r="A104" s="40"/>
      <c r="B104" s="41" t="s">
        <v>147</v>
      </c>
      <c r="C104" s="42" t="s">
        <v>51</v>
      </c>
      <c r="D104" s="43" t="s">
        <v>86</v>
      </c>
      <c r="E104" s="43" t="s">
        <v>148</v>
      </c>
      <c r="F104" s="44" t="s">
        <v>11</v>
      </c>
      <c r="G104" s="45">
        <f t="shared" ref="G104:O106" si="13">G105</f>
        <v>45.9</v>
      </c>
      <c r="H104" s="45">
        <f t="shared" si="13"/>
        <v>519.20000000000005</v>
      </c>
      <c r="I104" s="45">
        <f t="shared" si="13"/>
        <v>565.1</v>
      </c>
      <c r="J104" s="46">
        <f t="shared" si="13"/>
        <v>0</v>
      </c>
      <c r="K104" s="45">
        <f>K105</f>
        <v>0</v>
      </c>
      <c r="L104" s="46">
        <f t="shared" si="13"/>
        <v>0</v>
      </c>
      <c r="M104" s="45">
        <f t="shared" si="13"/>
        <v>45.9</v>
      </c>
      <c r="N104" s="45">
        <f t="shared" si="13"/>
        <v>519.20000000000005</v>
      </c>
      <c r="O104" s="45">
        <f t="shared" si="13"/>
        <v>565.1</v>
      </c>
    </row>
    <row r="105" spans="1:16" ht="31.5" x14ac:dyDescent="0.2">
      <c r="A105" s="40"/>
      <c r="B105" s="41" t="s">
        <v>149</v>
      </c>
      <c r="C105" s="42" t="s">
        <v>51</v>
      </c>
      <c r="D105" s="43" t="s">
        <v>86</v>
      </c>
      <c r="E105" s="43" t="s">
        <v>150</v>
      </c>
      <c r="F105" s="44" t="s">
        <v>11</v>
      </c>
      <c r="G105" s="45">
        <f t="shared" si="13"/>
        <v>45.9</v>
      </c>
      <c r="H105" s="45">
        <f t="shared" si="13"/>
        <v>519.20000000000005</v>
      </c>
      <c r="I105" s="45">
        <f t="shared" si="13"/>
        <v>565.1</v>
      </c>
      <c r="J105" s="46">
        <f t="shared" si="13"/>
        <v>0</v>
      </c>
      <c r="K105" s="45">
        <f>K106</f>
        <v>0</v>
      </c>
      <c r="L105" s="46">
        <f t="shared" si="13"/>
        <v>0</v>
      </c>
      <c r="M105" s="45">
        <f t="shared" si="13"/>
        <v>45.9</v>
      </c>
      <c r="N105" s="45">
        <f t="shared" si="13"/>
        <v>519.20000000000005</v>
      </c>
      <c r="O105" s="45">
        <f t="shared" si="13"/>
        <v>565.1</v>
      </c>
    </row>
    <row r="106" spans="1:16" ht="31.5" x14ac:dyDescent="0.2">
      <c r="A106" s="40"/>
      <c r="B106" s="41" t="s">
        <v>151</v>
      </c>
      <c r="C106" s="42" t="s">
        <v>51</v>
      </c>
      <c r="D106" s="43" t="s">
        <v>86</v>
      </c>
      <c r="E106" s="43" t="s">
        <v>152</v>
      </c>
      <c r="F106" s="44" t="s">
        <v>11</v>
      </c>
      <c r="G106" s="45">
        <f>G107</f>
        <v>45.9</v>
      </c>
      <c r="H106" s="45">
        <f>SUM(H107)</f>
        <v>519.20000000000005</v>
      </c>
      <c r="I106" s="45">
        <f>I107</f>
        <v>565.1</v>
      </c>
      <c r="J106" s="46">
        <f t="shared" si="13"/>
        <v>0</v>
      </c>
      <c r="K106" s="45"/>
      <c r="L106" s="46">
        <f t="shared" si="13"/>
        <v>0</v>
      </c>
      <c r="M106" s="45">
        <f t="shared" si="13"/>
        <v>45.9</v>
      </c>
      <c r="N106" s="45">
        <f t="shared" si="13"/>
        <v>519.20000000000005</v>
      </c>
      <c r="O106" s="45">
        <f t="shared" si="13"/>
        <v>565.1</v>
      </c>
    </row>
    <row r="107" spans="1:16" ht="22.5" customHeight="1" x14ac:dyDescent="0.2">
      <c r="A107" s="40"/>
      <c r="B107" s="41" t="s">
        <v>70</v>
      </c>
      <c r="C107" s="42" t="s">
        <v>51</v>
      </c>
      <c r="D107" s="43" t="s">
        <v>86</v>
      </c>
      <c r="E107" s="43" t="s">
        <v>152</v>
      </c>
      <c r="F107" s="44" t="s">
        <v>71</v>
      </c>
      <c r="G107" s="45">
        <v>45.9</v>
      </c>
      <c r="H107" s="45">
        <f>55+224.2+240</f>
        <v>519.20000000000005</v>
      </c>
      <c r="I107" s="45">
        <f>38.6+7.3+H107</f>
        <v>565.1</v>
      </c>
      <c r="J107" s="47">
        <v>0</v>
      </c>
      <c r="K107" s="25">
        <f>K108+K138</f>
        <v>0</v>
      </c>
      <c r="L107" s="47">
        <v>0</v>
      </c>
      <c r="M107" s="45">
        <f>SUM(G107)</f>
        <v>45.9</v>
      </c>
      <c r="N107" s="45">
        <f>SUM(H107)</f>
        <v>519.20000000000005</v>
      </c>
      <c r="O107" s="80">
        <f>SUM(I107)</f>
        <v>565.1</v>
      </c>
    </row>
    <row r="108" spans="1:16" ht="31.5" x14ac:dyDescent="0.2">
      <c r="A108" s="20" t="s">
        <v>153</v>
      </c>
      <c r="B108" s="21" t="s">
        <v>154</v>
      </c>
      <c r="C108" s="22" t="s">
        <v>51</v>
      </c>
      <c r="D108" s="23" t="s">
        <v>155</v>
      </c>
      <c r="E108" s="23" t="s">
        <v>11</v>
      </c>
      <c r="F108" s="24" t="s">
        <v>11</v>
      </c>
      <c r="G108" s="25">
        <f>G109+G139</f>
        <v>39640</v>
      </c>
      <c r="H108" s="38">
        <f>H109+H139</f>
        <v>3589.1000000000004</v>
      </c>
      <c r="I108" s="25">
        <f>I109+I139</f>
        <v>43229.100000000006</v>
      </c>
      <c r="J108" s="26">
        <f>J109+J139</f>
        <v>0</v>
      </c>
      <c r="K108" s="38">
        <f>K109</f>
        <v>0</v>
      </c>
      <c r="L108" s="26">
        <f>L109+L139</f>
        <v>0</v>
      </c>
      <c r="M108" s="25">
        <f>M109+M139</f>
        <v>39640</v>
      </c>
      <c r="N108" s="25">
        <f>N109+N139</f>
        <v>3589.1000000000004</v>
      </c>
      <c r="O108" s="25">
        <f>O109+O139</f>
        <v>43229.100000000006</v>
      </c>
      <c r="P108" s="17"/>
    </row>
    <row r="109" spans="1:16" ht="63" x14ac:dyDescent="0.2">
      <c r="A109" s="33" t="s">
        <v>156</v>
      </c>
      <c r="B109" s="34" t="s">
        <v>157</v>
      </c>
      <c r="C109" s="35" t="s">
        <v>51</v>
      </c>
      <c r="D109" s="36" t="s">
        <v>158</v>
      </c>
      <c r="E109" s="36" t="s">
        <v>11</v>
      </c>
      <c r="F109" s="37" t="s">
        <v>11</v>
      </c>
      <c r="G109" s="38">
        <f>G110</f>
        <v>34163.699999999997</v>
      </c>
      <c r="H109" s="45">
        <f>H110+H126+H127</f>
        <v>3022.1000000000004</v>
      </c>
      <c r="I109" s="38">
        <f>I110+I127</f>
        <v>37185.800000000003</v>
      </c>
      <c r="J109" s="39">
        <f>J110</f>
        <v>0</v>
      </c>
      <c r="K109" s="45">
        <f>K110+K126+K134</f>
        <v>0</v>
      </c>
      <c r="L109" s="39">
        <f>L110</f>
        <v>0</v>
      </c>
      <c r="M109" s="38">
        <f>M110</f>
        <v>34163.699999999997</v>
      </c>
      <c r="N109" s="38">
        <f>SUM(H109)</f>
        <v>3022.1000000000004</v>
      </c>
      <c r="O109" s="38">
        <f>O110+O127</f>
        <v>37185.800000000003</v>
      </c>
    </row>
    <row r="110" spans="1:16" ht="31.5" x14ac:dyDescent="0.2">
      <c r="A110" s="40"/>
      <c r="B110" s="41" t="s">
        <v>159</v>
      </c>
      <c r="C110" s="42" t="s">
        <v>51</v>
      </c>
      <c r="D110" s="43" t="s">
        <v>158</v>
      </c>
      <c r="E110" s="43" t="s">
        <v>160</v>
      </c>
      <c r="F110" s="44" t="s">
        <v>11</v>
      </c>
      <c r="G110" s="45">
        <f>G111+G131+G135</f>
        <v>34163.699999999997</v>
      </c>
      <c r="H110" s="45">
        <f>H111+H120+H123+H131</f>
        <v>2258.8000000000002</v>
      </c>
      <c r="I110" s="45">
        <f>I111+I131+I135</f>
        <v>36422.5</v>
      </c>
      <c r="J110" s="46">
        <f>J111+J131+J135</f>
        <v>0</v>
      </c>
      <c r="K110" s="45">
        <f>K111+K120+K123</f>
        <v>0</v>
      </c>
      <c r="L110" s="46">
        <f>L111+L131+L135</f>
        <v>0</v>
      </c>
      <c r="M110" s="45">
        <f>M111+M131+M135</f>
        <v>34163.699999999997</v>
      </c>
      <c r="N110" s="45">
        <f>N111+N131+N135</f>
        <v>2258.8000000000002</v>
      </c>
      <c r="O110" s="45">
        <f>O111+O131+O135</f>
        <v>36422.5</v>
      </c>
      <c r="P110" s="16"/>
    </row>
    <row r="111" spans="1:16" ht="63" x14ac:dyDescent="0.2">
      <c r="A111" s="40"/>
      <c r="B111" s="41" t="s">
        <v>161</v>
      </c>
      <c r="C111" s="42" t="s">
        <v>51</v>
      </c>
      <c r="D111" s="43" t="s">
        <v>158</v>
      </c>
      <c r="E111" s="43" t="s">
        <v>162</v>
      </c>
      <c r="F111" s="44" t="s">
        <v>11</v>
      </c>
      <c r="G111" s="45">
        <f>G112+G121+G124</f>
        <v>30402.799999999999</v>
      </c>
      <c r="H111" s="45">
        <f>H112</f>
        <v>2258.8000000000002</v>
      </c>
      <c r="I111" s="45">
        <f>I112+I121+I124</f>
        <v>32661.599999999999</v>
      </c>
      <c r="J111" s="46">
        <f>J112+J121+J124</f>
        <v>0</v>
      </c>
      <c r="K111" s="45">
        <f>K112+K116+K118</f>
        <v>0</v>
      </c>
      <c r="L111" s="46">
        <f>L112+L121+L124</f>
        <v>0</v>
      </c>
      <c r="M111" s="45">
        <f>M112+M121+M124</f>
        <v>30402.799999999999</v>
      </c>
      <c r="N111" s="45">
        <f>N112+N121+N124</f>
        <v>2258.8000000000002</v>
      </c>
      <c r="O111" s="45">
        <f>O112+O121+O124</f>
        <v>32661.599999999999</v>
      </c>
      <c r="P111" s="16"/>
    </row>
    <row r="112" spans="1:16" ht="63" x14ac:dyDescent="0.2">
      <c r="A112" s="40"/>
      <c r="B112" s="41" t="s">
        <v>163</v>
      </c>
      <c r="C112" s="42" t="s">
        <v>51</v>
      </c>
      <c r="D112" s="43" t="s">
        <v>158</v>
      </c>
      <c r="E112" s="43" t="s">
        <v>164</v>
      </c>
      <c r="F112" s="44" t="s">
        <v>11</v>
      </c>
      <c r="G112" s="45">
        <f>G113+G117+G119</f>
        <v>15302.1</v>
      </c>
      <c r="H112" s="45">
        <f>SUM(H113+H117)</f>
        <v>2258.8000000000002</v>
      </c>
      <c r="I112" s="45">
        <f>I113+I117+I119</f>
        <v>17560.900000000001</v>
      </c>
      <c r="J112" s="46">
        <f>J113+J117+J119</f>
        <v>0</v>
      </c>
      <c r="K112" s="45">
        <f>K113+K114+K115</f>
        <v>0</v>
      </c>
      <c r="L112" s="46">
        <f>L113+L117+L119</f>
        <v>0</v>
      </c>
      <c r="M112" s="45">
        <f>M113+M117+M119</f>
        <v>15302.1</v>
      </c>
      <c r="N112" s="45">
        <f>N113+N117+N119</f>
        <v>2258.8000000000002</v>
      </c>
      <c r="O112" s="45">
        <f>O113+O117+O119</f>
        <v>17560.900000000001</v>
      </c>
      <c r="P112" s="16"/>
    </row>
    <row r="113" spans="1:15" ht="31.5" x14ac:dyDescent="0.2">
      <c r="A113" s="40"/>
      <c r="B113" s="41" t="s">
        <v>134</v>
      </c>
      <c r="C113" s="42" t="s">
        <v>51</v>
      </c>
      <c r="D113" s="43" t="s">
        <v>158</v>
      </c>
      <c r="E113" s="43" t="s">
        <v>165</v>
      </c>
      <c r="F113" s="44" t="s">
        <v>11</v>
      </c>
      <c r="G113" s="45">
        <f>G114+G115+G116</f>
        <v>10737.1</v>
      </c>
      <c r="H113" s="45">
        <f>SUM(H114+H115)</f>
        <v>0</v>
      </c>
      <c r="I113" s="45">
        <f>I114+I115+I116</f>
        <v>10737.1</v>
      </c>
      <c r="J113" s="46">
        <f>J114+J115+J116</f>
        <v>0</v>
      </c>
      <c r="K113" s="45"/>
      <c r="L113" s="46">
        <f>L114+L115+L116</f>
        <v>0</v>
      </c>
      <c r="M113" s="45">
        <f>SUM(G113)</f>
        <v>10737.1</v>
      </c>
      <c r="N113" s="45">
        <f>N114+N115+N116</f>
        <v>0</v>
      </c>
      <c r="O113" s="45">
        <f>SUM(I113)</f>
        <v>10737.1</v>
      </c>
    </row>
    <row r="114" spans="1:15" ht="78.75" x14ac:dyDescent="0.2">
      <c r="A114" s="40"/>
      <c r="B114" s="41" t="s">
        <v>61</v>
      </c>
      <c r="C114" s="42" t="s">
        <v>51</v>
      </c>
      <c r="D114" s="43" t="s">
        <v>158</v>
      </c>
      <c r="E114" s="43" t="s">
        <v>165</v>
      </c>
      <c r="F114" s="44" t="s">
        <v>62</v>
      </c>
      <c r="G114" s="45">
        <v>9374.7000000000007</v>
      </c>
      <c r="H114" s="45"/>
      <c r="I114" s="45">
        <f>SUM(G114)</f>
        <v>9374.7000000000007</v>
      </c>
      <c r="J114" s="47">
        <v>0</v>
      </c>
      <c r="K114" s="45"/>
      <c r="L114" s="47">
        <v>0</v>
      </c>
      <c r="M114" s="45">
        <f>SUM(G114)</f>
        <v>9374.7000000000007</v>
      </c>
      <c r="N114" s="45">
        <f>SUM(H114)</f>
        <v>0</v>
      </c>
      <c r="O114" s="45">
        <f>SUM(I114)</f>
        <v>9374.7000000000007</v>
      </c>
    </row>
    <row r="115" spans="1:15" ht="31.5" x14ac:dyDescent="0.2">
      <c r="A115" s="40"/>
      <c r="B115" s="41" t="s">
        <v>40</v>
      </c>
      <c r="C115" s="42" t="s">
        <v>51</v>
      </c>
      <c r="D115" s="43" t="s">
        <v>158</v>
      </c>
      <c r="E115" s="43" t="s">
        <v>165</v>
      </c>
      <c r="F115" s="44" t="s">
        <v>41</v>
      </c>
      <c r="G115" s="45">
        <v>1339.4</v>
      </c>
      <c r="H115" s="45"/>
      <c r="I115" s="45">
        <f>SUM(G115)</f>
        <v>1339.4</v>
      </c>
      <c r="J115" s="47">
        <v>0</v>
      </c>
      <c r="K115" s="45"/>
      <c r="L115" s="47">
        <v>0</v>
      </c>
      <c r="M115" s="45">
        <f>SUM(G115)</f>
        <v>1339.4</v>
      </c>
      <c r="N115" s="45">
        <f>SUM(H115)</f>
        <v>0</v>
      </c>
      <c r="O115" s="45">
        <f>SUM(I115)</f>
        <v>1339.4</v>
      </c>
    </row>
    <row r="116" spans="1:15" ht="15.75" x14ac:dyDescent="0.2">
      <c r="A116" s="40"/>
      <c r="B116" s="41" t="s">
        <v>70</v>
      </c>
      <c r="C116" s="42" t="s">
        <v>51</v>
      </c>
      <c r="D116" s="43" t="s">
        <v>158</v>
      </c>
      <c r="E116" s="43" t="s">
        <v>165</v>
      </c>
      <c r="F116" s="44" t="s">
        <v>71</v>
      </c>
      <c r="G116" s="45">
        <v>23</v>
      </c>
      <c r="H116" s="45"/>
      <c r="I116" s="45">
        <v>23</v>
      </c>
      <c r="J116" s="47">
        <v>0</v>
      </c>
      <c r="K116" s="45"/>
      <c r="L116" s="47">
        <v>0</v>
      </c>
      <c r="M116" s="45">
        <v>23</v>
      </c>
      <c r="N116" s="45"/>
      <c r="O116" s="45">
        <v>23</v>
      </c>
    </row>
    <row r="117" spans="1:15" ht="63" x14ac:dyDescent="0.2">
      <c r="A117" s="40"/>
      <c r="B117" s="41" t="s">
        <v>166</v>
      </c>
      <c r="C117" s="42" t="s">
        <v>51</v>
      </c>
      <c r="D117" s="43" t="s">
        <v>158</v>
      </c>
      <c r="E117" s="43" t="s">
        <v>167</v>
      </c>
      <c r="F117" s="44" t="s">
        <v>11</v>
      </c>
      <c r="G117" s="45">
        <f>G118</f>
        <v>3565</v>
      </c>
      <c r="H117" s="48">
        <f>SUM(H118)</f>
        <v>2258.8000000000002</v>
      </c>
      <c r="I117" s="45">
        <f>I118</f>
        <v>5823.8</v>
      </c>
      <c r="J117" s="46">
        <f>J118</f>
        <v>0</v>
      </c>
      <c r="K117" s="48"/>
      <c r="L117" s="46">
        <f>L118</f>
        <v>0</v>
      </c>
      <c r="M117" s="45">
        <f>M118</f>
        <v>3565</v>
      </c>
      <c r="N117" s="45">
        <f>N118</f>
        <v>2258.8000000000002</v>
      </c>
      <c r="O117" s="45">
        <f>O118</f>
        <v>5823.8</v>
      </c>
    </row>
    <row r="118" spans="1:15" ht="31.5" x14ac:dyDescent="0.2">
      <c r="A118" s="40"/>
      <c r="B118" s="41" t="s">
        <v>40</v>
      </c>
      <c r="C118" s="42" t="s">
        <v>51</v>
      </c>
      <c r="D118" s="43" t="s">
        <v>158</v>
      </c>
      <c r="E118" s="43" t="s">
        <v>167</v>
      </c>
      <c r="F118" s="44" t="s">
        <v>41</v>
      </c>
      <c r="G118" s="48">
        <v>3565</v>
      </c>
      <c r="H118" s="45">
        <f>1719.9+538.9</f>
        <v>2258.8000000000002</v>
      </c>
      <c r="I118" s="48">
        <f>SUM(G118)+H118</f>
        <v>5823.8</v>
      </c>
      <c r="J118" s="47"/>
      <c r="K118" s="45"/>
      <c r="L118" s="47"/>
      <c r="M118" s="48">
        <f>SUM(G118)</f>
        <v>3565</v>
      </c>
      <c r="N118" s="48">
        <f>SUM(H118)</f>
        <v>2258.8000000000002</v>
      </c>
      <c r="O118" s="48">
        <f>SUM(M118)+N118</f>
        <v>5823.8</v>
      </c>
    </row>
    <row r="119" spans="1:15" ht="63" x14ac:dyDescent="0.2">
      <c r="A119" s="40"/>
      <c r="B119" s="41" t="s">
        <v>168</v>
      </c>
      <c r="C119" s="42" t="s">
        <v>51</v>
      </c>
      <c r="D119" s="43" t="s">
        <v>158</v>
      </c>
      <c r="E119" s="43" t="s">
        <v>169</v>
      </c>
      <c r="F119" s="44" t="s">
        <v>11</v>
      </c>
      <c r="G119" s="45">
        <f>G120</f>
        <v>1000</v>
      </c>
      <c r="H119" s="45"/>
      <c r="I119" s="45">
        <f>I120</f>
        <v>1000</v>
      </c>
      <c r="J119" s="46">
        <f>J120</f>
        <v>0</v>
      </c>
      <c r="K119" s="45"/>
      <c r="L119" s="46">
        <f>L120</f>
        <v>0</v>
      </c>
      <c r="M119" s="45">
        <f>M120</f>
        <v>1000</v>
      </c>
      <c r="N119" s="45">
        <f>N120</f>
        <v>0</v>
      </c>
      <c r="O119" s="45">
        <f>O120</f>
        <v>1000</v>
      </c>
    </row>
    <row r="120" spans="1:15" ht="31.5" x14ac:dyDescent="0.2">
      <c r="A120" s="40"/>
      <c r="B120" s="41" t="s">
        <v>40</v>
      </c>
      <c r="C120" s="42" t="s">
        <v>51</v>
      </c>
      <c r="D120" s="43" t="s">
        <v>158</v>
      </c>
      <c r="E120" s="43" t="s">
        <v>169</v>
      </c>
      <c r="F120" s="44" t="s">
        <v>41</v>
      </c>
      <c r="G120" s="45">
        <v>1000</v>
      </c>
      <c r="H120" s="45"/>
      <c r="I120" s="45">
        <v>1000</v>
      </c>
      <c r="J120" s="47"/>
      <c r="K120" s="45"/>
      <c r="L120" s="47"/>
      <c r="M120" s="45">
        <v>1000</v>
      </c>
      <c r="N120" s="45"/>
      <c r="O120" s="45">
        <v>1000</v>
      </c>
    </row>
    <row r="121" spans="1:15" ht="37.9" customHeight="1" x14ac:dyDescent="0.2">
      <c r="A121" s="40"/>
      <c r="B121" s="41" t="s">
        <v>170</v>
      </c>
      <c r="C121" s="42" t="s">
        <v>51</v>
      </c>
      <c r="D121" s="43" t="s">
        <v>158</v>
      </c>
      <c r="E121" s="43" t="s">
        <v>171</v>
      </c>
      <c r="F121" s="44" t="s">
        <v>11</v>
      </c>
      <c r="G121" s="45">
        <f t="shared" ref="G121:O122" si="14">G122</f>
        <v>13584.1</v>
      </c>
      <c r="H121" s="45">
        <f t="shared" si="14"/>
        <v>0</v>
      </c>
      <c r="I121" s="45">
        <f t="shared" si="14"/>
        <v>13584.1</v>
      </c>
      <c r="J121" s="46">
        <f t="shared" si="14"/>
        <v>0</v>
      </c>
      <c r="K121" s="45">
        <f t="shared" si="14"/>
        <v>0</v>
      </c>
      <c r="L121" s="46">
        <f t="shared" si="14"/>
        <v>0</v>
      </c>
      <c r="M121" s="45">
        <f t="shared" si="14"/>
        <v>13584.1</v>
      </c>
      <c r="N121" s="45">
        <f t="shared" si="14"/>
        <v>0</v>
      </c>
      <c r="O121" s="45">
        <f t="shared" si="14"/>
        <v>13584.1</v>
      </c>
    </row>
    <row r="122" spans="1:15" ht="94.5" x14ac:dyDescent="0.2">
      <c r="A122" s="40"/>
      <c r="B122" s="41" t="s">
        <v>172</v>
      </c>
      <c r="C122" s="42" t="s">
        <v>51</v>
      </c>
      <c r="D122" s="43" t="s">
        <v>158</v>
      </c>
      <c r="E122" s="43" t="s">
        <v>173</v>
      </c>
      <c r="F122" s="44" t="s">
        <v>11</v>
      </c>
      <c r="G122" s="45">
        <f t="shared" si="14"/>
        <v>13584.1</v>
      </c>
      <c r="H122" s="45"/>
      <c r="I122" s="45">
        <f t="shared" si="14"/>
        <v>13584.1</v>
      </c>
      <c r="J122" s="46">
        <f t="shared" si="14"/>
        <v>0</v>
      </c>
      <c r="K122" s="45"/>
      <c r="L122" s="46">
        <f t="shared" si="14"/>
        <v>0</v>
      </c>
      <c r="M122" s="45">
        <f t="shared" si="14"/>
        <v>13584.1</v>
      </c>
      <c r="N122" s="45">
        <f t="shared" si="14"/>
        <v>0</v>
      </c>
      <c r="O122" s="45">
        <f t="shared" si="14"/>
        <v>13584.1</v>
      </c>
    </row>
    <row r="123" spans="1:15" ht="15.75" x14ac:dyDescent="0.2">
      <c r="A123" s="40"/>
      <c r="B123" s="41" t="s">
        <v>47</v>
      </c>
      <c r="C123" s="42" t="s">
        <v>51</v>
      </c>
      <c r="D123" s="43" t="s">
        <v>158</v>
      </c>
      <c r="E123" s="43" t="s">
        <v>173</v>
      </c>
      <c r="F123" s="44" t="s">
        <v>48</v>
      </c>
      <c r="G123" s="45">
        <f>13584.2-0.1</f>
        <v>13584.1</v>
      </c>
      <c r="H123" s="45">
        <f t="shared" ref="G123:O125" si="15">H124</f>
        <v>0</v>
      </c>
      <c r="I123" s="45">
        <f>13584.2-0.1</f>
        <v>13584.1</v>
      </c>
      <c r="J123" s="47">
        <v>0</v>
      </c>
      <c r="K123" s="45">
        <f t="shared" si="15"/>
        <v>0</v>
      </c>
      <c r="L123" s="47">
        <v>0</v>
      </c>
      <c r="M123" s="45">
        <f>13584.2-0.1</f>
        <v>13584.1</v>
      </c>
      <c r="N123" s="45"/>
      <c r="O123" s="45">
        <f>13584.2-0.1</f>
        <v>13584.1</v>
      </c>
    </row>
    <row r="124" spans="1:15" ht="63" x14ac:dyDescent="0.2">
      <c r="A124" s="40"/>
      <c r="B124" s="41" t="s">
        <v>174</v>
      </c>
      <c r="C124" s="42" t="s">
        <v>51</v>
      </c>
      <c r="D124" s="43" t="s">
        <v>158</v>
      </c>
      <c r="E124" s="43" t="s">
        <v>175</v>
      </c>
      <c r="F124" s="44" t="s">
        <v>11</v>
      </c>
      <c r="G124" s="45">
        <f t="shared" si="15"/>
        <v>1516.6000000000001</v>
      </c>
      <c r="H124" s="45">
        <f t="shared" si="15"/>
        <v>0</v>
      </c>
      <c r="I124" s="45">
        <f t="shared" si="15"/>
        <v>1516.6000000000001</v>
      </c>
      <c r="J124" s="46">
        <f t="shared" si="15"/>
        <v>0</v>
      </c>
      <c r="K124" s="45">
        <f t="shared" si="15"/>
        <v>0</v>
      </c>
      <c r="L124" s="46">
        <f t="shared" si="15"/>
        <v>0</v>
      </c>
      <c r="M124" s="45">
        <f t="shared" si="15"/>
        <v>1516.6000000000001</v>
      </c>
      <c r="N124" s="45">
        <f t="shared" si="15"/>
        <v>0</v>
      </c>
      <c r="O124" s="45">
        <f t="shared" si="15"/>
        <v>1516.6000000000001</v>
      </c>
    </row>
    <row r="125" spans="1:15" ht="78.75" x14ac:dyDescent="0.2">
      <c r="A125" s="40"/>
      <c r="B125" s="41" t="s">
        <v>176</v>
      </c>
      <c r="C125" s="42" t="s">
        <v>51</v>
      </c>
      <c r="D125" s="43" t="s">
        <v>158</v>
      </c>
      <c r="E125" s="43" t="s">
        <v>177</v>
      </c>
      <c r="F125" s="44" t="s">
        <v>11</v>
      </c>
      <c r="G125" s="45">
        <f t="shared" si="15"/>
        <v>1516.6000000000001</v>
      </c>
      <c r="H125" s="45"/>
      <c r="I125" s="45">
        <f t="shared" si="15"/>
        <v>1516.6000000000001</v>
      </c>
      <c r="J125" s="46">
        <f t="shared" si="15"/>
        <v>0</v>
      </c>
      <c r="K125" s="45"/>
      <c r="L125" s="46">
        <f t="shared" si="15"/>
        <v>0</v>
      </c>
      <c r="M125" s="45">
        <f t="shared" si="15"/>
        <v>1516.6000000000001</v>
      </c>
      <c r="N125" s="45">
        <f t="shared" si="15"/>
        <v>0</v>
      </c>
      <c r="O125" s="45">
        <f t="shared" si="15"/>
        <v>1516.6000000000001</v>
      </c>
    </row>
    <row r="126" spans="1:15" ht="15.75" x14ac:dyDescent="0.2">
      <c r="A126" s="40"/>
      <c r="B126" s="41" t="s">
        <v>178</v>
      </c>
      <c r="C126" s="42" t="s">
        <v>51</v>
      </c>
      <c r="D126" s="43" t="s">
        <v>158</v>
      </c>
      <c r="E126" s="43" t="s">
        <v>177</v>
      </c>
      <c r="F126" s="44" t="s">
        <v>48</v>
      </c>
      <c r="G126" s="45">
        <f>1516.7-0.1</f>
        <v>1516.6000000000001</v>
      </c>
      <c r="H126" s="45"/>
      <c r="I126" s="45">
        <f>1516.7-0.1</f>
        <v>1516.6000000000001</v>
      </c>
      <c r="J126" s="47">
        <v>0</v>
      </c>
      <c r="K126" s="45"/>
      <c r="L126" s="47">
        <v>0</v>
      </c>
      <c r="M126" s="45">
        <f>1516.7-0.1</f>
        <v>1516.6000000000001</v>
      </c>
      <c r="N126" s="45"/>
      <c r="O126" s="45">
        <f>1516.7-0.1</f>
        <v>1516.6000000000001</v>
      </c>
    </row>
    <row r="127" spans="1:15" ht="31.5" x14ac:dyDescent="0.2">
      <c r="A127" s="40"/>
      <c r="B127" s="41" t="s">
        <v>66</v>
      </c>
      <c r="C127" s="42">
        <v>992</v>
      </c>
      <c r="D127" s="43" t="s">
        <v>158</v>
      </c>
      <c r="E127" s="43">
        <v>5200000000</v>
      </c>
      <c r="F127" s="44"/>
      <c r="G127" s="45"/>
      <c r="H127" s="45">
        <v>763.3</v>
      </c>
      <c r="I127" s="45">
        <f>SUM(H127)</f>
        <v>763.3</v>
      </c>
      <c r="J127" s="47"/>
      <c r="K127" s="45"/>
      <c r="L127" s="47"/>
      <c r="M127" s="45"/>
      <c r="N127" s="45">
        <f t="shared" ref="N127:O129" si="16">SUM(H127)</f>
        <v>763.3</v>
      </c>
      <c r="O127" s="45">
        <f t="shared" si="16"/>
        <v>763.3</v>
      </c>
    </row>
    <row r="128" spans="1:15" ht="31.5" x14ac:dyDescent="0.2">
      <c r="A128" s="40"/>
      <c r="B128" s="41" t="s">
        <v>80</v>
      </c>
      <c r="C128" s="42">
        <v>992</v>
      </c>
      <c r="D128" s="43" t="s">
        <v>158</v>
      </c>
      <c r="E128" s="43">
        <v>5230000000</v>
      </c>
      <c r="F128" s="44"/>
      <c r="G128" s="45"/>
      <c r="H128" s="45">
        <v>763.3</v>
      </c>
      <c r="I128" s="45">
        <f>SUM(H128)</f>
        <v>763.3</v>
      </c>
      <c r="J128" s="47"/>
      <c r="K128" s="45"/>
      <c r="L128" s="47"/>
      <c r="M128" s="45"/>
      <c r="N128" s="45">
        <f t="shared" si="16"/>
        <v>763.3</v>
      </c>
      <c r="O128" s="45">
        <f t="shared" si="16"/>
        <v>763.3</v>
      </c>
    </row>
    <row r="129" spans="1:16" ht="31.5" x14ac:dyDescent="0.2">
      <c r="A129" s="40"/>
      <c r="B129" s="41" t="s">
        <v>82</v>
      </c>
      <c r="C129" s="42">
        <v>992</v>
      </c>
      <c r="D129" s="43" t="s">
        <v>158</v>
      </c>
      <c r="E129" s="43">
        <v>5230010490</v>
      </c>
      <c r="F129" s="44"/>
      <c r="G129" s="45"/>
      <c r="H129" s="45">
        <v>763.3</v>
      </c>
      <c r="I129" s="45">
        <f>SUM(H129)</f>
        <v>763.3</v>
      </c>
      <c r="J129" s="47"/>
      <c r="K129" s="45"/>
      <c r="L129" s="47"/>
      <c r="M129" s="45"/>
      <c r="N129" s="45">
        <f t="shared" si="16"/>
        <v>763.3</v>
      </c>
      <c r="O129" s="45">
        <f t="shared" si="16"/>
        <v>763.3</v>
      </c>
    </row>
    <row r="130" spans="1:16" ht="31.5" x14ac:dyDescent="0.2">
      <c r="A130" s="40"/>
      <c r="B130" s="41" t="s">
        <v>40</v>
      </c>
      <c r="C130" s="42">
        <v>992</v>
      </c>
      <c r="D130" s="43" t="s">
        <v>158</v>
      </c>
      <c r="E130" s="43">
        <v>5230010490</v>
      </c>
      <c r="F130" s="44">
        <v>200</v>
      </c>
      <c r="G130" s="45"/>
      <c r="H130" s="45">
        <v>763.3</v>
      </c>
      <c r="I130" s="45">
        <f>SUM(H130)</f>
        <v>763.3</v>
      </c>
      <c r="J130" s="47"/>
      <c r="K130" s="45"/>
      <c r="L130" s="47"/>
      <c r="M130" s="45"/>
      <c r="N130" s="45">
        <f>SUM(H130)</f>
        <v>763.3</v>
      </c>
      <c r="O130" s="80">
        <f>SUM(N130)</f>
        <v>763.3</v>
      </c>
    </row>
    <row r="131" spans="1:16" ht="15.75" x14ac:dyDescent="0.2">
      <c r="A131" s="40"/>
      <c r="B131" s="41" t="s">
        <v>179</v>
      </c>
      <c r="C131" s="42" t="s">
        <v>51</v>
      </c>
      <c r="D131" s="43" t="s">
        <v>158</v>
      </c>
      <c r="E131" s="43" t="s">
        <v>180</v>
      </c>
      <c r="F131" s="44" t="s">
        <v>11</v>
      </c>
      <c r="G131" s="45">
        <f t="shared" ref="G131:O133" si="17">G132</f>
        <v>394.4</v>
      </c>
      <c r="H131" s="45">
        <f t="shared" si="17"/>
        <v>0</v>
      </c>
      <c r="I131" s="45">
        <f t="shared" si="17"/>
        <v>394.4</v>
      </c>
      <c r="J131" s="46">
        <f t="shared" si="17"/>
        <v>0</v>
      </c>
      <c r="K131" s="45">
        <f>K132</f>
        <v>0</v>
      </c>
      <c r="L131" s="46">
        <f t="shared" si="17"/>
        <v>0</v>
      </c>
      <c r="M131" s="45">
        <f t="shared" si="17"/>
        <v>394.4</v>
      </c>
      <c r="N131" s="45">
        <f t="shared" si="17"/>
        <v>0</v>
      </c>
      <c r="O131" s="45">
        <f t="shared" si="17"/>
        <v>394.4</v>
      </c>
    </row>
    <row r="132" spans="1:16" ht="31.5" x14ac:dyDescent="0.2">
      <c r="A132" s="40"/>
      <c r="B132" s="41" t="s">
        <v>181</v>
      </c>
      <c r="C132" s="42" t="s">
        <v>51</v>
      </c>
      <c r="D132" s="43" t="s">
        <v>158</v>
      </c>
      <c r="E132" s="43" t="s">
        <v>182</v>
      </c>
      <c r="F132" s="44" t="s">
        <v>11</v>
      </c>
      <c r="G132" s="45">
        <f t="shared" si="17"/>
        <v>394.4</v>
      </c>
      <c r="H132" s="45">
        <f t="shared" si="17"/>
        <v>0</v>
      </c>
      <c r="I132" s="45">
        <f t="shared" si="17"/>
        <v>394.4</v>
      </c>
      <c r="J132" s="46">
        <f t="shared" si="17"/>
        <v>0</v>
      </c>
      <c r="K132" s="45">
        <f>K133</f>
        <v>0</v>
      </c>
      <c r="L132" s="46">
        <f t="shared" si="17"/>
        <v>0</v>
      </c>
      <c r="M132" s="45">
        <f t="shared" si="17"/>
        <v>394.4</v>
      </c>
      <c r="N132" s="45">
        <f t="shared" si="17"/>
        <v>0</v>
      </c>
      <c r="O132" s="45">
        <f t="shared" si="17"/>
        <v>394.4</v>
      </c>
    </row>
    <row r="133" spans="1:16" ht="15.75" x14ac:dyDescent="0.2">
      <c r="A133" s="40"/>
      <c r="B133" s="41" t="s">
        <v>183</v>
      </c>
      <c r="C133" s="42" t="s">
        <v>51</v>
      </c>
      <c r="D133" s="43" t="s">
        <v>158</v>
      </c>
      <c r="E133" s="43" t="s">
        <v>184</v>
      </c>
      <c r="F133" s="44" t="s">
        <v>11</v>
      </c>
      <c r="G133" s="45">
        <f>G134</f>
        <v>394.4</v>
      </c>
      <c r="H133" s="45">
        <f>H134</f>
        <v>0</v>
      </c>
      <c r="I133" s="45">
        <f>I134</f>
        <v>394.4</v>
      </c>
      <c r="J133" s="46">
        <f t="shared" si="17"/>
        <v>0</v>
      </c>
      <c r="K133" s="45"/>
      <c r="L133" s="46">
        <f t="shared" si="17"/>
        <v>0</v>
      </c>
      <c r="M133" s="45">
        <f t="shared" si="17"/>
        <v>394.4</v>
      </c>
      <c r="N133" s="45">
        <f t="shared" si="17"/>
        <v>0</v>
      </c>
      <c r="O133" s="45">
        <f t="shared" si="17"/>
        <v>394.4</v>
      </c>
    </row>
    <row r="134" spans="1:16" ht="31.5" x14ac:dyDescent="0.2">
      <c r="A134" s="40"/>
      <c r="B134" s="41" t="s">
        <v>40</v>
      </c>
      <c r="C134" s="42" t="s">
        <v>51</v>
      </c>
      <c r="D134" s="43" t="s">
        <v>158</v>
      </c>
      <c r="E134" s="43" t="s">
        <v>184</v>
      </c>
      <c r="F134" s="44" t="s">
        <v>41</v>
      </c>
      <c r="G134" s="45">
        <v>394.4</v>
      </c>
      <c r="H134" s="45"/>
      <c r="I134" s="45">
        <f>SUM(G134)</f>
        <v>394.4</v>
      </c>
      <c r="J134" s="47">
        <v>0</v>
      </c>
      <c r="K134" s="45"/>
      <c r="L134" s="47">
        <v>0</v>
      </c>
      <c r="M134" s="45">
        <f>SUM(G134)</f>
        <v>394.4</v>
      </c>
      <c r="N134" s="45">
        <f>SUM(H134)</f>
        <v>0</v>
      </c>
      <c r="O134" s="45">
        <f>SUM(M134)</f>
        <v>394.4</v>
      </c>
    </row>
    <row r="135" spans="1:16" ht="31.5" x14ac:dyDescent="0.2">
      <c r="A135" s="40"/>
      <c r="B135" s="41" t="s">
        <v>185</v>
      </c>
      <c r="C135" s="42" t="s">
        <v>51</v>
      </c>
      <c r="D135" s="43" t="s">
        <v>158</v>
      </c>
      <c r="E135" s="43" t="s">
        <v>186</v>
      </c>
      <c r="F135" s="44" t="s">
        <v>11</v>
      </c>
      <c r="G135" s="45">
        <f t="shared" ref="G135:O137" si="18">G136</f>
        <v>3366.5</v>
      </c>
      <c r="H135" s="45">
        <f t="shared" si="18"/>
        <v>0</v>
      </c>
      <c r="I135" s="45">
        <f t="shared" si="18"/>
        <v>3366.5</v>
      </c>
      <c r="J135" s="46">
        <f t="shared" si="18"/>
        <v>0</v>
      </c>
      <c r="K135" s="45">
        <f>K136</f>
        <v>0</v>
      </c>
      <c r="L135" s="46">
        <f t="shared" si="18"/>
        <v>0</v>
      </c>
      <c r="M135" s="45">
        <f t="shared" si="18"/>
        <v>3366.5</v>
      </c>
      <c r="N135" s="45">
        <f t="shared" si="18"/>
        <v>0</v>
      </c>
      <c r="O135" s="45">
        <f t="shared" si="18"/>
        <v>3366.5</v>
      </c>
    </row>
    <row r="136" spans="1:16" ht="47.25" x14ac:dyDescent="0.2">
      <c r="A136" s="40"/>
      <c r="B136" s="41" t="s">
        <v>187</v>
      </c>
      <c r="C136" s="42" t="s">
        <v>51</v>
      </c>
      <c r="D136" s="43" t="s">
        <v>158</v>
      </c>
      <c r="E136" s="43" t="s">
        <v>188</v>
      </c>
      <c r="F136" s="44" t="s">
        <v>11</v>
      </c>
      <c r="G136" s="45">
        <f t="shared" si="18"/>
        <v>3366.5</v>
      </c>
      <c r="H136" s="45">
        <f t="shared" si="18"/>
        <v>0</v>
      </c>
      <c r="I136" s="45">
        <f t="shared" si="18"/>
        <v>3366.5</v>
      </c>
      <c r="J136" s="46">
        <f t="shared" si="18"/>
        <v>0</v>
      </c>
      <c r="K136" s="45">
        <f>K137</f>
        <v>0</v>
      </c>
      <c r="L136" s="46">
        <f t="shared" si="18"/>
        <v>0</v>
      </c>
      <c r="M136" s="45">
        <f t="shared" si="18"/>
        <v>3366.5</v>
      </c>
      <c r="N136" s="45">
        <f t="shared" si="18"/>
        <v>0</v>
      </c>
      <c r="O136" s="45">
        <f t="shared" si="18"/>
        <v>3366.5</v>
      </c>
    </row>
    <row r="137" spans="1:16" ht="78.75" x14ac:dyDescent="0.2">
      <c r="A137" s="40"/>
      <c r="B137" s="41" t="s">
        <v>189</v>
      </c>
      <c r="C137" s="42" t="s">
        <v>51</v>
      </c>
      <c r="D137" s="43" t="s">
        <v>158</v>
      </c>
      <c r="E137" s="43" t="s">
        <v>190</v>
      </c>
      <c r="F137" s="44" t="s">
        <v>11</v>
      </c>
      <c r="G137" s="45">
        <f>G138</f>
        <v>3366.5</v>
      </c>
      <c r="H137" s="45"/>
      <c r="I137" s="45">
        <f>I138</f>
        <v>3366.5</v>
      </c>
      <c r="J137" s="46">
        <f t="shared" si="18"/>
        <v>0</v>
      </c>
      <c r="K137" s="45"/>
      <c r="L137" s="46">
        <f t="shared" si="18"/>
        <v>0</v>
      </c>
      <c r="M137" s="45">
        <f t="shared" si="18"/>
        <v>3366.5</v>
      </c>
      <c r="N137" s="45">
        <f t="shared" si="18"/>
        <v>0</v>
      </c>
      <c r="O137" s="45">
        <f t="shared" si="18"/>
        <v>3366.5</v>
      </c>
    </row>
    <row r="138" spans="1:16" ht="15.75" x14ac:dyDescent="0.2">
      <c r="A138" s="40"/>
      <c r="B138" s="41" t="s">
        <v>47</v>
      </c>
      <c r="C138" s="42" t="s">
        <v>51</v>
      </c>
      <c r="D138" s="43" t="s">
        <v>158</v>
      </c>
      <c r="E138" s="43" t="s">
        <v>190</v>
      </c>
      <c r="F138" s="44" t="s">
        <v>48</v>
      </c>
      <c r="G138" s="45">
        <v>3366.5</v>
      </c>
      <c r="H138" s="38"/>
      <c r="I138" s="45">
        <v>3366.5</v>
      </c>
      <c r="J138" s="47">
        <v>0</v>
      </c>
      <c r="K138" s="38"/>
      <c r="L138" s="47">
        <v>0</v>
      </c>
      <c r="M138" s="45">
        <v>3366.5</v>
      </c>
      <c r="N138" s="45"/>
      <c r="O138" s="45">
        <v>3366.5</v>
      </c>
    </row>
    <row r="139" spans="1:16" ht="36.6" customHeight="1" x14ac:dyDescent="0.2">
      <c r="A139" s="33" t="s">
        <v>191</v>
      </c>
      <c r="B139" s="34" t="s">
        <v>192</v>
      </c>
      <c r="C139" s="35" t="s">
        <v>51</v>
      </c>
      <c r="D139" s="36" t="s">
        <v>193</v>
      </c>
      <c r="E139" s="36" t="s">
        <v>11</v>
      </c>
      <c r="F139" s="37" t="s">
        <v>11</v>
      </c>
      <c r="G139" s="38">
        <f>G140</f>
        <v>5476.3</v>
      </c>
      <c r="H139" s="45">
        <f>H140+H146+H150</f>
        <v>567</v>
      </c>
      <c r="I139" s="38">
        <f>I140</f>
        <v>6043.3</v>
      </c>
      <c r="J139" s="39">
        <f>J140</f>
        <v>0</v>
      </c>
      <c r="K139" s="45">
        <f>K140+K146+K150</f>
        <v>0</v>
      </c>
      <c r="L139" s="39">
        <f>L140</f>
        <v>0</v>
      </c>
      <c r="M139" s="38">
        <f>M140</f>
        <v>5476.3</v>
      </c>
      <c r="N139" s="38">
        <f>N140</f>
        <v>567</v>
      </c>
      <c r="O139" s="38">
        <f>O140</f>
        <v>6043.3</v>
      </c>
    </row>
    <row r="140" spans="1:16" ht="31.5" x14ac:dyDescent="0.2">
      <c r="A140" s="40"/>
      <c r="B140" s="41" t="s">
        <v>159</v>
      </c>
      <c r="C140" s="42" t="s">
        <v>51</v>
      </c>
      <c r="D140" s="43" t="s">
        <v>193</v>
      </c>
      <c r="E140" s="43" t="s">
        <v>160</v>
      </c>
      <c r="F140" s="44" t="s">
        <v>11</v>
      </c>
      <c r="G140" s="45">
        <f>G141+G147+G151</f>
        <v>5476.3</v>
      </c>
      <c r="H140" s="45">
        <f>H141</f>
        <v>567</v>
      </c>
      <c r="I140" s="45">
        <f>I141+I147+I151</f>
        <v>6043.3</v>
      </c>
      <c r="J140" s="46">
        <f>J141+J147+J151</f>
        <v>0</v>
      </c>
      <c r="K140" s="45">
        <f>K141</f>
        <v>0</v>
      </c>
      <c r="L140" s="46">
        <f>L141+L147+L151</f>
        <v>0</v>
      </c>
      <c r="M140" s="45">
        <f>M141+M147+M151</f>
        <v>5476.3</v>
      </c>
      <c r="N140" s="45">
        <f>N141+N147+N151</f>
        <v>567</v>
      </c>
      <c r="O140" s="45">
        <f>O141+O147+O151</f>
        <v>6043.3</v>
      </c>
    </row>
    <row r="141" spans="1:16" ht="31.5" x14ac:dyDescent="0.2">
      <c r="A141" s="40"/>
      <c r="B141" s="41" t="s">
        <v>194</v>
      </c>
      <c r="C141" s="42" t="s">
        <v>51</v>
      </c>
      <c r="D141" s="43" t="s">
        <v>193</v>
      </c>
      <c r="E141" s="43" t="s">
        <v>195</v>
      </c>
      <c r="F141" s="44" t="s">
        <v>11</v>
      </c>
      <c r="G141" s="45">
        <f>G142</f>
        <v>5361.3</v>
      </c>
      <c r="H141" s="45">
        <f>H142</f>
        <v>567</v>
      </c>
      <c r="I141" s="45">
        <f>I142</f>
        <v>5928.3</v>
      </c>
      <c r="J141" s="46">
        <f>J142</f>
        <v>0</v>
      </c>
      <c r="K141" s="45">
        <f>K142+K144</f>
        <v>0</v>
      </c>
      <c r="L141" s="46">
        <f>L142</f>
        <v>0</v>
      </c>
      <c r="M141" s="45">
        <f>M142</f>
        <v>5361.3</v>
      </c>
      <c r="N141" s="45">
        <f>N142</f>
        <v>567</v>
      </c>
      <c r="O141" s="45">
        <f>O142</f>
        <v>5928.3</v>
      </c>
    </row>
    <row r="142" spans="1:16" ht="47.25" x14ac:dyDescent="0.2">
      <c r="A142" s="40"/>
      <c r="B142" s="41" t="s">
        <v>196</v>
      </c>
      <c r="C142" s="42" t="s">
        <v>51</v>
      </c>
      <c r="D142" s="43" t="s">
        <v>193</v>
      </c>
      <c r="E142" s="43" t="s">
        <v>197</v>
      </c>
      <c r="F142" s="44" t="s">
        <v>11</v>
      </c>
      <c r="G142" s="45">
        <f>G143+G145</f>
        <v>5361.3</v>
      </c>
      <c r="H142" s="45">
        <f>H143</f>
        <v>567</v>
      </c>
      <c r="I142" s="45">
        <f>I143+I145</f>
        <v>5928.3</v>
      </c>
      <c r="J142" s="46">
        <f>J143+J145</f>
        <v>0</v>
      </c>
      <c r="K142" s="45">
        <f>K143</f>
        <v>0</v>
      </c>
      <c r="L142" s="46">
        <f>L143+L145</f>
        <v>0</v>
      </c>
      <c r="M142" s="45">
        <f>M143+M145</f>
        <v>5361.3</v>
      </c>
      <c r="N142" s="45">
        <f>N143+N145</f>
        <v>567</v>
      </c>
      <c r="O142" s="45">
        <f>O143+O145</f>
        <v>5928.3</v>
      </c>
      <c r="P142" s="16"/>
    </row>
    <row r="143" spans="1:16" ht="31.5" x14ac:dyDescent="0.2">
      <c r="A143" s="40"/>
      <c r="B143" s="41" t="s">
        <v>198</v>
      </c>
      <c r="C143" s="42" t="s">
        <v>51</v>
      </c>
      <c r="D143" s="43" t="s">
        <v>193</v>
      </c>
      <c r="E143" s="43" t="s">
        <v>199</v>
      </c>
      <c r="F143" s="44" t="s">
        <v>11</v>
      </c>
      <c r="G143" s="45">
        <f>G144</f>
        <v>496.5</v>
      </c>
      <c r="H143" s="48">
        <f>SUM(H144)</f>
        <v>567</v>
      </c>
      <c r="I143" s="45">
        <f>I144</f>
        <v>1063.5</v>
      </c>
      <c r="J143" s="46">
        <f>J144</f>
        <v>0</v>
      </c>
      <c r="K143" s="48"/>
      <c r="L143" s="46">
        <f>L144</f>
        <v>0</v>
      </c>
      <c r="M143" s="45">
        <f>M144</f>
        <v>496.5</v>
      </c>
      <c r="N143" s="45">
        <f>N144</f>
        <v>567</v>
      </c>
      <c r="O143" s="45">
        <f>O144</f>
        <v>1063.5</v>
      </c>
    </row>
    <row r="144" spans="1:16" ht="31.5" x14ac:dyDescent="0.2">
      <c r="A144" s="40"/>
      <c r="B144" s="41" t="s">
        <v>40</v>
      </c>
      <c r="C144" s="42" t="s">
        <v>51</v>
      </c>
      <c r="D144" s="43" t="s">
        <v>193</v>
      </c>
      <c r="E144" s="43" t="s">
        <v>199</v>
      </c>
      <c r="F144" s="44" t="s">
        <v>41</v>
      </c>
      <c r="G144" s="48">
        <v>496.5</v>
      </c>
      <c r="H144" s="45">
        <v>567</v>
      </c>
      <c r="I144" s="48">
        <f>SUM(G144)+H144</f>
        <v>1063.5</v>
      </c>
      <c r="J144" s="47">
        <v>0</v>
      </c>
      <c r="K144" s="45"/>
      <c r="L144" s="47">
        <v>0</v>
      </c>
      <c r="M144" s="48">
        <f>SUM(G144)</f>
        <v>496.5</v>
      </c>
      <c r="N144" s="48">
        <f>SUM(H144)</f>
        <v>567</v>
      </c>
      <c r="O144" s="48">
        <f>SUM(I144)</f>
        <v>1063.5</v>
      </c>
    </row>
    <row r="145" spans="1:16" ht="63" x14ac:dyDescent="0.2">
      <c r="A145" s="40"/>
      <c r="B145" s="41" t="s">
        <v>200</v>
      </c>
      <c r="C145" s="42" t="s">
        <v>51</v>
      </c>
      <c r="D145" s="43" t="s">
        <v>193</v>
      </c>
      <c r="E145" s="43" t="s">
        <v>201</v>
      </c>
      <c r="F145" s="44" t="s">
        <v>11</v>
      </c>
      <c r="G145" s="45">
        <f>G146</f>
        <v>4864.8</v>
      </c>
      <c r="H145" s="45"/>
      <c r="I145" s="45">
        <f>I146</f>
        <v>4864.8</v>
      </c>
      <c r="J145" s="46">
        <f>J146</f>
        <v>0</v>
      </c>
      <c r="K145" s="45"/>
      <c r="L145" s="46">
        <f>L146</f>
        <v>0</v>
      </c>
      <c r="M145" s="45">
        <f>M146</f>
        <v>4864.8</v>
      </c>
      <c r="N145" s="45">
        <f>N146</f>
        <v>0</v>
      </c>
      <c r="O145" s="45">
        <f>O146</f>
        <v>4864.8</v>
      </c>
    </row>
    <row r="146" spans="1:16" ht="15.75" x14ac:dyDescent="0.2">
      <c r="A146" s="40"/>
      <c r="B146" s="41" t="s">
        <v>47</v>
      </c>
      <c r="C146" s="42" t="s">
        <v>51</v>
      </c>
      <c r="D146" s="43" t="s">
        <v>193</v>
      </c>
      <c r="E146" s="43" t="s">
        <v>201</v>
      </c>
      <c r="F146" s="44" t="s">
        <v>48</v>
      </c>
      <c r="G146" s="45">
        <v>4864.8</v>
      </c>
      <c r="H146" s="45"/>
      <c r="I146" s="45">
        <v>4864.8</v>
      </c>
      <c r="J146" s="47">
        <v>0</v>
      </c>
      <c r="K146" s="45"/>
      <c r="L146" s="47">
        <v>0</v>
      </c>
      <c r="M146" s="45">
        <v>4864.8</v>
      </c>
      <c r="N146" s="45"/>
      <c r="O146" s="45">
        <v>4864.8</v>
      </c>
    </row>
    <row r="147" spans="1:16" ht="15.75" x14ac:dyDescent="0.2">
      <c r="A147" s="40"/>
      <c r="B147" s="41" t="s">
        <v>202</v>
      </c>
      <c r="C147" s="42" t="s">
        <v>51</v>
      </c>
      <c r="D147" s="43" t="s">
        <v>193</v>
      </c>
      <c r="E147" s="43" t="s">
        <v>203</v>
      </c>
      <c r="F147" s="44" t="s">
        <v>11</v>
      </c>
      <c r="G147" s="45">
        <f t="shared" ref="G147:O149" si="19">G148</f>
        <v>20</v>
      </c>
      <c r="H147" s="45">
        <f t="shared" si="19"/>
        <v>0</v>
      </c>
      <c r="I147" s="45">
        <f t="shared" si="19"/>
        <v>20</v>
      </c>
      <c r="J147" s="46">
        <f t="shared" si="19"/>
        <v>0</v>
      </c>
      <c r="K147" s="45">
        <f>K148</f>
        <v>0</v>
      </c>
      <c r="L147" s="46">
        <f t="shared" si="19"/>
        <v>0</v>
      </c>
      <c r="M147" s="45">
        <f t="shared" si="19"/>
        <v>20</v>
      </c>
      <c r="N147" s="45">
        <f t="shared" si="19"/>
        <v>0</v>
      </c>
      <c r="O147" s="45">
        <f t="shared" si="19"/>
        <v>20</v>
      </c>
    </row>
    <row r="148" spans="1:16" ht="34.9" customHeight="1" x14ac:dyDescent="0.2">
      <c r="A148" s="40"/>
      <c r="B148" s="41" t="s">
        <v>204</v>
      </c>
      <c r="C148" s="42" t="s">
        <v>51</v>
      </c>
      <c r="D148" s="43" t="s">
        <v>193</v>
      </c>
      <c r="E148" s="43" t="s">
        <v>205</v>
      </c>
      <c r="F148" s="44" t="s">
        <v>11</v>
      </c>
      <c r="G148" s="45">
        <f t="shared" si="19"/>
        <v>20</v>
      </c>
      <c r="H148" s="45">
        <f t="shared" si="19"/>
        <v>0</v>
      </c>
      <c r="I148" s="45">
        <f t="shared" si="19"/>
        <v>20</v>
      </c>
      <c r="J148" s="46">
        <f t="shared" si="19"/>
        <v>0</v>
      </c>
      <c r="K148" s="45">
        <f>K149</f>
        <v>0</v>
      </c>
      <c r="L148" s="46">
        <f t="shared" si="19"/>
        <v>0</v>
      </c>
      <c r="M148" s="45">
        <f t="shared" si="19"/>
        <v>20</v>
      </c>
      <c r="N148" s="45">
        <f t="shared" si="19"/>
        <v>0</v>
      </c>
      <c r="O148" s="45">
        <f t="shared" si="19"/>
        <v>20</v>
      </c>
    </row>
    <row r="149" spans="1:16" ht="15.75" x14ac:dyDescent="0.2">
      <c r="A149" s="40"/>
      <c r="B149" s="41" t="s">
        <v>206</v>
      </c>
      <c r="C149" s="42" t="s">
        <v>51</v>
      </c>
      <c r="D149" s="43" t="s">
        <v>193</v>
      </c>
      <c r="E149" s="43" t="s">
        <v>207</v>
      </c>
      <c r="F149" s="44" t="s">
        <v>11</v>
      </c>
      <c r="G149" s="45">
        <f>G150</f>
        <v>20</v>
      </c>
      <c r="H149" s="45"/>
      <c r="I149" s="45">
        <f>I150</f>
        <v>20</v>
      </c>
      <c r="J149" s="46">
        <f t="shared" si="19"/>
        <v>0</v>
      </c>
      <c r="K149" s="45"/>
      <c r="L149" s="46">
        <f t="shared" si="19"/>
        <v>0</v>
      </c>
      <c r="M149" s="45">
        <f t="shared" si="19"/>
        <v>20</v>
      </c>
      <c r="N149" s="45">
        <f t="shared" si="19"/>
        <v>0</v>
      </c>
      <c r="O149" s="45">
        <f t="shared" si="19"/>
        <v>20</v>
      </c>
    </row>
    <row r="150" spans="1:16" ht="31.5" x14ac:dyDescent="0.2">
      <c r="A150" s="40"/>
      <c r="B150" s="41" t="s">
        <v>40</v>
      </c>
      <c r="C150" s="42" t="s">
        <v>51</v>
      </c>
      <c r="D150" s="43" t="s">
        <v>193</v>
      </c>
      <c r="E150" s="43" t="s">
        <v>207</v>
      </c>
      <c r="F150" s="44" t="s">
        <v>41</v>
      </c>
      <c r="G150" s="45">
        <v>20</v>
      </c>
      <c r="H150" s="45"/>
      <c r="I150" s="45">
        <v>20</v>
      </c>
      <c r="J150" s="47">
        <v>0</v>
      </c>
      <c r="K150" s="45"/>
      <c r="L150" s="47">
        <v>0</v>
      </c>
      <c r="M150" s="45">
        <v>20</v>
      </c>
      <c r="N150" s="45"/>
      <c r="O150" s="45">
        <v>20</v>
      </c>
    </row>
    <row r="151" spans="1:16" ht="31.5" x14ac:dyDescent="0.2">
      <c r="A151" s="40"/>
      <c r="B151" s="41" t="s">
        <v>185</v>
      </c>
      <c r="C151" s="42" t="s">
        <v>51</v>
      </c>
      <c r="D151" s="43" t="s">
        <v>193</v>
      </c>
      <c r="E151" s="43" t="s">
        <v>186</v>
      </c>
      <c r="F151" s="44" t="s">
        <v>11</v>
      </c>
      <c r="G151" s="45">
        <f t="shared" ref="G151:O153" si="20">G152</f>
        <v>95</v>
      </c>
      <c r="H151" s="45">
        <f t="shared" si="20"/>
        <v>0</v>
      </c>
      <c r="I151" s="45">
        <f t="shared" si="20"/>
        <v>95</v>
      </c>
      <c r="J151" s="46">
        <f t="shared" si="20"/>
        <v>0</v>
      </c>
      <c r="K151" s="45">
        <f>K152</f>
        <v>0</v>
      </c>
      <c r="L151" s="46">
        <f t="shared" si="20"/>
        <v>0</v>
      </c>
      <c r="M151" s="45">
        <f t="shared" si="20"/>
        <v>95</v>
      </c>
      <c r="N151" s="45">
        <f t="shared" si="20"/>
        <v>0</v>
      </c>
      <c r="O151" s="45">
        <f t="shared" si="20"/>
        <v>95</v>
      </c>
    </row>
    <row r="152" spans="1:16" ht="52.15" customHeight="1" x14ac:dyDescent="0.2">
      <c r="A152" s="40"/>
      <c r="B152" s="41" t="s">
        <v>208</v>
      </c>
      <c r="C152" s="42" t="s">
        <v>51</v>
      </c>
      <c r="D152" s="43" t="s">
        <v>193</v>
      </c>
      <c r="E152" s="43" t="s">
        <v>209</v>
      </c>
      <c r="F152" s="44" t="s">
        <v>11</v>
      </c>
      <c r="G152" s="45">
        <f t="shared" si="20"/>
        <v>95</v>
      </c>
      <c r="H152" s="45">
        <f t="shared" si="20"/>
        <v>0</v>
      </c>
      <c r="I152" s="45">
        <f t="shared" si="20"/>
        <v>95</v>
      </c>
      <c r="J152" s="46">
        <f t="shared" si="20"/>
        <v>0</v>
      </c>
      <c r="K152" s="45">
        <f>K153</f>
        <v>0</v>
      </c>
      <c r="L152" s="46">
        <f t="shared" si="20"/>
        <v>0</v>
      </c>
      <c r="M152" s="45">
        <f t="shared" si="20"/>
        <v>95</v>
      </c>
      <c r="N152" s="45">
        <f t="shared" si="20"/>
        <v>0</v>
      </c>
      <c r="O152" s="45">
        <f t="shared" si="20"/>
        <v>95</v>
      </c>
    </row>
    <row r="153" spans="1:16" ht="20.45" customHeight="1" x14ac:dyDescent="0.2">
      <c r="A153" s="40"/>
      <c r="B153" s="41" t="s">
        <v>210</v>
      </c>
      <c r="C153" s="42" t="s">
        <v>51</v>
      </c>
      <c r="D153" s="43" t="s">
        <v>193</v>
      </c>
      <c r="E153" s="43" t="s">
        <v>211</v>
      </c>
      <c r="F153" s="44" t="s">
        <v>11</v>
      </c>
      <c r="G153" s="45">
        <f>G154</f>
        <v>95</v>
      </c>
      <c r="H153" s="45"/>
      <c r="I153" s="45">
        <f>I154</f>
        <v>95</v>
      </c>
      <c r="J153" s="46">
        <f t="shared" si="20"/>
        <v>0</v>
      </c>
      <c r="K153" s="45"/>
      <c r="L153" s="46">
        <f t="shared" si="20"/>
        <v>0</v>
      </c>
      <c r="M153" s="45">
        <f t="shared" si="20"/>
        <v>95</v>
      </c>
      <c r="N153" s="45">
        <f t="shared" si="20"/>
        <v>0</v>
      </c>
      <c r="O153" s="45">
        <f t="shared" si="20"/>
        <v>95</v>
      </c>
    </row>
    <row r="154" spans="1:16" ht="31.5" x14ac:dyDescent="0.2">
      <c r="A154" s="40"/>
      <c r="B154" s="41" t="s">
        <v>40</v>
      </c>
      <c r="C154" s="42" t="s">
        <v>51</v>
      </c>
      <c r="D154" s="43" t="s">
        <v>193</v>
      </c>
      <c r="E154" s="43" t="s">
        <v>211</v>
      </c>
      <c r="F154" s="44" t="s">
        <v>41</v>
      </c>
      <c r="G154" s="45">
        <v>95</v>
      </c>
      <c r="H154" s="25"/>
      <c r="I154" s="45">
        <v>95</v>
      </c>
      <c r="J154" s="47">
        <v>0</v>
      </c>
      <c r="K154" s="25"/>
      <c r="L154" s="47">
        <v>0</v>
      </c>
      <c r="M154" s="45">
        <v>95</v>
      </c>
      <c r="N154" s="45"/>
      <c r="O154" s="45">
        <v>95</v>
      </c>
    </row>
    <row r="155" spans="1:16" ht="15.75" x14ac:dyDescent="0.2">
      <c r="A155" s="20" t="s">
        <v>212</v>
      </c>
      <c r="B155" s="21" t="s">
        <v>213</v>
      </c>
      <c r="C155" s="22" t="s">
        <v>51</v>
      </c>
      <c r="D155" s="23" t="s">
        <v>214</v>
      </c>
      <c r="E155" s="23" t="s">
        <v>11</v>
      </c>
      <c r="F155" s="24" t="s">
        <v>11</v>
      </c>
      <c r="G155" s="25">
        <f>G156+G162+G183+G189</f>
        <v>62672</v>
      </c>
      <c r="H155" s="38">
        <f>H156+H162+H189</f>
        <v>774.2</v>
      </c>
      <c r="I155" s="25">
        <f t="shared" ref="I155:O155" si="21">I156+I162+I183+I189</f>
        <v>63446.2</v>
      </c>
      <c r="J155" s="26">
        <f t="shared" si="21"/>
        <v>60926</v>
      </c>
      <c r="K155" s="26">
        <f t="shared" si="21"/>
        <v>5589.3</v>
      </c>
      <c r="L155" s="26">
        <f t="shared" si="21"/>
        <v>66515.3</v>
      </c>
      <c r="M155" s="25">
        <f t="shared" si="21"/>
        <v>123598</v>
      </c>
      <c r="N155" s="25">
        <f t="shared" si="21"/>
        <v>6363.5</v>
      </c>
      <c r="O155" s="76">
        <f t="shared" si="21"/>
        <v>129961.5</v>
      </c>
      <c r="P155" s="17"/>
    </row>
    <row r="156" spans="1:16" ht="15.75" x14ac:dyDescent="0.2">
      <c r="A156" s="33" t="s">
        <v>215</v>
      </c>
      <c r="B156" s="34" t="s">
        <v>216</v>
      </c>
      <c r="C156" s="35" t="s">
        <v>51</v>
      </c>
      <c r="D156" s="36" t="s">
        <v>217</v>
      </c>
      <c r="E156" s="36" t="s">
        <v>11</v>
      </c>
      <c r="F156" s="37" t="s">
        <v>11</v>
      </c>
      <c r="G156" s="38">
        <f t="shared" ref="G156:O160" si="22">G157</f>
        <v>487.6</v>
      </c>
      <c r="H156" s="45">
        <f t="shared" si="22"/>
        <v>0</v>
      </c>
      <c r="I156" s="38">
        <f t="shared" si="22"/>
        <v>487.6</v>
      </c>
      <c r="J156" s="39">
        <f t="shared" si="22"/>
        <v>9262.4</v>
      </c>
      <c r="K156" s="45">
        <f>K157</f>
        <v>0</v>
      </c>
      <c r="L156" s="39">
        <f t="shared" si="22"/>
        <v>9262.4</v>
      </c>
      <c r="M156" s="38">
        <f t="shared" si="22"/>
        <v>9750</v>
      </c>
      <c r="N156" s="38">
        <f t="shared" si="22"/>
        <v>0</v>
      </c>
      <c r="O156" s="38">
        <f t="shared" si="22"/>
        <v>9750</v>
      </c>
    </row>
    <row r="157" spans="1:16" ht="31.5" x14ac:dyDescent="0.2">
      <c r="A157" s="40"/>
      <c r="B157" s="41" t="s">
        <v>218</v>
      </c>
      <c r="C157" s="42" t="s">
        <v>51</v>
      </c>
      <c r="D157" s="43" t="s">
        <v>217</v>
      </c>
      <c r="E157" s="43" t="s">
        <v>219</v>
      </c>
      <c r="F157" s="44" t="s">
        <v>11</v>
      </c>
      <c r="G157" s="45">
        <f t="shared" si="22"/>
        <v>487.6</v>
      </c>
      <c r="H157" s="45">
        <f t="shared" si="22"/>
        <v>0</v>
      </c>
      <c r="I157" s="45">
        <f t="shared" si="22"/>
        <v>487.6</v>
      </c>
      <c r="J157" s="46">
        <f t="shared" si="22"/>
        <v>9262.4</v>
      </c>
      <c r="K157" s="45">
        <f>K158</f>
        <v>0</v>
      </c>
      <c r="L157" s="46">
        <f t="shared" si="22"/>
        <v>9262.4</v>
      </c>
      <c r="M157" s="45">
        <f t="shared" si="22"/>
        <v>9750</v>
      </c>
      <c r="N157" s="45">
        <f t="shared" si="22"/>
        <v>0</v>
      </c>
      <c r="O157" s="45">
        <f t="shared" si="22"/>
        <v>9750</v>
      </c>
    </row>
    <row r="158" spans="1:16" ht="31.5" x14ac:dyDescent="0.2">
      <c r="A158" s="40"/>
      <c r="B158" s="41" t="s">
        <v>185</v>
      </c>
      <c r="C158" s="42" t="s">
        <v>51</v>
      </c>
      <c r="D158" s="43" t="s">
        <v>217</v>
      </c>
      <c r="E158" s="43" t="s">
        <v>220</v>
      </c>
      <c r="F158" s="44" t="s">
        <v>11</v>
      </c>
      <c r="G158" s="45">
        <f t="shared" si="22"/>
        <v>487.6</v>
      </c>
      <c r="H158" s="45">
        <f t="shared" si="22"/>
        <v>0</v>
      </c>
      <c r="I158" s="45">
        <f t="shared" si="22"/>
        <v>487.6</v>
      </c>
      <c r="J158" s="46">
        <f t="shared" si="22"/>
        <v>9262.4</v>
      </c>
      <c r="K158" s="45">
        <f>K159</f>
        <v>0</v>
      </c>
      <c r="L158" s="46">
        <f t="shared" si="22"/>
        <v>9262.4</v>
      </c>
      <c r="M158" s="45">
        <f t="shared" si="22"/>
        <v>9750</v>
      </c>
      <c r="N158" s="45">
        <f t="shared" si="22"/>
        <v>0</v>
      </c>
      <c r="O158" s="45">
        <f t="shared" si="22"/>
        <v>9750</v>
      </c>
    </row>
    <row r="159" spans="1:16" ht="31.5" x14ac:dyDescent="0.2">
      <c r="A159" s="40"/>
      <c r="B159" s="41" t="s">
        <v>221</v>
      </c>
      <c r="C159" s="42" t="s">
        <v>51</v>
      </c>
      <c r="D159" s="43" t="s">
        <v>217</v>
      </c>
      <c r="E159" s="43" t="s">
        <v>222</v>
      </c>
      <c r="F159" s="44" t="s">
        <v>11</v>
      </c>
      <c r="G159" s="45">
        <f t="shared" si="22"/>
        <v>487.6</v>
      </c>
      <c r="H159" s="45">
        <f t="shared" si="22"/>
        <v>0</v>
      </c>
      <c r="I159" s="45">
        <f t="shared" si="22"/>
        <v>487.6</v>
      </c>
      <c r="J159" s="46">
        <f t="shared" si="22"/>
        <v>9262.4</v>
      </c>
      <c r="K159" s="45">
        <f>K160</f>
        <v>0</v>
      </c>
      <c r="L159" s="46">
        <f t="shared" si="22"/>
        <v>9262.4</v>
      </c>
      <c r="M159" s="45">
        <f t="shared" si="22"/>
        <v>9750</v>
      </c>
      <c r="N159" s="45">
        <f t="shared" si="22"/>
        <v>0</v>
      </c>
      <c r="O159" s="45">
        <f t="shared" si="22"/>
        <v>9750</v>
      </c>
    </row>
    <row r="160" spans="1:16" ht="94.5" x14ac:dyDescent="0.2">
      <c r="A160" s="40"/>
      <c r="B160" s="41" t="s">
        <v>223</v>
      </c>
      <c r="C160" s="42" t="s">
        <v>51</v>
      </c>
      <c r="D160" s="43" t="s">
        <v>217</v>
      </c>
      <c r="E160" s="43" t="s">
        <v>224</v>
      </c>
      <c r="F160" s="44" t="s">
        <v>11</v>
      </c>
      <c r="G160" s="45">
        <f>G161</f>
        <v>487.6</v>
      </c>
      <c r="H160" s="45">
        <f>H161</f>
        <v>0</v>
      </c>
      <c r="I160" s="45">
        <f>I161</f>
        <v>487.6</v>
      </c>
      <c r="J160" s="46">
        <f t="shared" si="22"/>
        <v>9262.4</v>
      </c>
      <c r="K160" s="45"/>
      <c r="L160" s="46">
        <f t="shared" si="22"/>
        <v>9262.4</v>
      </c>
      <c r="M160" s="45">
        <f t="shared" si="22"/>
        <v>9750</v>
      </c>
      <c r="N160" s="45">
        <f t="shared" si="22"/>
        <v>0</v>
      </c>
      <c r="O160" s="45">
        <f t="shared" si="22"/>
        <v>9750</v>
      </c>
    </row>
    <row r="161" spans="1:16" ht="31.5" x14ac:dyDescent="0.2">
      <c r="A161" s="40"/>
      <c r="B161" s="41" t="s">
        <v>225</v>
      </c>
      <c r="C161" s="42" t="s">
        <v>51</v>
      </c>
      <c r="D161" s="43" t="s">
        <v>217</v>
      </c>
      <c r="E161" s="43" t="s">
        <v>224</v>
      </c>
      <c r="F161" s="44" t="s">
        <v>226</v>
      </c>
      <c r="G161" s="45">
        <v>487.6</v>
      </c>
      <c r="H161" s="38"/>
      <c r="I161" s="45">
        <v>487.6</v>
      </c>
      <c r="J161" s="47">
        <v>9262.4</v>
      </c>
      <c r="K161" s="38"/>
      <c r="L161" s="47">
        <v>9262.4</v>
      </c>
      <c r="M161" s="45">
        <f>487.6+J161</f>
        <v>9750</v>
      </c>
      <c r="N161" s="45"/>
      <c r="O161" s="45">
        <f>487.6+L161</f>
        <v>9750</v>
      </c>
    </row>
    <row r="162" spans="1:16" ht="15.75" x14ac:dyDescent="0.2">
      <c r="A162" s="33" t="s">
        <v>227</v>
      </c>
      <c r="B162" s="34" t="s">
        <v>228</v>
      </c>
      <c r="C162" s="35" t="s">
        <v>51</v>
      </c>
      <c r="D162" s="36" t="s">
        <v>229</v>
      </c>
      <c r="E162" s="36" t="s">
        <v>11</v>
      </c>
      <c r="F162" s="37" t="s">
        <v>11</v>
      </c>
      <c r="G162" s="38">
        <f>G163+G176</f>
        <v>38638.9</v>
      </c>
      <c r="H162" s="45">
        <f>H163+H176</f>
        <v>480</v>
      </c>
      <c r="I162" s="38">
        <f>I163+I176</f>
        <v>39118.9</v>
      </c>
      <c r="J162" s="39">
        <f>J163+J176</f>
        <v>43692.5</v>
      </c>
      <c r="K162" s="45">
        <f>K163</f>
        <v>0</v>
      </c>
      <c r="L162" s="39">
        <f>L163+L176</f>
        <v>43692.5</v>
      </c>
      <c r="M162" s="38">
        <f>M163+M176</f>
        <v>82331.399999999994</v>
      </c>
      <c r="N162" s="38">
        <f>N163+N176</f>
        <v>480</v>
      </c>
      <c r="O162" s="78">
        <f>O163+O176</f>
        <v>82811.399999999994</v>
      </c>
      <c r="P162" s="15"/>
    </row>
    <row r="163" spans="1:16" ht="47.25" x14ac:dyDescent="0.2">
      <c r="A163" s="40"/>
      <c r="B163" s="41" t="s">
        <v>230</v>
      </c>
      <c r="C163" s="42" t="s">
        <v>51</v>
      </c>
      <c r="D163" s="43" t="s">
        <v>229</v>
      </c>
      <c r="E163" s="43" t="s">
        <v>231</v>
      </c>
      <c r="F163" s="44" t="s">
        <v>11</v>
      </c>
      <c r="G163" s="45">
        <f>G164</f>
        <v>26211.7</v>
      </c>
      <c r="H163" s="45">
        <f>H164+H172</f>
        <v>480</v>
      </c>
      <c r="I163" s="45">
        <f>I164</f>
        <v>26691.7</v>
      </c>
      <c r="J163" s="46">
        <f>J164</f>
        <v>43692.5</v>
      </c>
      <c r="K163" s="45">
        <f>K164+K172</f>
        <v>0</v>
      </c>
      <c r="L163" s="46">
        <f>L164</f>
        <v>43692.5</v>
      </c>
      <c r="M163" s="45">
        <f>M164</f>
        <v>69904.2</v>
      </c>
      <c r="N163" s="45">
        <f>N164</f>
        <v>480</v>
      </c>
      <c r="O163" s="45">
        <f>O164</f>
        <v>70384.2</v>
      </c>
    </row>
    <row r="164" spans="1:16" ht="47.25" x14ac:dyDescent="0.2">
      <c r="A164" s="40"/>
      <c r="B164" s="41" t="s">
        <v>232</v>
      </c>
      <c r="C164" s="42" t="s">
        <v>51</v>
      </c>
      <c r="D164" s="43" t="s">
        <v>229</v>
      </c>
      <c r="E164" s="43" t="s">
        <v>233</v>
      </c>
      <c r="F164" s="44" t="s">
        <v>11</v>
      </c>
      <c r="G164" s="45">
        <f>G165+G173</f>
        <v>26211.7</v>
      </c>
      <c r="H164" s="45">
        <f>H165+H173</f>
        <v>480</v>
      </c>
      <c r="I164" s="45">
        <f>I165+I173</f>
        <v>26691.7</v>
      </c>
      <c r="J164" s="46">
        <f>J165+J173</f>
        <v>43692.5</v>
      </c>
      <c r="K164" s="45">
        <f>K165</f>
        <v>0</v>
      </c>
      <c r="L164" s="46">
        <f>L165+L173</f>
        <v>43692.5</v>
      </c>
      <c r="M164" s="45">
        <f>M165+M173</f>
        <v>69904.2</v>
      </c>
      <c r="N164" s="45">
        <f>N165+N173</f>
        <v>480</v>
      </c>
      <c r="O164" s="45">
        <f>O165+O173</f>
        <v>70384.2</v>
      </c>
    </row>
    <row r="165" spans="1:16" ht="31.5" x14ac:dyDescent="0.2">
      <c r="A165" s="40"/>
      <c r="B165" s="41" t="s">
        <v>234</v>
      </c>
      <c r="C165" s="42" t="s">
        <v>51</v>
      </c>
      <c r="D165" s="43" t="s">
        <v>229</v>
      </c>
      <c r="E165" s="43" t="s">
        <v>235</v>
      </c>
      <c r="F165" s="44" t="s">
        <v>11</v>
      </c>
      <c r="G165" s="45">
        <f>G166+G171+G169</f>
        <v>20101.7</v>
      </c>
      <c r="H165" s="45">
        <f t="shared" ref="H165:O165" si="23">H166+H171+H169</f>
        <v>480</v>
      </c>
      <c r="I165" s="45">
        <f t="shared" si="23"/>
        <v>20581.7</v>
      </c>
      <c r="J165" s="45">
        <f t="shared" si="23"/>
        <v>43692.5</v>
      </c>
      <c r="K165" s="45">
        <f t="shared" si="23"/>
        <v>0</v>
      </c>
      <c r="L165" s="45">
        <f t="shared" si="23"/>
        <v>43692.5</v>
      </c>
      <c r="M165" s="45">
        <f t="shared" si="23"/>
        <v>63794.2</v>
      </c>
      <c r="N165" s="45">
        <f t="shared" si="23"/>
        <v>480</v>
      </c>
      <c r="O165" s="45">
        <f t="shared" si="23"/>
        <v>64274.2</v>
      </c>
    </row>
    <row r="166" spans="1:16" ht="63" x14ac:dyDescent="0.2">
      <c r="A166" s="40"/>
      <c r="B166" s="41" t="s">
        <v>236</v>
      </c>
      <c r="C166" s="42" t="s">
        <v>51</v>
      </c>
      <c r="D166" s="43" t="s">
        <v>229</v>
      </c>
      <c r="E166" s="43" t="s">
        <v>237</v>
      </c>
      <c r="F166" s="44" t="s">
        <v>11</v>
      </c>
      <c r="G166" s="45">
        <f>G167+G168</f>
        <v>19801.7</v>
      </c>
      <c r="H166" s="45">
        <f>H167+H168</f>
        <v>480</v>
      </c>
      <c r="I166" s="45">
        <f t="shared" ref="I166:O166" si="24">I167+I168</f>
        <v>20281.7</v>
      </c>
      <c r="J166" s="46">
        <f t="shared" si="24"/>
        <v>17036</v>
      </c>
      <c r="K166" s="46">
        <f t="shared" si="24"/>
        <v>0</v>
      </c>
      <c r="L166" s="46">
        <f t="shared" si="24"/>
        <v>17036</v>
      </c>
      <c r="M166" s="45">
        <f t="shared" si="24"/>
        <v>36837.699999999997</v>
      </c>
      <c r="N166" s="45">
        <f t="shared" si="24"/>
        <v>480</v>
      </c>
      <c r="O166" s="45">
        <f t="shared" si="24"/>
        <v>37317.699999999997</v>
      </c>
    </row>
    <row r="167" spans="1:16" ht="31.5" x14ac:dyDescent="0.2">
      <c r="A167" s="40"/>
      <c r="B167" s="41" t="s">
        <v>40</v>
      </c>
      <c r="C167" s="42" t="s">
        <v>51</v>
      </c>
      <c r="D167" s="43" t="s">
        <v>229</v>
      </c>
      <c r="E167" s="43" t="s">
        <v>237</v>
      </c>
      <c r="F167" s="44" t="s">
        <v>41</v>
      </c>
      <c r="G167" s="48">
        <v>19201.7</v>
      </c>
      <c r="H167" s="48"/>
      <c r="I167" s="48">
        <f>SUM(G167)</f>
        <v>19201.7</v>
      </c>
      <c r="J167" s="47">
        <v>0</v>
      </c>
      <c r="K167" s="48">
        <f>26656.5-26656.5</f>
        <v>0</v>
      </c>
      <c r="L167" s="47">
        <f>SUM(K167)</f>
        <v>0</v>
      </c>
      <c r="M167" s="48">
        <f>SUM(G167)</f>
        <v>19201.7</v>
      </c>
      <c r="N167" s="48">
        <f>SUM(K167)+H167</f>
        <v>0</v>
      </c>
      <c r="O167" s="45">
        <f>SUM(I167+L167)</f>
        <v>19201.7</v>
      </c>
    </row>
    <row r="168" spans="1:16" ht="31.5" x14ac:dyDescent="0.2">
      <c r="A168" s="40"/>
      <c r="B168" s="41" t="s">
        <v>225</v>
      </c>
      <c r="C168" s="58">
        <v>992</v>
      </c>
      <c r="D168" s="57" t="s">
        <v>229</v>
      </c>
      <c r="E168" s="57" t="s">
        <v>237</v>
      </c>
      <c r="F168" s="59" t="s">
        <v>226</v>
      </c>
      <c r="G168" s="48">
        <v>600</v>
      </c>
      <c r="H168" s="45">
        <v>480</v>
      </c>
      <c r="I168" s="48">
        <f>SUM(G168)+H168</f>
        <v>1080</v>
      </c>
      <c r="J168" s="47">
        <v>17036</v>
      </c>
      <c r="K168" s="45"/>
      <c r="L168" s="47">
        <f>SUM(J168)</f>
        <v>17036</v>
      </c>
      <c r="M168" s="48">
        <f>SUM(G168+J168)</f>
        <v>17636</v>
      </c>
      <c r="N168" s="48">
        <f>SUM(K168)+H168</f>
        <v>480</v>
      </c>
      <c r="O168" s="48">
        <f>SUM(M168)+N168</f>
        <v>18116</v>
      </c>
    </row>
    <row r="169" spans="1:16" ht="110.25" x14ac:dyDescent="0.2">
      <c r="A169" s="40"/>
      <c r="B169" s="56" t="s">
        <v>238</v>
      </c>
      <c r="C169" s="58">
        <v>992</v>
      </c>
      <c r="D169" s="57" t="s">
        <v>229</v>
      </c>
      <c r="E169" s="57" t="s">
        <v>239</v>
      </c>
      <c r="F169" s="59"/>
      <c r="G169" s="48">
        <f t="shared" ref="G169:O169" si="25">G170</f>
        <v>0</v>
      </c>
      <c r="H169" s="45">
        <f t="shared" si="25"/>
        <v>0</v>
      </c>
      <c r="I169" s="48">
        <f t="shared" si="25"/>
        <v>0</v>
      </c>
      <c r="J169" s="47">
        <f t="shared" si="25"/>
        <v>26656.5</v>
      </c>
      <c r="K169" s="45">
        <f t="shared" si="25"/>
        <v>0</v>
      </c>
      <c r="L169" s="47">
        <f t="shared" si="25"/>
        <v>26656.5</v>
      </c>
      <c r="M169" s="48">
        <f t="shared" si="25"/>
        <v>26656.5</v>
      </c>
      <c r="N169" s="48">
        <f t="shared" si="25"/>
        <v>0</v>
      </c>
      <c r="O169" s="45">
        <f t="shared" si="25"/>
        <v>26656.5</v>
      </c>
    </row>
    <row r="170" spans="1:16" ht="31.5" x14ac:dyDescent="0.2">
      <c r="A170" s="40"/>
      <c r="B170" s="56" t="s">
        <v>40</v>
      </c>
      <c r="C170" s="58">
        <v>992</v>
      </c>
      <c r="D170" s="57" t="s">
        <v>229</v>
      </c>
      <c r="E170" s="57" t="s">
        <v>239</v>
      </c>
      <c r="F170" s="59" t="s">
        <v>41</v>
      </c>
      <c r="G170" s="48"/>
      <c r="H170" s="45"/>
      <c r="I170" s="48">
        <f>SUM(G170:H170)</f>
        <v>0</v>
      </c>
      <c r="J170" s="47">
        <v>26656.5</v>
      </c>
      <c r="K170" s="45"/>
      <c r="L170" s="47">
        <f>SUM(J170:K170)</f>
        <v>26656.5</v>
      </c>
      <c r="M170" s="48">
        <f>SUM(J170)</f>
        <v>26656.5</v>
      </c>
      <c r="N170" s="48">
        <f>H170+K170</f>
        <v>0</v>
      </c>
      <c r="O170" s="45">
        <f>I170+L170</f>
        <v>26656.5</v>
      </c>
    </row>
    <row r="171" spans="1:16" ht="78.75" x14ac:dyDescent="0.2">
      <c r="A171" s="40"/>
      <c r="B171" s="41" t="s">
        <v>240</v>
      </c>
      <c r="C171" s="42" t="s">
        <v>51</v>
      </c>
      <c r="D171" s="43" t="s">
        <v>229</v>
      </c>
      <c r="E171" s="43" t="s">
        <v>241</v>
      </c>
      <c r="F171" s="44" t="s">
        <v>11</v>
      </c>
      <c r="G171" s="45">
        <f>G172</f>
        <v>300</v>
      </c>
      <c r="H171" s="45"/>
      <c r="I171" s="45">
        <f>I172</f>
        <v>300</v>
      </c>
      <c r="J171" s="46">
        <f>J172</f>
        <v>0</v>
      </c>
      <c r="K171" s="45"/>
      <c r="L171" s="46">
        <f>L172</f>
        <v>0</v>
      </c>
      <c r="M171" s="45">
        <f>M172</f>
        <v>300</v>
      </c>
      <c r="N171" s="45">
        <f>N172</f>
        <v>0</v>
      </c>
      <c r="O171" s="45">
        <f>O172</f>
        <v>300</v>
      </c>
    </row>
    <row r="172" spans="1:16" ht="31.5" x14ac:dyDescent="0.2">
      <c r="A172" s="40"/>
      <c r="B172" s="41" t="s">
        <v>40</v>
      </c>
      <c r="C172" s="42" t="s">
        <v>51</v>
      </c>
      <c r="D172" s="43" t="s">
        <v>229</v>
      </c>
      <c r="E172" s="43" t="s">
        <v>241</v>
      </c>
      <c r="F172" s="44" t="s">
        <v>41</v>
      </c>
      <c r="G172" s="45">
        <v>300</v>
      </c>
      <c r="H172" s="45">
        <f t="shared" ref="G172:O174" si="26">H173</f>
        <v>0</v>
      </c>
      <c r="I172" s="45">
        <v>300</v>
      </c>
      <c r="J172" s="47">
        <v>0</v>
      </c>
      <c r="K172" s="45">
        <f t="shared" si="26"/>
        <v>0</v>
      </c>
      <c r="L172" s="47">
        <v>0</v>
      </c>
      <c r="M172" s="45">
        <v>300</v>
      </c>
      <c r="N172" s="45"/>
      <c r="O172" s="45">
        <v>300</v>
      </c>
    </row>
    <row r="173" spans="1:16" ht="31.5" x14ac:dyDescent="0.2">
      <c r="A173" s="40"/>
      <c r="B173" s="41" t="s">
        <v>242</v>
      </c>
      <c r="C173" s="42" t="s">
        <v>51</v>
      </c>
      <c r="D173" s="43" t="s">
        <v>229</v>
      </c>
      <c r="E173" s="43" t="s">
        <v>243</v>
      </c>
      <c r="F173" s="44" t="s">
        <v>11</v>
      </c>
      <c r="G173" s="45">
        <f t="shared" si="26"/>
        <v>6110</v>
      </c>
      <c r="H173" s="45">
        <f t="shared" si="26"/>
        <v>0</v>
      </c>
      <c r="I173" s="45">
        <f t="shared" si="26"/>
        <v>6110</v>
      </c>
      <c r="J173" s="46">
        <f t="shared" si="26"/>
        <v>0</v>
      </c>
      <c r="K173" s="45">
        <f t="shared" si="26"/>
        <v>0</v>
      </c>
      <c r="L173" s="46">
        <f t="shared" si="26"/>
        <v>0</v>
      </c>
      <c r="M173" s="45">
        <f t="shared" si="26"/>
        <v>6110</v>
      </c>
      <c r="N173" s="45">
        <f t="shared" si="26"/>
        <v>0</v>
      </c>
      <c r="O173" s="45">
        <f t="shared" si="26"/>
        <v>6110</v>
      </c>
    </row>
    <row r="174" spans="1:16" ht="78.75" x14ac:dyDescent="0.2">
      <c r="A174" s="40"/>
      <c r="B174" s="41" t="s">
        <v>240</v>
      </c>
      <c r="C174" s="42" t="s">
        <v>51</v>
      </c>
      <c r="D174" s="43" t="s">
        <v>229</v>
      </c>
      <c r="E174" s="43" t="s">
        <v>244</v>
      </c>
      <c r="F174" s="44" t="s">
        <v>11</v>
      </c>
      <c r="G174" s="45">
        <f t="shared" si="26"/>
        <v>6110</v>
      </c>
      <c r="H174" s="48"/>
      <c r="I174" s="45">
        <f t="shared" si="26"/>
        <v>6110</v>
      </c>
      <c r="J174" s="46">
        <f t="shared" si="26"/>
        <v>0</v>
      </c>
      <c r="K174" s="48"/>
      <c r="L174" s="46">
        <f t="shared" si="26"/>
        <v>0</v>
      </c>
      <c r="M174" s="45">
        <f t="shared" si="26"/>
        <v>6110</v>
      </c>
      <c r="N174" s="45">
        <f t="shared" si="26"/>
        <v>0</v>
      </c>
      <c r="O174" s="45">
        <f t="shared" si="26"/>
        <v>6110</v>
      </c>
    </row>
    <row r="175" spans="1:16" ht="31.5" x14ac:dyDescent="0.2">
      <c r="A175" s="40"/>
      <c r="B175" s="41" t="s">
        <v>40</v>
      </c>
      <c r="C175" s="42" t="s">
        <v>51</v>
      </c>
      <c r="D175" s="43" t="s">
        <v>229</v>
      </c>
      <c r="E175" s="43" t="s">
        <v>244</v>
      </c>
      <c r="F175" s="44" t="s">
        <v>41</v>
      </c>
      <c r="G175" s="48">
        <f>4810+1300</f>
        <v>6110</v>
      </c>
      <c r="H175" s="45"/>
      <c r="I175" s="48">
        <f>4810+1300</f>
        <v>6110</v>
      </c>
      <c r="J175" s="47">
        <v>0</v>
      </c>
      <c r="K175" s="45"/>
      <c r="L175" s="47">
        <v>0</v>
      </c>
      <c r="M175" s="48">
        <f>4810+1300</f>
        <v>6110</v>
      </c>
      <c r="N175" s="48"/>
      <c r="O175" s="48">
        <f>4810+1300</f>
        <v>6110</v>
      </c>
    </row>
    <row r="176" spans="1:16" ht="31.5" x14ac:dyDescent="0.2">
      <c r="A176" s="40"/>
      <c r="B176" s="41" t="s">
        <v>245</v>
      </c>
      <c r="C176" s="42" t="s">
        <v>51</v>
      </c>
      <c r="D176" s="43" t="s">
        <v>229</v>
      </c>
      <c r="E176" s="43" t="s">
        <v>246</v>
      </c>
      <c r="F176" s="44" t="s">
        <v>11</v>
      </c>
      <c r="G176" s="45">
        <f t="shared" ref="G176:O179" si="27">G177</f>
        <v>12427.2</v>
      </c>
      <c r="H176" s="45">
        <f t="shared" si="27"/>
        <v>0</v>
      </c>
      <c r="I176" s="45">
        <f t="shared" si="27"/>
        <v>12427.2</v>
      </c>
      <c r="J176" s="46">
        <f t="shared" si="27"/>
        <v>0</v>
      </c>
      <c r="K176" s="45">
        <f>K177</f>
        <v>0</v>
      </c>
      <c r="L176" s="46">
        <f t="shared" si="27"/>
        <v>0</v>
      </c>
      <c r="M176" s="45">
        <f t="shared" si="27"/>
        <v>12427.2</v>
      </c>
      <c r="N176" s="45">
        <f t="shared" si="27"/>
        <v>0</v>
      </c>
      <c r="O176" s="45">
        <f t="shared" si="27"/>
        <v>12427.2</v>
      </c>
    </row>
    <row r="177" spans="1:16" ht="15.75" x14ac:dyDescent="0.2">
      <c r="A177" s="40"/>
      <c r="B177" s="41" t="s">
        <v>247</v>
      </c>
      <c r="C177" s="42" t="s">
        <v>51</v>
      </c>
      <c r="D177" s="43" t="s">
        <v>229</v>
      </c>
      <c r="E177" s="43" t="s">
        <v>248</v>
      </c>
      <c r="F177" s="44" t="s">
        <v>11</v>
      </c>
      <c r="G177" s="45">
        <f t="shared" si="27"/>
        <v>12427.2</v>
      </c>
      <c r="H177" s="45">
        <f t="shared" si="27"/>
        <v>0</v>
      </c>
      <c r="I177" s="45">
        <f t="shared" si="27"/>
        <v>12427.2</v>
      </c>
      <c r="J177" s="46">
        <f t="shared" si="27"/>
        <v>0</v>
      </c>
      <c r="K177" s="45">
        <f>K178</f>
        <v>0</v>
      </c>
      <c r="L177" s="46">
        <f t="shared" si="27"/>
        <v>0</v>
      </c>
      <c r="M177" s="45">
        <f t="shared" si="27"/>
        <v>12427.2</v>
      </c>
      <c r="N177" s="45">
        <f t="shared" si="27"/>
        <v>0</v>
      </c>
      <c r="O177" s="45">
        <f t="shared" si="27"/>
        <v>12427.2</v>
      </c>
    </row>
    <row r="178" spans="1:16" ht="47.25" x14ac:dyDescent="0.2">
      <c r="A178" s="40"/>
      <c r="B178" s="41" t="s">
        <v>249</v>
      </c>
      <c r="C178" s="42" t="s">
        <v>51</v>
      </c>
      <c r="D178" s="43" t="s">
        <v>229</v>
      </c>
      <c r="E178" s="43" t="s">
        <v>250</v>
      </c>
      <c r="F178" s="44" t="s">
        <v>11</v>
      </c>
      <c r="G178" s="45">
        <f t="shared" si="27"/>
        <v>12427.2</v>
      </c>
      <c r="H178" s="45">
        <f>H179+H181</f>
        <v>0</v>
      </c>
      <c r="I178" s="45">
        <f>I179+I181</f>
        <v>12427.2</v>
      </c>
      <c r="J178" s="46">
        <f t="shared" si="27"/>
        <v>0</v>
      </c>
      <c r="K178" s="45">
        <f>K179</f>
        <v>0</v>
      </c>
      <c r="L178" s="46">
        <f t="shared" si="27"/>
        <v>0</v>
      </c>
      <c r="M178" s="45">
        <f t="shared" si="27"/>
        <v>12427.2</v>
      </c>
      <c r="N178" s="45">
        <f>SUM(N181)+N179</f>
        <v>0</v>
      </c>
      <c r="O178" s="45">
        <f>O179+O181</f>
        <v>12427.2</v>
      </c>
    </row>
    <row r="179" spans="1:16" ht="31.5" x14ac:dyDescent="0.2">
      <c r="A179" s="40"/>
      <c r="B179" s="41" t="s">
        <v>134</v>
      </c>
      <c r="C179" s="42" t="s">
        <v>51</v>
      </c>
      <c r="D179" s="43" t="s">
        <v>229</v>
      </c>
      <c r="E179" s="43" t="s">
        <v>251</v>
      </c>
      <c r="F179" s="44" t="s">
        <v>11</v>
      </c>
      <c r="G179" s="45">
        <f>G180</f>
        <v>12427.2</v>
      </c>
      <c r="H179" s="45">
        <f>SUM(H180)</f>
        <v>0</v>
      </c>
      <c r="I179" s="45">
        <f>I180</f>
        <v>12427.2</v>
      </c>
      <c r="J179" s="46">
        <f t="shared" si="27"/>
        <v>0</v>
      </c>
      <c r="K179" s="45"/>
      <c r="L179" s="46">
        <f t="shared" si="27"/>
        <v>0</v>
      </c>
      <c r="M179" s="45">
        <f t="shared" si="27"/>
        <v>12427.2</v>
      </c>
      <c r="N179" s="45">
        <f t="shared" si="27"/>
        <v>0</v>
      </c>
      <c r="O179" s="45">
        <f t="shared" si="27"/>
        <v>12427.2</v>
      </c>
    </row>
    <row r="180" spans="1:16" ht="34.9" customHeight="1" x14ac:dyDescent="0.2">
      <c r="A180" s="40"/>
      <c r="B180" s="41" t="s">
        <v>95</v>
      </c>
      <c r="C180" s="42" t="s">
        <v>51</v>
      </c>
      <c r="D180" s="43" t="s">
        <v>229</v>
      </c>
      <c r="E180" s="43" t="s">
        <v>251</v>
      </c>
      <c r="F180" s="44" t="s">
        <v>96</v>
      </c>
      <c r="G180" s="45">
        <v>12427.2</v>
      </c>
      <c r="H180" s="66"/>
      <c r="I180" s="45">
        <f>SUM(G180)</f>
        <v>12427.2</v>
      </c>
      <c r="J180" s="47">
        <v>0</v>
      </c>
      <c r="K180" s="38"/>
      <c r="L180" s="47">
        <v>0</v>
      </c>
      <c r="M180" s="45">
        <f>SUM(G180)</f>
        <v>12427.2</v>
      </c>
      <c r="N180" s="45">
        <f>SUM(H180)</f>
        <v>0</v>
      </c>
      <c r="O180" s="45">
        <f>SUM(M180)</f>
        <v>12427.2</v>
      </c>
    </row>
    <row r="181" spans="1:16" ht="0.75" customHeight="1" x14ac:dyDescent="0.2">
      <c r="A181" s="40"/>
      <c r="B181" s="41"/>
      <c r="C181" s="42">
        <v>992</v>
      </c>
      <c r="D181" s="43" t="s">
        <v>229</v>
      </c>
      <c r="E181" s="43">
        <v>650309100</v>
      </c>
      <c r="F181" s="44"/>
      <c r="G181" s="45"/>
      <c r="H181" s="66">
        <f>SUM(H182)</f>
        <v>0</v>
      </c>
      <c r="I181" s="66">
        <f>SUM(I182)</f>
        <v>0</v>
      </c>
      <c r="J181" s="47"/>
      <c r="K181" s="38"/>
      <c r="L181" s="47"/>
      <c r="M181" s="45"/>
      <c r="N181" s="45">
        <f>SUM(H181)</f>
        <v>0</v>
      </c>
      <c r="O181" s="45">
        <f>SUM(I181)</f>
        <v>0</v>
      </c>
    </row>
    <row r="182" spans="1:16" ht="34.5" hidden="1" customHeight="1" x14ac:dyDescent="0.2">
      <c r="A182" s="40"/>
      <c r="B182" s="41" t="s">
        <v>95</v>
      </c>
      <c r="C182" s="42">
        <v>992</v>
      </c>
      <c r="D182" s="43" t="s">
        <v>229</v>
      </c>
      <c r="E182" s="43">
        <v>650309100</v>
      </c>
      <c r="F182" s="44">
        <v>600</v>
      </c>
      <c r="G182" s="45"/>
      <c r="H182" s="66"/>
      <c r="I182" s="66"/>
      <c r="J182" s="47"/>
      <c r="K182" s="38"/>
      <c r="L182" s="47"/>
      <c r="M182" s="45"/>
      <c r="N182" s="45">
        <f>SUM(H182)</f>
        <v>0</v>
      </c>
      <c r="O182" s="45">
        <f>SUM(I182)</f>
        <v>0</v>
      </c>
    </row>
    <row r="183" spans="1:16" ht="23.25" customHeight="1" x14ac:dyDescent="0.2">
      <c r="A183" s="33" t="s">
        <v>252</v>
      </c>
      <c r="B183" s="34" t="s">
        <v>253</v>
      </c>
      <c r="C183" s="35" t="s">
        <v>51</v>
      </c>
      <c r="D183" s="36" t="s">
        <v>254</v>
      </c>
      <c r="E183" s="36" t="s">
        <v>11</v>
      </c>
      <c r="F183" s="37" t="s">
        <v>11</v>
      </c>
      <c r="G183" s="38">
        <f t="shared" ref="G183:O187" si="28">G184</f>
        <v>1736</v>
      </c>
      <c r="H183" s="45">
        <f t="shared" si="28"/>
        <v>0</v>
      </c>
      <c r="I183" s="38">
        <f t="shared" si="28"/>
        <v>1736</v>
      </c>
      <c r="J183" s="39">
        <f t="shared" si="28"/>
        <v>0</v>
      </c>
      <c r="K183" s="45">
        <f>K184</f>
        <v>0</v>
      </c>
      <c r="L183" s="39">
        <f t="shared" si="28"/>
        <v>0</v>
      </c>
      <c r="M183" s="38">
        <f t="shared" si="28"/>
        <v>1736</v>
      </c>
      <c r="N183" s="38">
        <f t="shared" si="28"/>
        <v>0</v>
      </c>
      <c r="O183" s="38">
        <f t="shared" si="28"/>
        <v>1736</v>
      </c>
    </row>
    <row r="184" spans="1:16" ht="31.5" x14ac:dyDescent="0.2">
      <c r="A184" s="40"/>
      <c r="B184" s="41" t="s">
        <v>97</v>
      </c>
      <c r="C184" s="42" t="s">
        <v>51</v>
      </c>
      <c r="D184" s="43" t="s">
        <v>254</v>
      </c>
      <c r="E184" s="43" t="s">
        <v>98</v>
      </c>
      <c r="F184" s="44" t="s">
        <v>11</v>
      </c>
      <c r="G184" s="45">
        <f t="shared" si="28"/>
        <v>1736</v>
      </c>
      <c r="H184" s="45">
        <f t="shared" si="28"/>
        <v>0</v>
      </c>
      <c r="I184" s="45">
        <f t="shared" si="28"/>
        <v>1736</v>
      </c>
      <c r="J184" s="46">
        <f t="shared" si="28"/>
        <v>0</v>
      </c>
      <c r="K184" s="45">
        <f>K185</f>
        <v>0</v>
      </c>
      <c r="L184" s="46">
        <f t="shared" si="28"/>
        <v>0</v>
      </c>
      <c r="M184" s="45">
        <f t="shared" si="28"/>
        <v>1736</v>
      </c>
      <c r="N184" s="45">
        <f t="shared" si="28"/>
        <v>0</v>
      </c>
      <c r="O184" s="45">
        <f t="shared" si="28"/>
        <v>1736</v>
      </c>
    </row>
    <row r="185" spans="1:16" ht="15.75" x14ac:dyDescent="0.2">
      <c r="A185" s="40"/>
      <c r="B185" s="41" t="s">
        <v>255</v>
      </c>
      <c r="C185" s="42" t="s">
        <v>51</v>
      </c>
      <c r="D185" s="43" t="s">
        <v>254</v>
      </c>
      <c r="E185" s="43" t="s">
        <v>256</v>
      </c>
      <c r="F185" s="44" t="s">
        <v>11</v>
      </c>
      <c r="G185" s="45">
        <f t="shared" si="28"/>
        <v>1736</v>
      </c>
      <c r="H185" s="45">
        <f t="shared" si="28"/>
        <v>0</v>
      </c>
      <c r="I185" s="45">
        <f t="shared" si="28"/>
        <v>1736</v>
      </c>
      <c r="J185" s="46">
        <f t="shared" si="28"/>
        <v>0</v>
      </c>
      <c r="K185" s="45">
        <f>K186</f>
        <v>0</v>
      </c>
      <c r="L185" s="46">
        <f t="shared" si="28"/>
        <v>0</v>
      </c>
      <c r="M185" s="45">
        <f t="shared" si="28"/>
        <v>1736</v>
      </c>
      <c r="N185" s="45">
        <f t="shared" si="28"/>
        <v>0</v>
      </c>
      <c r="O185" s="45">
        <f t="shared" si="28"/>
        <v>1736</v>
      </c>
    </row>
    <row r="186" spans="1:16" ht="31.5" x14ac:dyDescent="0.2">
      <c r="A186" s="40"/>
      <c r="B186" s="41" t="s">
        <v>257</v>
      </c>
      <c r="C186" s="42" t="s">
        <v>51</v>
      </c>
      <c r="D186" s="43" t="s">
        <v>254</v>
      </c>
      <c r="E186" s="43" t="s">
        <v>258</v>
      </c>
      <c r="F186" s="44" t="s">
        <v>11</v>
      </c>
      <c r="G186" s="45">
        <f t="shared" si="28"/>
        <v>1736</v>
      </c>
      <c r="H186" s="45">
        <f t="shared" si="28"/>
        <v>0</v>
      </c>
      <c r="I186" s="45">
        <f t="shared" si="28"/>
        <v>1736</v>
      </c>
      <c r="J186" s="46">
        <f t="shared" si="28"/>
        <v>0</v>
      </c>
      <c r="K186" s="45">
        <f>K187</f>
        <v>0</v>
      </c>
      <c r="L186" s="46">
        <f t="shared" si="28"/>
        <v>0</v>
      </c>
      <c r="M186" s="45">
        <f t="shared" si="28"/>
        <v>1736</v>
      </c>
      <c r="N186" s="45">
        <f t="shared" si="28"/>
        <v>0</v>
      </c>
      <c r="O186" s="45">
        <f t="shared" si="28"/>
        <v>1736</v>
      </c>
    </row>
    <row r="187" spans="1:16" ht="32.450000000000003" customHeight="1" x14ac:dyDescent="0.2">
      <c r="A187" s="40"/>
      <c r="B187" s="41" t="s">
        <v>103</v>
      </c>
      <c r="C187" s="42" t="s">
        <v>51</v>
      </c>
      <c r="D187" s="43" t="s">
        <v>254</v>
      </c>
      <c r="E187" s="43" t="s">
        <v>259</v>
      </c>
      <c r="F187" s="44" t="s">
        <v>11</v>
      </c>
      <c r="G187" s="45">
        <f>G188</f>
        <v>1736</v>
      </c>
      <c r="H187" s="45"/>
      <c r="I187" s="45">
        <f>I188</f>
        <v>1736</v>
      </c>
      <c r="J187" s="46">
        <f t="shared" si="28"/>
        <v>0</v>
      </c>
      <c r="K187" s="45"/>
      <c r="L187" s="46">
        <f t="shared" si="28"/>
        <v>0</v>
      </c>
      <c r="M187" s="45">
        <f t="shared" si="28"/>
        <v>1736</v>
      </c>
      <c r="N187" s="45">
        <f t="shared" si="28"/>
        <v>0</v>
      </c>
      <c r="O187" s="45">
        <f t="shared" si="28"/>
        <v>1736</v>
      </c>
    </row>
    <row r="188" spans="1:16" ht="31.5" x14ac:dyDescent="0.2">
      <c r="A188" s="40"/>
      <c r="B188" s="41" t="s">
        <v>40</v>
      </c>
      <c r="C188" s="42" t="s">
        <v>51</v>
      </c>
      <c r="D188" s="43" t="s">
        <v>254</v>
      </c>
      <c r="E188" s="43" t="s">
        <v>259</v>
      </c>
      <c r="F188" s="44" t="s">
        <v>41</v>
      </c>
      <c r="G188" s="45">
        <v>1736</v>
      </c>
      <c r="H188" s="38"/>
      <c r="I188" s="45">
        <v>1736</v>
      </c>
      <c r="J188" s="47">
        <v>0</v>
      </c>
      <c r="K188" s="38"/>
      <c r="L188" s="47">
        <v>0</v>
      </c>
      <c r="M188" s="45">
        <v>1736</v>
      </c>
      <c r="N188" s="45"/>
      <c r="O188" s="45">
        <v>1736</v>
      </c>
    </row>
    <row r="189" spans="1:16" ht="24" customHeight="1" x14ac:dyDescent="0.2">
      <c r="A189" s="33" t="s">
        <v>260</v>
      </c>
      <c r="B189" s="34" t="s">
        <v>261</v>
      </c>
      <c r="C189" s="35" t="s">
        <v>51</v>
      </c>
      <c r="D189" s="36" t="s">
        <v>262</v>
      </c>
      <c r="E189" s="36" t="s">
        <v>11</v>
      </c>
      <c r="F189" s="37" t="s">
        <v>11</v>
      </c>
      <c r="G189" s="38">
        <f>G190+G213+G210</f>
        <v>21809.5</v>
      </c>
      <c r="H189" s="45">
        <f>H190</f>
        <v>294.2</v>
      </c>
      <c r="I189" s="38">
        <f>I190+I213+I210</f>
        <v>22103.699999999997</v>
      </c>
      <c r="J189" s="39">
        <f>J190+J213</f>
        <v>7971.1</v>
      </c>
      <c r="K189" s="45">
        <f>K190</f>
        <v>5589.3</v>
      </c>
      <c r="L189" s="39">
        <f>L190+L213</f>
        <v>13560.400000000001</v>
      </c>
      <c r="M189" s="38">
        <f>M190+M213+M210</f>
        <v>29780.6</v>
      </c>
      <c r="N189" s="45">
        <f>N190</f>
        <v>5883.5</v>
      </c>
      <c r="O189" s="78">
        <f>O190+O213+O210</f>
        <v>35664.1</v>
      </c>
      <c r="P189" s="15"/>
    </row>
    <row r="190" spans="1:16" ht="47.25" x14ac:dyDescent="0.2">
      <c r="A190" s="40"/>
      <c r="B190" s="41" t="s">
        <v>230</v>
      </c>
      <c r="C190" s="42" t="s">
        <v>51</v>
      </c>
      <c r="D190" s="43" t="s">
        <v>262</v>
      </c>
      <c r="E190" s="43" t="s">
        <v>231</v>
      </c>
      <c r="F190" s="44" t="s">
        <v>11</v>
      </c>
      <c r="G190" s="45">
        <f>G191+G199</f>
        <v>16186.9</v>
      </c>
      <c r="H190" s="45">
        <f>H191+H199</f>
        <v>294.2</v>
      </c>
      <c r="I190" s="45">
        <f>I191+I199</f>
        <v>16481.099999999999</v>
      </c>
      <c r="J190" s="46">
        <f>J191+J199</f>
        <v>7971.1</v>
      </c>
      <c r="K190" s="45">
        <f>K191</f>
        <v>5589.3</v>
      </c>
      <c r="L190" s="46">
        <f>L191+L199</f>
        <v>13560.400000000001</v>
      </c>
      <c r="M190" s="45">
        <f>M191+M199</f>
        <v>24158</v>
      </c>
      <c r="N190" s="45">
        <f>N191+N199</f>
        <v>5883.5</v>
      </c>
      <c r="O190" s="45">
        <f>O191+O199</f>
        <v>30041.5</v>
      </c>
      <c r="P190" s="16"/>
    </row>
    <row r="191" spans="1:16" ht="36" customHeight="1" x14ac:dyDescent="0.2">
      <c r="A191" s="40"/>
      <c r="B191" s="41" t="s">
        <v>263</v>
      </c>
      <c r="C191" s="42" t="s">
        <v>51</v>
      </c>
      <c r="D191" s="43" t="s">
        <v>262</v>
      </c>
      <c r="E191" s="43" t="s">
        <v>264</v>
      </c>
      <c r="F191" s="44" t="s">
        <v>11</v>
      </c>
      <c r="G191" s="45">
        <f>G192</f>
        <v>1154.9000000000001</v>
      </c>
      <c r="H191" s="45">
        <f>H192</f>
        <v>294.2</v>
      </c>
      <c r="I191" s="45">
        <f>I192</f>
        <v>1449.1000000000001</v>
      </c>
      <c r="J191" s="46">
        <f>J192</f>
        <v>7971.1</v>
      </c>
      <c r="K191" s="45">
        <f>K192</f>
        <v>5589.3</v>
      </c>
      <c r="L191" s="46">
        <f>L192</f>
        <v>13560.400000000001</v>
      </c>
      <c r="M191" s="45">
        <f>M192</f>
        <v>9126</v>
      </c>
      <c r="N191" s="45">
        <f>N192</f>
        <v>5883.5</v>
      </c>
      <c r="O191" s="45">
        <f>O192</f>
        <v>15009.5</v>
      </c>
    </row>
    <row r="192" spans="1:16" ht="47.25" x14ac:dyDescent="0.2">
      <c r="A192" s="40"/>
      <c r="B192" s="41" t="s">
        <v>265</v>
      </c>
      <c r="C192" s="42" t="s">
        <v>51</v>
      </c>
      <c r="D192" s="43" t="s">
        <v>262</v>
      </c>
      <c r="E192" s="43" t="s">
        <v>266</v>
      </c>
      <c r="F192" s="44" t="s">
        <v>11</v>
      </c>
      <c r="G192" s="45">
        <f>G197+G193</f>
        <v>1154.9000000000001</v>
      </c>
      <c r="H192" s="45">
        <f>H197+H193+H195</f>
        <v>294.2</v>
      </c>
      <c r="I192" s="45">
        <f>I197+I193+H192</f>
        <v>1449.1000000000001</v>
      </c>
      <c r="J192" s="46">
        <f>SUM(J197)</f>
        <v>7971.1</v>
      </c>
      <c r="K192" s="45">
        <f>SUM(K195)</f>
        <v>5589.3</v>
      </c>
      <c r="L192" s="46">
        <f>L197+K192</f>
        <v>13560.400000000001</v>
      </c>
      <c r="M192" s="45">
        <f>M197+M193</f>
        <v>9126</v>
      </c>
      <c r="N192" s="45">
        <f>SUM(H192+K192)</f>
        <v>5883.5</v>
      </c>
      <c r="O192" s="45">
        <f>O197+O193+N192</f>
        <v>15009.5</v>
      </c>
    </row>
    <row r="193" spans="1:15" ht="31.5" x14ac:dyDescent="0.2">
      <c r="A193" s="40"/>
      <c r="B193" s="69" t="s">
        <v>267</v>
      </c>
      <c r="C193" s="42">
        <v>992</v>
      </c>
      <c r="D193" s="43" t="s">
        <v>262</v>
      </c>
      <c r="E193" s="57" t="s">
        <v>268</v>
      </c>
      <c r="F193" s="44"/>
      <c r="G193" s="45">
        <v>735.3</v>
      </c>
      <c r="H193" s="45">
        <f>SUM(H194)</f>
        <v>0</v>
      </c>
      <c r="I193" s="45">
        <f>SUM(G193)</f>
        <v>735.3</v>
      </c>
      <c r="J193" s="46"/>
      <c r="K193" s="45"/>
      <c r="L193" s="46"/>
      <c r="M193" s="45">
        <f>SUM(G193)</f>
        <v>735.3</v>
      </c>
      <c r="N193" s="45">
        <f>SUM(N194)</f>
        <v>0</v>
      </c>
      <c r="O193" s="45">
        <f>SUM(M193)</f>
        <v>735.3</v>
      </c>
    </row>
    <row r="194" spans="1:15" ht="31.5" x14ac:dyDescent="0.2">
      <c r="A194" s="40"/>
      <c r="B194" s="41" t="s">
        <v>40</v>
      </c>
      <c r="C194" s="42">
        <v>992</v>
      </c>
      <c r="D194" s="43" t="s">
        <v>262</v>
      </c>
      <c r="E194" s="57" t="s">
        <v>268</v>
      </c>
      <c r="F194" s="44">
        <v>200</v>
      </c>
      <c r="G194" s="45">
        <v>735.3</v>
      </c>
      <c r="H194" s="45"/>
      <c r="I194" s="45">
        <f>SUM(G194)</f>
        <v>735.3</v>
      </c>
      <c r="J194" s="46"/>
      <c r="K194" s="45"/>
      <c r="L194" s="46"/>
      <c r="M194" s="45">
        <f>SUM(G194)</f>
        <v>735.3</v>
      </c>
      <c r="N194" s="45">
        <f>SUM(H194)</f>
        <v>0</v>
      </c>
      <c r="O194" s="45">
        <f>SUM(M194)</f>
        <v>735.3</v>
      </c>
    </row>
    <row r="195" spans="1:15" ht="30.75" customHeight="1" x14ac:dyDescent="0.2">
      <c r="A195" s="40"/>
      <c r="B195" s="41" t="s">
        <v>548</v>
      </c>
      <c r="C195" s="42">
        <v>992</v>
      </c>
      <c r="D195" s="43" t="s">
        <v>262</v>
      </c>
      <c r="E195" s="43" t="s">
        <v>547</v>
      </c>
      <c r="F195" s="44"/>
      <c r="G195" s="45"/>
      <c r="H195" s="45">
        <v>294.2</v>
      </c>
      <c r="I195" s="45">
        <f>SUM(H195)</f>
        <v>294.2</v>
      </c>
      <c r="J195" s="46"/>
      <c r="K195" s="45">
        <v>5589.3</v>
      </c>
      <c r="L195" s="46">
        <f>SUM(K195)</f>
        <v>5589.3</v>
      </c>
      <c r="M195" s="45"/>
      <c r="N195" s="45">
        <f>SUM(H195+K195)</f>
        <v>5883.5</v>
      </c>
      <c r="O195" s="45">
        <f>SUM(N195)</f>
        <v>5883.5</v>
      </c>
    </row>
    <row r="196" spans="1:15" ht="30.75" customHeight="1" x14ac:dyDescent="0.2">
      <c r="A196" s="40"/>
      <c r="B196" s="41" t="s">
        <v>40</v>
      </c>
      <c r="C196" s="42">
        <v>992</v>
      </c>
      <c r="D196" s="43" t="s">
        <v>262</v>
      </c>
      <c r="E196" s="43" t="s">
        <v>547</v>
      </c>
      <c r="F196" s="44">
        <v>200</v>
      </c>
      <c r="G196" s="45"/>
      <c r="H196" s="45">
        <v>294.2</v>
      </c>
      <c r="I196" s="45">
        <f>SUM(H196)</f>
        <v>294.2</v>
      </c>
      <c r="J196" s="46"/>
      <c r="K196" s="45">
        <v>5589.3</v>
      </c>
      <c r="L196" s="46">
        <f>SUM(K196)</f>
        <v>5589.3</v>
      </c>
      <c r="M196" s="45"/>
      <c r="N196" s="45">
        <f>SUM(H196+K196)</f>
        <v>5883.5</v>
      </c>
      <c r="O196" s="45">
        <f>SUM(N196)</f>
        <v>5883.5</v>
      </c>
    </row>
    <row r="197" spans="1:15" ht="47.25" x14ac:dyDescent="0.2">
      <c r="A197" s="40"/>
      <c r="B197" s="41" t="s">
        <v>269</v>
      </c>
      <c r="C197" s="42" t="s">
        <v>51</v>
      </c>
      <c r="D197" s="43" t="s">
        <v>262</v>
      </c>
      <c r="E197" s="43" t="s">
        <v>270</v>
      </c>
      <c r="F197" s="44" t="s">
        <v>11</v>
      </c>
      <c r="G197" s="45">
        <f>G198</f>
        <v>419.6</v>
      </c>
      <c r="H197" s="45">
        <f>SUM(H198)</f>
        <v>0</v>
      </c>
      <c r="I197" s="45">
        <f>I198</f>
        <v>419.6</v>
      </c>
      <c r="J197" s="46">
        <f>J198</f>
        <v>7971.1</v>
      </c>
      <c r="K197" s="45">
        <f>SUM(K198)</f>
        <v>0</v>
      </c>
      <c r="L197" s="46">
        <f>L198</f>
        <v>7971.1</v>
      </c>
      <c r="M197" s="45">
        <f>M198</f>
        <v>8390.7000000000007</v>
      </c>
      <c r="N197" s="45">
        <f>N198</f>
        <v>0</v>
      </c>
      <c r="O197" s="45">
        <f>O198</f>
        <v>8390.7000000000007</v>
      </c>
    </row>
    <row r="198" spans="1:15" ht="31.5" x14ac:dyDescent="0.2">
      <c r="A198" s="40"/>
      <c r="B198" s="41" t="s">
        <v>40</v>
      </c>
      <c r="C198" s="42" t="s">
        <v>51</v>
      </c>
      <c r="D198" s="43" t="s">
        <v>262</v>
      </c>
      <c r="E198" s="43" t="s">
        <v>270</v>
      </c>
      <c r="F198" s="44" t="s">
        <v>41</v>
      </c>
      <c r="G198" s="45">
        <v>419.6</v>
      </c>
      <c r="H198" s="45"/>
      <c r="I198" s="45">
        <f>419.6+H198</f>
        <v>419.6</v>
      </c>
      <c r="J198" s="47">
        <v>7971.1</v>
      </c>
      <c r="K198" s="45"/>
      <c r="L198" s="47">
        <f>7971.1+K198</f>
        <v>7971.1</v>
      </c>
      <c r="M198" s="45">
        <f>419.6+J198</f>
        <v>8390.7000000000007</v>
      </c>
      <c r="N198" s="45">
        <f>SUM(H198+K198)</f>
        <v>0</v>
      </c>
      <c r="O198" s="45">
        <f>SUM(I198+L198)</f>
        <v>8390.7000000000007</v>
      </c>
    </row>
    <row r="199" spans="1:15" ht="31.5" x14ac:dyDescent="0.2">
      <c r="A199" s="40"/>
      <c r="B199" s="41" t="s">
        <v>185</v>
      </c>
      <c r="C199" s="42" t="s">
        <v>51</v>
      </c>
      <c r="D199" s="43" t="s">
        <v>262</v>
      </c>
      <c r="E199" s="43" t="s">
        <v>271</v>
      </c>
      <c r="F199" s="44" t="s">
        <v>11</v>
      </c>
      <c r="G199" s="45">
        <f>G200+G207+G204</f>
        <v>15032</v>
      </c>
      <c r="H199" s="45">
        <f>H200+H204</f>
        <v>0</v>
      </c>
      <c r="I199" s="45">
        <f>I200+I207+I204</f>
        <v>15032</v>
      </c>
      <c r="J199" s="46">
        <f>J200+J207</f>
        <v>0</v>
      </c>
      <c r="K199" s="45">
        <f>K200</f>
        <v>0</v>
      </c>
      <c r="L199" s="46">
        <f>L200+L207</f>
        <v>0</v>
      </c>
      <c r="M199" s="45">
        <f>M200+M207+M204</f>
        <v>15032</v>
      </c>
      <c r="N199" s="45">
        <f>N200+N204</f>
        <v>0</v>
      </c>
      <c r="O199" s="45">
        <f>O200+O207+O204</f>
        <v>15032</v>
      </c>
    </row>
    <row r="200" spans="1:15" ht="51.6" customHeight="1" x14ac:dyDescent="0.2">
      <c r="A200" s="40"/>
      <c r="B200" s="41" t="s">
        <v>272</v>
      </c>
      <c r="C200" s="42" t="s">
        <v>51</v>
      </c>
      <c r="D200" s="43" t="s">
        <v>262</v>
      </c>
      <c r="E200" s="43" t="s">
        <v>273</v>
      </c>
      <c r="F200" s="44" t="s">
        <v>11</v>
      </c>
      <c r="G200" s="45">
        <f>G201</f>
        <v>8158.5999999999995</v>
      </c>
      <c r="H200" s="45">
        <f>H201+H202</f>
        <v>0</v>
      </c>
      <c r="I200" s="45">
        <f>I201</f>
        <v>8158.5999999999995</v>
      </c>
      <c r="J200" s="46">
        <f>J201</f>
        <v>0</v>
      </c>
      <c r="K200" s="45">
        <f>K201+K202</f>
        <v>0</v>
      </c>
      <c r="L200" s="46">
        <f>L201</f>
        <v>0</v>
      </c>
      <c r="M200" s="45">
        <f>M201</f>
        <v>8158.5999999999995</v>
      </c>
      <c r="N200" s="45">
        <f>N201</f>
        <v>0</v>
      </c>
      <c r="O200" s="45">
        <f>O201</f>
        <v>8158.5999999999995</v>
      </c>
    </row>
    <row r="201" spans="1:15" ht="31.5" x14ac:dyDescent="0.2">
      <c r="A201" s="40"/>
      <c r="B201" s="41" t="s">
        <v>134</v>
      </c>
      <c r="C201" s="42" t="s">
        <v>51</v>
      </c>
      <c r="D201" s="43" t="s">
        <v>262</v>
      </c>
      <c r="E201" s="43" t="s">
        <v>274</v>
      </c>
      <c r="F201" s="44" t="s">
        <v>11</v>
      </c>
      <c r="G201" s="45">
        <f>G202+G203</f>
        <v>8158.5999999999995</v>
      </c>
      <c r="H201" s="45">
        <f>SUM(H203)</f>
        <v>0</v>
      </c>
      <c r="I201" s="45">
        <f>I202+I203</f>
        <v>8158.5999999999995</v>
      </c>
      <c r="J201" s="46">
        <f>J202+J203</f>
        <v>0</v>
      </c>
      <c r="K201" s="45"/>
      <c r="L201" s="46">
        <f>L202+L203</f>
        <v>0</v>
      </c>
      <c r="M201" s="45">
        <f>M202+M203</f>
        <v>8158.5999999999995</v>
      </c>
      <c r="N201" s="45">
        <f>N202+N203</f>
        <v>0</v>
      </c>
      <c r="O201" s="45">
        <f>O202+O203</f>
        <v>8158.5999999999995</v>
      </c>
    </row>
    <row r="202" spans="1:15" ht="78.75" x14ac:dyDescent="0.2">
      <c r="A202" s="40"/>
      <c r="B202" s="41" t="s">
        <v>61</v>
      </c>
      <c r="C202" s="42" t="s">
        <v>51</v>
      </c>
      <c r="D202" s="43" t="s">
        <v>262</v>
      </c>
      <c r="E202" s="43" t="s">
        <v>274</v>
      </c>
      <c r="F202" s="44" t="s">
        <v>62</v>
      </c>
      <c r="G202" s="45">
        <v>7905.2</v>
      </c>
      <c r="H202" s="45"/>
      <c r="I202" s="45">
        <v>7905.2</v>
      </c>
      <c r="J202" s="47">
        <v>0</v>
      </c>
      <c r="K202" s="45"/>
      <c r="L202" s="47">
        <v>0</v>
      </c>
      <c r="M202" s="45">
        <v>7905.2</v>
      </c>
      <c r="N202" s="45"/>
      <c r="O202" s="45">
        <v>7905.2</v>
      </c>
    </row>
    <row r="203" spans="1:15" ht="31.5" x14ac:dyDescent="0.2">
      <c r="A203" s="40"/>
      <c r="B203" s="41" t="s">
        <v>40</v>
      </c>
      <c r="C203" s="42" t="s">
        <v>51</v>
      </c>
      <c r="D203" s="43" t="s">
        <v>262</v>
      </c>
      <c r="E203" s="43" t="s">
        <v>274</v>
      </c>
      <c r="F203" s="44" t="s">
        <v>41</v>
      </c>
      <c r="G203" s="45">
        <v>253.4</v>
      </c>
      <c r="H203" s="45"/>
      <c r="I203" s="45">
        <f>SUM(G203)</f>
        <v>253.4</v>
      </c>
      <c r="J203" s="47">
        <v>0</v>
      </c>
      <c r="K203" s="45"/>
      <c r="L203" s="47">
        <v>0</v>
      </c>
      <c r="M203" s="45">
        <f t="shared" ref="M203:N206" si="29">SUM(G203)</f>
        <v>253.4</v>
      </c>
      <c r="N203" s="45">
        <f t="shared" si="29"/>
        <v>0</v>
      </c>
      <c r="O203" s="45">
        <f>SUM(M203)</f>
        <v>253.4</v>
      </c>
    </row>
    <row r="204" spans="1:15" ht="15.75" x14ac:dyDescent="0.2">
      <c r="A204" s="40"/>
      <c r="B204" s="41" t="s">
        <v>275</v>
      </c>
      <c r="C204" s="42">
        <v>992</v>
      </c>
      <c r="D204" s="43" t="s">
        <v>262</v>
      </c>
      <c r="E204" s="57" t="s">
        <v>276</v>
      </c>
      <c r="F204" s="44"/>
      <c r="G204" s="45">
        <f>SUM(G206)</f>
        <v>600</v>
      </c>
      <c r="H204" s="45"/>
      <c r="I204" s="45">
        <f>SUM(H204)+G204</f>
        <v>600</v>
      </c>
      <c r="J204" s="47"/>
      <c r="K204" s="45"/>
      <c r="L204" s="47"/>
      <c r="M204" s="45">
        <f t="shared" si="29"/>
        <v>600</v>
      </c>
      <c r="N204" s="45">
        <f t="shared" si="29"/>
        <v>0</v>
      </c>
      <c r="O204" s="45">
        <f>SUM(I204)</f>
        <v>600</v>
      </c>
    </row>
    <row r="205" spans="1:15" ht="15.75" x14ac:dyDescent="0.2">
      <c r="A205" s="40"/>
      <c r="B205" s="41" t="s">
        <v>277</v>
      </c>
      <c r="C205" s="42">
        <v>992</v>
      </c>
      <c r="D205" s="43" t="s">
        <v>262</v>
      </c>
      <c r="E205" s="57" t="s">
        <v>276</v>
      </c>
      <c r="F205" s="44"/>
      <c r="G205" s="45">
        <f>SUM(F205)+G206</f>
        <v>600</v>
      </c>
      <c r="H205" s="45"/>
      <c r="I205" s="45">
        <f>SUM(H205)+G205</f>
        <v>600</v>
      </c>
      <c r="J205" s="47"/>
      <c r="K205" s="45"/>
      <c r="L205" s="47"/>
      <c r="M205" s="45">
        <f t="shared" si="29"/>
        <v>600</v>
      </c>
      <c r="N205" s="45">
        <f t="shared" si="29"/>
        <v>0</v>
      </c>
      <c r="O205" s="45">
        <f>SUM(I205)</f>
        <v>600</v>
      </c>
    </row>
    <row r="206" spans="1:15" ht="31.5" x14ac:dyDescent="0.2">
      <c r="A206" s="40"/>
      <c r="B206" s="41" t="s">
        <v>40</v>
      </c>
      <c r="C206" s="42">
        <v>992</v>
      </c>
      <c r="D206" s="43" t="s">
        <v>262</v>
      </c>
      <c r="E206" s="57" t="s">
        <v>278</v>
      </c>
      <c r="F206" s="44">
        <v>200</v>
      </c>
      <c r="G206" s="45">
        <v>600</v>
      </c>
      <c r="H206" s="45"/>
      <c r="I206" s="45">
        <f>SUM(H206)+G206</f>
        <v>600</v>
      </c>
      <c r="J206" s="47"/>
      <c r="K206" s="45"/>
      <c r="L206" s="47"/>
      <c r="M206" s="45">
        <f t="shared" si="29"/>
        <v>600</v>
      </c>
      <c r="N206" s="45">
        <f t="shared" si="29"/>
        <v>0</v>
      </c>
      <c r="O206" s="45">
        <f>SUM(I206)</f>
        <v>600</v>
      </c>
    </row>
    <row r="207" spans="1:15" ht="52.15" customHeight="1" x14ac:dyDescent="0.2">
      <c r="A207" s="40"/>
      <c r="B207" s="41" t="s">
        <v>279</v>
      </c>
      <c r="C207" s="42" t="s">
        <v>51</v>
      </c>
      <c r="D207" s="43" t="s">
        <v>262</v>
      </c>
      <c r="E207" s="43" t="s">
        <v>280</v>
      </c>
      <c r="F207" s="44" t="s">
        <v>11</v>
      </c>
      <c r="G207" s="45">
        <f t="shared" ref="G207:O208" si="30">G208</f>
        <v>6273.4</v>
      </c>
      <c r="H207" s="45">
        <f t="shared" si="30"/>
        <v>0</v>
      </c>
      <c r="I207" s="45">
        <f t="shared" si="30"/>
        <v>6273.4</v>
      </c>
      <c r="J207" s="46">
        <f t="shared" si="30"/>
        <v>0</v>
      </c>
      <c r="K207" s="45">
        <f t="shared" si="30"/>
        <v>0</v>
      </c>
      <c r="L207" s="46">
        <f t="shared" si="30"/>
        <v>0</v>
      </c>
      <c r="M207" s="45">
        <f t="shared" si="30"/>
        <v>6273.4</v>
      </c>
      <c r="N207" s="45">
        <f t="shared" si="30"/>
        <v>0</v>
      </c>
      <c r="O207" s="45">
        <f t="shared" si="30"/>
        <v>6273.4</v>
      </c>
    </row>
    <row r="208" spans="1:15" ht="31.5" x14ac:dyDescent="0.2">
      <c r="A208" s="40"/>
      <c r="B208" s="41" t="s">
        <v>134</v>
      </c>
      <c r="C208" s="42" t="s">
        <v>51</v>
      </c>
      <c r="D208" s="43" t="s">
        <v>262</v>
      </c>
      <c r="E208" s="43" t="s">
        <v>281</v>
      </c>
      <c r="F208" s="44" t="s">
        <v>11</v>
      </c>
      <c r="G208" s="45">
        <f t="shared" si="30"/>
        <v>6273.4</v>
      </c>
      <c r="H208" s="45"/>
      <c r="I208" s="45">
        <f t="shared" si="30"/>
        <v>6273.4</v>
      </c>
      <c r="J208" s="46">
        <f t="shared" si="30"/>
        <v>0</v>
      </c>
      <c r="K208" s="45"/>
      <c r="L208" s="46">
        <f t="shared" si="30"/>
        <v>0</v>
      </c>
      <c r="M208" s="45">
        <f t="shared" si="30"/>
        <v>6273.4</v>
      </c>
      <c r="N208" s="45">
        <f t="shared" si="30"/>
        <v>0</v>
      </c>
      <c r="O208" s="45">
        <f t="shared" si="30"/>
        <v>6273.4</v>
      </c>
    </row>
    <row r="209" spans="1:15" ht="37.9" customHeight="1" x14ac:dyDescent="0.2">
      <c r="A209" s="40"/>
      <c r="B209" s="41" t="s">
        <v>95</v>
      </c>
      <c r="C209" s="42" t="s">
        <v>51</v>
      </c>
      <c r="D209" s="43" t="s">
        <v>262</v>
      </c>
      <c r="E209" s="43" t="s">
        <v>281</v>
      </c>
      <c r="F209" s="44" t="s">
        <v>96</v>
      </c>
      <c r="G209" s="45">
        <v>6273.4</v>
      </c>
      <c r="H209" s="45"/>
      <c r="I209" s="45">
        <v>6273.4</v>
      </c>
      <c r="J209" s="47">
        <v>0</v>
      </c>
      <c r="K209" s="45"/>
      <c r="L209" s="47">
        <v>0</v>
      </c>
      <c r="M209" s="45">
        <v>6273.4</v>
      </c>
      <c r="N209" s="45"/>
      <c r="O209" s="45">
        <v>6273.4</v>
      </c>
    </row>
    <row r="210" spans="1:15" ht="37.9" customHeight="1" x14ac:dyDescent="0.2">
      <c r="A210" s="40"/>
      <c r="B210" s="68" t="s">
        <v>282</v>
      </c>
      <c r="C210" s="42">
        <v>992</v>
      </c>
      <c r="D210" s="43" t="s">
        <v>262</v>
      </c>
      <c r="E210" s="57" t="s">
        <v>248</v>
      </c>
      <c r="F210" s="44"/>
      <c r="G210" s="45">
        <f>SUM(G211)</f>
        <v>1159</v>
      </c>
      <c r="H210" s="45">
        <f>SUM(H211)</f>
        <v>0</v>
      </c>
      <c r="I210" s="45">
        <f>SUM(G210)</f>
        <v>1159</v>
      </c>
      <c r="J210" s="47"/>
      <c r="K210" s="45"/>
      <c r="L210" s="47"/>
      <c r="M210" s="45">
        <f>SUM(G210)</f>
        <v>1159</v>
      </c>
      <c r="N210" s="45">
        <f t="shared" ref="N210:O212" si="31">SUM(H210)</f>
        <v>0</v>
      </c>
      <c r="O210" s="45">
        <f t="shared" si="31"/>
        <v>1159</v>
      </c>
    </row>
    <row r="211" spans="1:15" ht="37.9" customHeight="1" x14ac:dyDescent="0.2">
      <c r="A211" s="40"/>
      <c r="B211" s="67" t="s">
        <v>283</v>
      </c>
      <c r="C211" s="42">
        <v>992</v>
      </c>
      <c r="D211" s="43" t="s">
        <v>262</v>
      </c>
      <c r="E211" s="57" t="s">
        <v>284</v>
      </c>
      <c r="F211" s="44"/>
      <c r="G211" s="45">
        <f>SUM(G212)</f>
        <v>1159</v>
      </c>
      <c r="H211" s="45">
        <f>SUM(H212)</f>
        <v>0</v>
      </c>
      <c r="I211" s="45">
        <f>SUM(G211)</f>
        <v>1159</v>
      </c>
      <c r="J211" s="47"/>
      <c r="K211" s="45"/>
      <c r="L211" s="47"/>
      <c r="M211" s="45">
        <f>SUM(G212)</f>
        <v>1159</v>
      </c>
      <c r="N211" s="45">
        <f t="shared" si="31"/>
        <v>0</v>
      </c>
      <c r="O211" s="45">
        <f t="shared" si="31"/>
        <v>1159</v>
      </c>
    </row>
    <row r="212" spans="1:15" ht="37.9" customHeight="1" x14ac:dyDescent="0.2">
      <c r="A212" s="40"/>
      <c r="B212" s="41" t="s">
        <v>95</v>
      </c>
      <c r="C212" s="42">
        <v>992</v>
      </c>
      <c r="D212" s="43" t="s">
        <v>262</v>
      </c>
      <c r="E212" s="57" t="s">
        <v>284</v>
      </c>
      <c r="F212" s="44">
        <v>600</v>
      </c>
      <c r="G212" s="45">
        <v>1159</v>
      </c>
      <c r="H212" s="45"/>
      <c r="I212" s="45">
        <f>SUM(G212)</f>
        <v>1159</v>
      </c>
      <c r="J212" s="47"/>
      <c r="K212" s="45"/>
      <c r="L212" s="47"/>
      <c r="M212" s="45">
        <f>SUM(G212)</f>
        <v>1159</v>
      </c>
      <c r="N212" s="45">
        <f t="shared" si="31"/>
        <v>0</v>
      </c>
      <c r="O212" s="45">
        <f t="shared" si="31"/>
        <v>1159</v>
      </c>
    </row>
    <row r="213" spans="1:15" ht="31.5" x14ac:dyDescent="0.2">
      <c r="A213" s="40"/>
      <c r="B213" s="41" t="s">
        <v>218</v>
      </c>
      <c r="C213" s="42" t="s">
        <v>51</v>
      </c>
      <c r="D213" s="43" t="s">
        <v>262</v>
      </c>
      <c r="E213" s="43" t="s">
        <v>219</v>
      </c>
      <c r="F213" s="44" t="s">
        <v>11</v>
      </c>
      <c r="G213" s="45">
        <f>G214+G219+G224</f>
        <v>4463.6000000000004</v>
      </c>
      <c r="H213" s="45">
        <f>H214</f>
        <v>0</v>
      </c>
      <c r="I213" s="45">
        <f>I214+I219+I224</f>
        <v>4463.6000000000004</v>
      </c>
      <c r="J213" s="46">
        <f>J214+J219+J224</f>
        <v>0</v>
      </c>
      <c r="K213" s="45">
        <f>K214</f>
        <v>0</v>
      </c>
      <c r="L213" s="46">
        <f>L214+L219+L224</f>
        <v>0</v>
      </c>
      <c r="M213" s="45">
        <f>M214+M219+M224</f>
        <v>4463.6000000000004</v>
      </c>
      <c r="N213" s="45">
        <f>N214+N219+N224</f>
        <v>0</v>
      </c>
      <c r="O213" s="45">
        <f>O214+O219+O224</f>
        <v>4463.6000000000004</v>
      </c>
    </row>
    <row r="214" spans="1:15" ht="31.5" x14ac:dyDescent="0.2">
      <c r="A214" s="40"/>
      <c r="B214" s="41" t="s">
        <v>285</v>
      </c>
      <c r="C214" s="42" t="s">
        <v>51</v>
      </c>
      <c r="D214" s="43" t="s">
        <v>262</v>
      </c>
      <c r="E214" s="43" t="s">
        <v>286</v>
      </c>
      <c r="F214" s="44" t="s">
        <v>11</v>
      </c>
      <c r="G214" s="45">
        <f>G215</f>
        <v>330</v>
      </c>
      <c r="H214" s="45">
        <f>H215</f>
        <v>0</v>
      </c>
      <c r="I214" s="45">
        <f>I215</f>
        <v>330</v>
      </c>
      <c r="J214" s="46">
        <f t="shared" ref="J214:O215" si="32">J215</f>
        <v>0</v>
      </c>
      <c r="K214" s="45">
        <f>K215</f>
        <v>0</v>
      </c>
      <c r="L214" s="46">
        <f t="shared" si="32"/>
        <v>0</v>
      </c>
      <c r="M214" s="45">
        <f t="shared" si="32"/>
        <v>330</v>
      </c>
      <c r="N214" s="45">
        <f t="shared" si="32"/>
        <v>0</v>
      </c>
      <c r="O214" s="45">
        <f t="shared" si="32"/>
        <v>330</v>
      </c>
    </row>
    <row r="215" spans="1:15" ht="31.5" x14ac:dyDescent="0.2">
      <c r="A215" s="40"/>
      <c r="B215" s="41" t="s">
        <v>287</v>
      </c>
      <c r="C215" s="42" t="s">
        <v>51</v>
      </c>
      <c r="D215" s="43" t="s">
        <v>262</v>
      </c>
      <c r="E215" s="43" t="s">
        <v>288</v>
      </c>
      <c r="F215" s="44" t="s">
        <v>11</v>
      </c>
      <c r="G215" s="45">
        <f>G216</f>
        <v>330</v>
      </c>
      <c r="H215" s="45">
        <f>H217+H216</f>
        <v>0</v>
      </c>
      <c r="I215" s="45">
        <f>I216</f>
        <v>330</v>
      </c>
      <c r="J215" s="46">
        <f t="shared" si="32"/>
        <v>0</v>
      </c>
      <c r="K215" s="45">
        <f>K217+K216</f>
        <v>0</v>
      </c>
      <c r="L215" s="46">
        <f t="shared" si="32"/>
        <v>0</v>
      </c>
      <c r="M215" s="45">
        <f t="shared" si="32"/>
        <v>330</v>
      </c>
      <c r="N215" s="45">
        <f t="shared" si="32"/>
        <v>0</v>
      </c>
      <c r="O215" s="45">
        <f t="shared" si="32"/>
        <v>330</v>
      </c>
    </row>
    <row r="216" spans="1:15" ht="31.5" x14ac:dyDescent="0.2">
      <c r="A216" s="40"/>
      <c r="B216" s="41" t="s">
        <v>285</v>
      </c>
      <c r="C216" s="42" t="s">
        <v>51</v>
      </c>
      <c r="D216" s="43" t="s">
        <v>262</v>
      </c>
      <c r="E216" s="43" t="s">
        <v>289</v>
      </c>
      <c r="F216" s="44" t="s">
        <v>11</v>
      </c>
      <c r="G216" s="45">
        <f>G218+G217</f>
        <v>330</v>
      </c>
      <c r="H216" s="45"/>
      <c r="I216" s="45">
        <f>I218+I217</f>
        <v>330</v>
      </c>
      <c r="J216" s="46">
        <f>J218+J217</f>
        <v>0</v>
      </c>
      <c r="K216" s="45"/>
      <c r="L216" s="46">
        <f>L218+L217</f>
        <v>0</v>
      </c>
      <c r="M216" s="45">
        <f>M218+M217</f>
        <v>330</v>
      </c>
      <c r="N216" s="45">
        <f>N218+N217</f>
        <v>0</v>
      </c>
      <c r="O216" s="45">
        <f>O218+O217</f>
        <v>330</v>
      </c>
    </row>
    <row r="217" spans="1:15" ht="31.5" x14ac:dyDescent="0.2">
      <c r="A217" s="40"/>
      <c r="B217" s="41" t="s">
        <v>40</v>
      </c>
      <c r="C217" s="42" t="s">
        <v>51</v>
      </c>
      <c r="D217" s="43" t="s">
        <v>262</v>
      </c>
      <c r="E217" s="43" t="s">
        <v>289</v>
      </c>
      <c r="F217" s="44">
        <v>200</v>
      </c>
      <c r="G217" s="45">
        <v>200</v>
      </c>
      <c r="H217" s="45"/>
      <c r="I217" s="45">
        <v>200</v>
      </c>
      <c r="J217" s="46">
        <v>0</v>
      </c>
      <c r="K217" s="45"/>
      <c r="L217" s="46">
        <v>0</v>
      </c>
      <c r="M217" s="45">
        <v>200</v>
      </c>
      <c r="N217" s="45"/>
      <c r="O217" s="45">
        <v>200</v>
      </c>
    </row>
    <row r="218" spans="1:15" ht="15.75" x14ac:dyDescent="0.2">
      <c r="A218" s="40"/>
      <c r="B218" s="41" t="s">
        <v>70</v>
      </c>
      <c r="C218" s="42" t="s">
        <v>51</v>
      </c>
      <c r="D218" s="43" t="s">
        <v>262</v>
      </c>
      <c r="E218" s="43" t="s">
        <v>289</v>
      </c>
      <c r="F218" s="44" t="s">
        <v>71</v>
      </c>
      <c r="G218" s="45">
        <v>130</v>
      </c>
      <c r="H218" s="45"/>
      <c r="I218" s="45">
        <v>130</v>
      </c>
      <c r="J218" s="47">
        <v>0</v>
      </c>
      <c r="K218" s="45"/>
      <c r="L218" s="47">
        <v>0</v>
      </c>
      <c r="M218" s="45">
        <v>130</v>
      </c>
      <c r="N218" s="45"/>
      <c r="O218" s="45">
        <v>130</v>
      </c>
    </row>
    <row r="219" spans="1:15" ht="31.5" x14ac:dyDescent="0.2">
      <c r="A219" s="40"/>
      <c r="B219" s="41" t="s">
        <v>290</v>
      </c>
      <c r="C219" s="42" t="s">
        <v>51</v>
      </c>
      <c r="D219" s="43" t="s">
        <v>262</v>
      </c>
      <c r="E219" s="43" t="s">
        <v>291</v>
      </c>
      <c r="F219" s="44" t="s">
        <v>11</v>
      </c>
      <c r="G219" s="45">
        <f t="shared" ref="G219:O220" si="33">G220</f>
        <v>3933.6</v>
      </c>
      <c r="H219" s="45">
        <f t="shared" si="33"/>
        <v>0</v>
      </c>
      <c r="I219" s="45">
        <f t="shared" si="33"/>
        <v>3933.6</v>
      </c>
      <c r="J219" s="46">
        <f t="shared" si="33"/>
        <v>0</v>
      </c>
      <c r="K219" s="45">
        <f t="shared" si="33"/>
        <v>0</v>
      </c>
      <c r="L219" s="46">
        <f t="shared" si="33"/>
        <v>0</v>
      </c>
      <c r="M219" s="45">
        <f t="shared" si="33"/>
        <v>3933.6</v>
      </c>
      <c r="N219" s="45">
        <f t="shared" si="33"/>
        <v>0</v>
      </c>
      <c r="O219" s="45">
        <f t="shared" si="33"/>
        <v>3933.6</v>
      </c>
    </row>
    <row r="220" spans="1:15" ht="47.25" x14ac:dyDescent="0.2">
      <c r="A220" s="40"/>
      <c r="B220" s="41" t="s">
        <v>292</v>
      </c>
      <c r="C220" s="42" t="s">
        <v>51</v>
      </c>
      <c r="D220" s="43" t="s">
        <v>262</v>
      </c>
      <c r="E220" s="43" t="s">
        <v>293</v>
      </c>
      <c r="F220" s="44" t="s">
        <v>11</v>
      </c>
      <c r="G220" s="45">
        <f t="shared" si="33"/>
        <v>3933.6</v>
      </c>
      <c r="H220" s="45">
        <f>H221+H222</f>
        <v>0</v>
      </c>
      <c r="I220" s="45">
        <f t="shared" si="33"/>
        <v>3933.6</v>
      </c>
      <c r="J220" s="46">
        <f t="shared" si="33"/>
        <v>0</v>
      </c>
      <c r="K220" s="45">
        <f>K221+K222</f>
        <v>0</v>
      </c>
      <c r="L220" s="46">
        <f t="shared" si="33"/>
        <v>0</v>
      </c>
      <c r="M220" s="45">
        <f t="shared" si="33"/>
        <v>3933.6</v>
      </c>
      <c r="N220" s="45">
        <f t="shared" si="33"/>
        <v>0</v>
      </c>
      <c r="O220" s="45">
        <f t="shared" si="33"/>
        <v>3933.6</v>
      </c>
    </row>
    <row r="221" spans="1:15" ht="31.5" x14ac:dyDescent="0.2">
      <c r="A221" s="40"/>
      <c r="B221" s="41" t="s">
        <v>134</v>
      </c>
      <c r="C221" s="42" t="s">
        <v>51</v>
      </c>
      <c r="D221" s="43" t="s">
        <v>262</v>
      </c>
      <c r="E221" s="43" t="s">
        <v>294</v>
      </c>
      <c r="F221" s="44" t="s">
        <v>11</v>
      </c>
      <c r="G221" s="45">
        <f>G222+G223</f>
        <v>3933.6</v>
      </c>
      <c r="H221" s="45"/>
      <c r="I221" s="45">
        <f>I222+I223</f>
        <v>3933.6</v>
      </c>
      <c r="J221" s="46">
        <f>J222+J223</f>
        <v>0</v>
      </c>
      <c r="K221" s="45"/>
      <c r="L221" s="46">
        <f>L222+L223</f>
        <v>0</v>
      </c>
      <c r="M221" s="45">
        <f>M222+M223</f>
        <v>3933.6</v>
      </c>
      <c r="N221" s="45">
        <f>N222+N223</f>
        <v>0</v>
      </c>
      <c r="O221" s="45">
        <f>O222+O223</f>
        <v>3933.6</v>
      </c>
    </row>
    <row r="222" spans="1:15" ht="78.75" x14ac:dyDescent="0.2">
      <c r="A222" s="40"/>
      <c r="B222" s="41" t="s">
        <v>61</v>
      </c>
      <c r="C222" s="42" t="s">
        <v>51</v>
      </c>
      <c r="D222" s="43" t="s">
        <v>262</v>
      </c>
      <c r="E222" s="43" t="s">
        <v>294</v>
      </c>
      <c r="F222" s="44" t="s">
        <v>62</v>
      </c>
      <c r="G222" s="45">
        <v>3788.1</v>
      </c>
      <c r="H222" s="45"/>
      <c r="I222" s="45">
        <v>3788.1</v>
      </c>
      <c r="J222" s="47">
        <v>0</v>
      </c>
      <c r="K222" s="45"/>
      <c r="L222" s="47">
        <v>0</v>
      </c>
      <c r="M222" s="45">
        <v>3788.1</v>
      </c>
      <c r="N222" s="45"/>
      <c r="O222" s="45">
        <v>3788.1</v>
      </c>
    </row>
    <row r="223" spans="1:15" ht="31.5" x14ac:dyDescent="0.2">
      <c r="A223" s="40"/>
      <c r="B223" s="41" t="s">
        <v>40</v>
      </c>
      <c r="C223" s="42" t="s">
        <v>51</v>
      </c>
      <c r="D223" s="43" t="s">
        <v>262</v>
      </c>
      <c r="E223" s="43" t="s">
        <v>294</v>
      </c>
      <c r="F223" s="44" t="s">
        <v>41</v>
      </c>
      <c r="G223" s="45">
        <v>145.5</v>
      </c>
      <c r="H223" s="45"/>
      <c r="I223" s="45">
        <v>145.5</v>
      </c>
      <c r="J223" s="47">
        <v>0</v>
      </c>
      <c r="K223" s="45"/>
      <c r="L223" s="47">
        <v>0</v>
      </c>
      <c r="M223" s="45">
        <v>145.5</v>
      </c>
      <c r="N223" s="45"/>
      <c r="O223" s="45">
        <v>145.5</v>
      </c>
    </row>
    <row r="224" spans="1:15" ht="63" x14ac:dyDescent="0.2">
      <c r="A224" s="40"/>
      <c r="B224" s="41" t="s">
        <v>295</v>
      </c>
      <c r="C224" s="42" t="s">
        <v>51</v>
      </c>
      <c r="D224" s="43" t="s">
        <v>262</v>
      </c>
      <c r="E224" s="43" t="s">
        <v>296</v>
      </c>
      <c r="F224" s="44" t="s">
        <v>11</v>
      </c>
      <c r="G224" s="45">
        <f t="shared" ref="G224:O226" si="34">G225</f>
        <v>200</v>
      </c>
      <c r="H224" s="45">
        <f t="shared" si="34"/>
        <v>0</v>
      </c>
      <c r="I224" s="45">
        <f t="shared" si="34"/>
        <v>200</v>
      </c>
      <c r="J224" s="46">
        <f t="shared" si="34"/>
        <v>0</v>
      </c>
      <c r="K224" s="45">
        <f>K225</f>
        <v>0</v>
      </c>
      <c r="L224" s="46">
        <f t="shared" si="34"/>
        <v>0</v>
      </c>
      <c r="M224" s="45">
        <f t="shared" si="34"/>
        <v>200</v>
      </c>
      <c r="N224" s="45">
        <f t="shared" si="34"/>
        <v>0</v>
      </c>
      <c r="O224" s="45">
        <f t="shared" si="34"/>
        <v>200</v>
      </c>
    </row>
    <row r="225" spans="1:16" ht="47.25" x14ac:dyDescent="0.2">
      <c r="A225" s="40"/>
      <c r="B225" s="41" t="s">
        <v>297</v>
      </c>
      <c r="C225" s="42" t="s">
        <v>51</v>
      </c>
      <c r="D225" s="43" t="s">
        <v>262</v>
      </c>
      <c r="E225" s="43" t="s">
        <v>298</v>
      </c>
      <c r="F225" s="44" t="s">
        <v>11</v>
      </c>
      <c r="G225" s="45">
        <f t="shared" si="34"/>
        <v>200</v>
      </c>
      <c r="H225" s="45">
        <f t="shared" si="34"/>
        <v>0</v>
      </c>
      <c r="I225" s="45">
        <f t="shared" si="34"/>
        <v>200</v>
      </c>
      <c r="J225" s="46">
        <f t="shared" si="34"/>
        <v>0</v>
      </c>
      <c r="K225" s="45">
        <f>K226</f>
        <v>0</v>
      </c>
      <c r="L225" s="46">
        <f t="shared" si="34"/>
        <v>0</v>
      </c>
      <c r="M225" s="45">
        <f t="shared" si="34"/>
        <v>200</v>
      </c>
      <c r="N225" s="45">
        <f t="shared" si="34"/>
        <v>0</v>
      </c>
      <c r="O225" s="45">
        <f t="shared" si="34"/>
        <v>200</v>
      </c>
    </row>
    <row r="226" spans="1:16" ht="31.5" x14ac:dyDescent="0.2">
      <c r="A226" s="40"/>
      <c r="B226" s="41" t="s">
        <v>299</v>
      </c>
      <c r="C226" s="42" t="s">
        <v>51</v>
      </c>
      <c r="D226" s="43" t="s">
        <v>262</v>
      </c>
      <c r="E226" s="43" t="s">
        <v>300</v>
      </c>
      <c r="F226" s="44" t="s">
        <v>11</v>
      </c>
      <c r="G226" s="45">
        <f>G227</f>
        <v>200</v>
      </c>
      <c r="H226" s="45"/>
      <c r="I226" s="45">
        <f>I227</f>
        <v>200</v>
      </c>
      <c r="J226" s="46">
        <f t="shared" si="34"/>
        <v>0</v>
      </c>
      <c r="K226" s="45"/>
      <c r="L226" s="46">
        <f t="shared" si="34"/>
        <v>0</v>
      </c>
      <c r="M226" s="45">
        <f t="shared" si="34"/>
        <v>200</v>
      </c>
      <c r="N226" s="45">
        <f t="shared" si="34"/>
        <v>0</v>
      </c>
      <c r="O226" s="45">
        <f t="shared" si="34"/>
        <v>200</v>
      </c>
    </row>
    <row r="227" spans="1:16" ht="31.5" x14ac:dyDescent="0.2">
      <c r="A227" s="40"/>
      <c r="B227" s="41" t="s">
        <v>40</v>
      </c>
      <c r="C227" s="42" t="s">
        <v>51</v>
      </c>
      <c r="D227" s="43" t="s">
        <v>262</v>
      </c>
      <c r="E227" s="43" t="s">
        <v>300</v>
      </c>
      <c r="F227" s="44" t="s">
        <v>41</v>
      </c>
      <c r="G227" s="45">
        <v>200</v>
      </c>
      <c r="H227" s="25"/>
      <c r="I227" s="45">
        <v>200</v>
      </c>
      <c r="J227" s="47"/>
      <c r="K227" s="25"/>
      <c r="L227" s="47"/>
      <c r="M227" s="45">
        <v>200</v>
      </c>
      <c r="N227" s="45"/>
      <c r="O227" s="45">
        <v>200</v>
      </c>
    </row>
    <row r="228" spans="1:16" ht="15.75" x14ac:dyDescent="0.2">
      <c r="A228" s="20" t="s">
        <v>301</v>
      </c>
      <c r="B228" s="21" t="s">
        <v>302</v>
      </c>
      <c r="C228" s="42" t="s">
        <v>51</v>
      </c>
      <c r="D228" s="43" t="s">
        <v>303</v>
      </c>
      <c r="E228" s="43" t="s">
        <v>11</v>
      </c>
      <c r="F228" s="44" t="s">
        <v>11</v>
      </c>
      <c r="G228" s="25">
        <f>G229+G242+G273+G315</f>
        <v>230666.7</v>
      </c>
      <c r="H228" s="25">
        <f>H229+H242+H273+H315</f>
        <v>17961.5</v>
      </c>
      <c r="I228" s="25">
        <f>I229+I242+I273+I315</f>
        <v>248628.2</v>
      </c>
      <c r="J228" s="26">
        <f>J229+J242+J273+J315</f>
        <v>2373613.8000000003</v>
      </c>
      <c r="K228" s="38">
        <f>K229+K242+K273</f>
        <v>51905.599999999999</v>
      </c>
      <c r="L228" s="26">
        <f>L229+L242+L273+L315</f>
        <v>2425519.4000000004</v>
      </c>
      <c r="M228" s="25">
        <f>M229+M242+M273+M315</f>
        <v>2604280.5</v>
      </c>
      <c r="N228" s="25">
        <f>N229+N242+N273+N315</f>
        <v>69867.099999999991</v>
      </c>
      <c r="O228" s="25">
        <f>O229+O242+O273+O315</f>
        <v>2674147.5999999996</v>
      </c>
      <c r="P228" s="17"/>
    </row>
    <row r="229" spans="1:16" ht="15.75" x14ac:dyDescent="0.2">
      <c r="A229" s="33" t="s">
        <v>304</v>
      </c>
      <c r="B229" s="34" t="s">
        <v>305</v>
      </c>
      <c r="C229" s="42" t="s">
        <v>51</v>
      </c>
      <c r="D229" s="43" t="s">
        <v>306</v>
      </c>
      <c r="E229" s="57" t="s">
        <v>231</v>
      </c>
      <c r="F229" s="44" t="s">
        <v>11</v>
      </c>
      <c r="G229" s="38">
        <f>G235+G230</f>
        <v>8442.5</v>
      </c>
      <c r="H229" s="45">
        <f>H235+H230</f>
        <v>0</v>
      </c>
      <c r="I229" s="38">
        <f>I235+I230</f>
        <v>8442.5</v>
      </c>
      <c r="J229" s="39">
        <f>J235</f>
        <v>0</v>
      </c>
      <c r="K229" s="45">
        <f>K235</f>
        <v>0</v>
      </c>
      <c r="L229" s="39">
        <f>L235</f>
        <v>0</v>
      </c>
      <c r="M229" s="38">
        <f>M235+M230</f>
        <v>8442.5</v>
      </c>
      <c r="N229" s="45">
        <f>N235+N230</f>
        <v>0</v>
      </c>
      <c r="O229" s="38">
        <f>O235+O230</f>
        <v>8442.5</v>
      </c>
    </row>
    <row r="230" spans="1:16" ht="31.5" x14ac:dyDescent="0.2">
      <c r="A230" s="33"/>
      <c r="B230" s="34" t="s">
        <v>307</v>
      </c>
      <c r="C230" s="42">
        <v>992</v>
      </c>
      <c r="D230" s="43" t="s">
        <v>306</v>
      </c>
      <c r="E230" s="57" t="s">
        <v>308</v>
      </c>
      <c r="F230" s="44"/>
      <c r="G230" s="38">
        <f>SUM(G233)</f>
        <v>1070</v>
      </c>
      <c r="H230" s="45">
        <f>SUM(H231)</f>
        <v>0</v>
      </c>
      <c r="I230" s="38">
        <f>SUM(G230)</f>
        <v>1070</v>
      </c>
      <c r="J230" s="39"/>
      <c r="K230" s="45"/>
      <c r="L230" s="39"/>
      <c r="M230" s="38">
        <f>SUM(M233)</f>
        <v>1070</v>
      </c>
      <c r="N230" s="38">
        <f t="shared" ref="N230:O233" si="35">SUM(H230)</f>
        <v>0</v>
      </c>
      <c r="O230" s="38">
        <f t="shared" si="35"/>
        <v>1070</v>
      </c>
    </row>
    <row r="231" spans="1:16" ht="31.5" x14ac:dyDescent="0.2">
      <c r="A231" s="33"/>
      <c r="B231" s="56" t="s">
        <v>309</v>
      </c>
      <c r="C231" s="42">
        <v>992</v>
      </c>
      <c r="D231" s="43" t="s">
        <v>306</v>
      </c>
      <c r="E231" s="57" t="s">
        <v>310</v>
      </c>
      <c r="F231" s="44"/>
      <c r="G231" s="38">
        <f>SUM(G233)</f>
        <v>1070</v>
      </c>
      <c r="H231" s="45">
        <f>SUM(H233)+H232</f>
        <v>0</v>
      </c>
      <c r="I231" s="38">
        <f>SUM(G231)</f>
        <v>1070</v>
      </c>
      <c r="J231" s="39"/>
      <c r="K231" s="45"/>
      <c r="L231" s="39"/>
      <c r="M231" s="38">
        <f>SUM(G231)</f>
        <v>1070</v>
      </c>
      <c r="N231" s="38">
        <f t="shared" si="35"/>
        <v>0</v>
      </c>
      <c r="O231" s="38">
        <f t="shared" si="35"/>
        <v>1070</v>
      </c>
    </row>
    <row r="232" spans="1:16" ht="31.5" x14ac:dyDescent="0.2">
      <c r="A232" s="33"/>
      <c r="B232" s="41" t="s">
        <v>40</v>
      </c>
      <c r="C232" s="42">
        <v>992</v>
      </c>
      <c r="D232" s="43" t="s">
        <v>306</v>
      </c>
      <c r="E232" s="57" t="s">
        <v>310</v>
      </c>
      <c r="F232" s="44">
        <v>200</v>
      </c>
      <c r="G232" s="38"/>
      <c r="H232" s="45">
        <v>151.30000000000001</v>
      </c>
      <c r="I232" s="38">
        <f>SUM(G232)+H232</f>
        <v>151.30000000000001</v>
      </c>
      <c r="J232" s="39"/>
      <c r="K232" s="45"/>
      <c r="L232" s="39"/>
      <c r="M232" s="38"/>
      <c r="N232" s="38">
        <f>SUM(H232)</f>
        <v>151.30000000000001</v>
      </c>
      <c r="O232" s="38">
        <f>SUM(N232)</f>
        <v>151.30000000000001</v>
      </c>
    </row>
    <row r="233" spans="1:16" ht="30" customHeight="1" x14ac:dyDescent="0.2">
      <c r="A233" s="33"/>
      <c r="B233" s="41" t="s">
        <v>225</v>
      </c>
      <c r="C233" s="42">
        <v>992</v>
      </c>
      <c r="D233" s="43" t="s">
        <v>306</v>
      </c>
      <c r="E233" s="57" t="s">
        <v>308</v>
      </c>
      <c r="F233" s="44">
        <v>400</v>
      </c>
      <c r="G233" s="38">
        <v>1070</v>
      </c>
      <c r="H233" s="45">
        <v>-151.30000000000001</v>
      </c>
      <c r="I233" s="38">
        <f>SUM(G233)+H233</f>
        <v>918.7</v>
      </c>
      <c r="J233" s="39"/>
      <c r="K233" s="45"/>
      <c r="L233" s="39"/>
      <c r="M233" s="38">
        <f>SUM(G233)</f>
        <v>1070</v>
      </c>
      <c r="N233" s="38">
        <f t="shared" si="35"/>
        <v>-151.30000000000001</v>
      </c>
      <c r="O233" s="38">
        <f t="shared" si="35"/>
        <v>918.7</v>
      </c>
    </row>
    <row r="234" spans="1:16" ht="15.75" hidden="1" x14ac:dyDescent="0.2">
      <c r="A234" s="33"/>
      <c r="B234" s="34"/>
      <c r="C234" s="35"/>
      <c r="D234" s="36"/>
      <c r="E234" s="36"/>
      <c r="F234" s="37"/>
      <c r="G234" s="38"/>
      <c r="H234" s="45"/>
      <c r="I234" s="38"/>
      <c r="J234" s="39"/>
      <c r="K234" s="45"/>
      <c r="L234" s="39"/>
      <c r="M234" s="38"/>
      <c r="N234" s="38"/>
      <c r="O234" s="38"/>
    </row>
    <row r="235" spans="1:16" ht="31.5" x14ac:dyDescent="0.2">
      <c r="A235" s="40"/>
      <c r="B235" s="41" t="s">
        <v>245</v>
      </c>
      <c r="C235" s="42" t="s">
        <v>51</v>
      </c>
      <c r="D235" s="43" t="s">
        <v>306</v>
      </c>
      <c r="E235" s="43" t="s">
        <v>246</v>
      </c>
      <c r="F235" s="44" t="s">
        <v>11</v>
      </c>
      <c r="G235" s="45">
        <f t="shared" ref="G235:O236" si="36">G236</f>
        <v>7372.5</v>
      </c>
      <c r="H235" s="45">
        <f t="shared" si="36"/>
        <v>0</v>
      </c>
      <c r="I235" s="45">
        <f t="shared" si="36"/>
        <v>7372.5</v>
      </c>
      <c r="J235" s="46">
        <f t="shared" si="36"/>
        <v>0</v>
      </c>
      <c r="K235" s="45">
        <f>K236</f>
        <v>0</v>
      </c>
      <c r="L235" s="46">
        <f t="shared" si="36"/>
        <v>0</v>
      </c>
      <c r="M235" s="45">
        <f t="shared" si="36"/>
        <v>7372.5</v>
      </c>
      <c r="N235" s="45">
        <f t="shared" si="36"/>
        <v>0</v>
      </c>
      <c r="O235" s="45">
        <f t="shared" si="36"/>
        <v>7372.5</v>
      </c>
    </row>
    <row r="236" spans="1:16" ht="31.5" x14ac:dyDescent="0.2">
      <c r="A236" s="40"/>
      <c r="B236" s="41" t="s">
        <v>311</v>
      </c>
      <c r="C236" s="42" t="s">
        <v>51</v>
      </c>
      <c r="D236" s="43" t="s">
        <v>306</v>
      </c>
      <c r="E236" s="43" t="s">
        <v>312</v>
      </c>
      <c r="F236" s="44" t="s">
        <v>11</v>
      </c>
      <c r="G236" s="45">
        <f>G237</f>
        <v>7372.5</v>
      </c>
      <c r="H236" s="45">
        <f>H237+H239</f>
        <v>0</v>
      </c>
      <c r="I236" s="45">
        <f>I237</f>
        <v>7372.5</v>
      </c>
      <c r="J236" s="46">
        <f t="shared" si="36"/>
        <v>0</v>
      </c>
      <c r="K236" s="45">
        <f>K237+K239</f>
        <v>0</v>
      </c>
      <c r="L236" s="46">
        <f t="shared" si="36"/>
        <v>0</v>
      </c>
      <c r="M236" s="45">
        <f t="shared" si="36"/>
        <v>7372.5</v>
      </c>
      <c r="N236" s="45">
        <f t="shared" si="36"/>
        <v>0</v>
      </c>
      <c r="O236" s="45">
        <f t="shared" si="36"/>
        <v>7372.5</v>
      </c>
    </row>
    <row r="237" spans="1:16" ht="31.5" x14ac:dyDescent="0.2">
      <c r="A237" s="40"/>
      <c r="B237" s="41" t="s">
        <v>313</v>
      </c>
      <c r="C237" s="42" t="s">
        <v>51</v>
      </c>
      <c r="D237" s="43" t="s">
        <v>306</v>
      </c>
      <c r="E237" s="43" t="s">
        <v>314</v>
      </c>
      <c r="F237" s="44" t="s">
        <v>11</v>
      </c>
      <c r="G237" s="45">
        <f>G238+G240</f>
        <v>7372.5</v>
      </c>
      <c r="H237" s="45">
        <f>H238+H240</f>
        <v>0</v>
      </c>
      <c r="I237" s="45">
        <f>I238+I240</f>
        <v>7372.5</v>
      </c>
      <c r="J237" s="46">
        <f>J238+J240</f>
        <v>0</v>
      </c>
      <c r="K237" s="45">
        <f>K238</f>
        <v>0</v>
      </c>
      <c r="L237" s="46">
        <f>L238+L240</f>
        <v>0</v>
      </c>
      <c r="M237" s="45">
        <f>M238+M240</f>
        <v>7372.5</v>
      </c>
      <c r="N237" s="45">
        <f>N238+N240</f>
        <v>0</v>
      </c>
      <c r="O237" s="45">
        <f>O238+O240</f>
        <v>7372.5</v>
      </c>
    </row>
    <row r="238" spans="1:16" ht="47.25" x14ac:dyDescent="0.2">
      <c r="A238" s="40"/>
      <c r="B238" s="41" t="s">
        <v>315</v>
      </c>
      <c r="C238" s="42" t="s">
        <v>51</v>
      </c>
      <c r="D238" s="43" t="s">
        <v>306</v>
      </c>
      <c r="E238" s="43" t="s">
        <v>316</v>
      </c>
      <c r="F238" s="44" t="s">
        <v>11</v>
      </c>
      <c r="G238" s="45">
        <f>G239</f>
        <v>2400</v>
      </c>
      <c r="H238" s="45"/>
      <c r="I238" s="45">
        <f>I239</f>
        <v>2400</v>
      </c>
      <c r="J238" s="46">
        <f>J239</f>
        <v>0</v>
      </c>
      <c r="K238" s="45"/>
      <c r="L238" s="46">
        <f>L239</f>
        <v>0</v>
      </c>
      <c r="M238" s="45">
        <f>M239</f>
        <v>2400</v>
      </c>
      <c r="N238" s="45">
        <f>N239</f>
        <v>0</v>
      </c>
      <c r="O238" s="45">
        <f>O239</f>
        <v>2400</v>
      </c>
    </row>
    <row r="239" spans="1:16" ht="31.5" x14ac:dyDescent="0.2">
      <c r="A239" s="40"/>
      <c r="B239" s="41" t="s">
        <v>40</v>
      </c>
      <c r="C239" s="42" t="s">
        <v>51</v>
      </c>
      <c r="D239" s="43" t="s">
        <v>306</v>
      </c>
      <c r="E239" s="43" t="s">
        <v>316</v>
      </c>
      <c r="F239" s="44" t="s">
        <v>41</v>
      </c>
      <c r="G239" s="45">
        <v>2400</v>
      </c>
      <c r="H239" s="45"/>
      <c r="I239" s="45">
        <v>2400</v>
      </c>
      <c r="J239" s="47"/>
      <c r="K239" s="45"/>
      <c r="L239" s="47"/>
      <c r="M239" s="45">
        <v>2400</v>
      </c>
      <c r="N239" s="45"/>
      <c r="O239" s="45">
        <v>2400</v>
      </c>
    </row>
    <row r="240" spans="1:16" ht="47.25" x14ac:dyDescent="0.2">
      <c r="A240" s="40"/>
      <c r="B240" s="41" t="s">
        <v>317</v>
      </c>
      <c r="C240" s="42" t="s">
        <v>51</v>
      </c>
      <c r="D240" s="43" t="s">
        <v>306</v>
      </c>
      <c r="E240" s="43" t="s">
        <v>318</v>
      </c>
      <c r="F240" s="44" t="s">
        <v>11</v>
      </c>
      <c r="G240" s="45">
        <f>G241</f>
        <v>4972.5</v>
      </c>
      <c r="H240" s="45">
        <f>H241</f>
        <v>0</v>
      </c>
      <c r="I240" s="45">
        <f>I241</f>
        <v>4972.5</v>
      </c>
      <c r="J240" s="46">
        <f>J241</f>
        <v>0</v>
      </c>
      <c r="K240" s="48"/>
      <c r="L240" s="46">
        <f>L241</f>
        <v>0</v>
      </c>
      <c r="M240" s="45">
        <f>M241</f>
        <v>4972.5</v>
      </c>
      <c r="N240" s="45">
        <f>N241</f>
        <v>0</v>
      </c>
      <c r="O240" s="45">
        <f>O241</f>
        <v>4972.5</v>
      </c>
    </row>
    <row r="241" spans="1:16" ht="31.5" x14ac:dyDescent="0.2">
      <c r="A241" s="40"/>
      <c r="B241" s="41" t="s">
        <v>40</v>
      </c>
      <c r="C241" s="42" t="s">
        <v>51</v>
      </c>
      <c r="D241" s="43" t="s">
        <v>306</v>
      </c>
      <c r="E241" s="43" t="s">
        <v>318</v>
      </c>
      <c r="F241" s="44" t="s">
        <v>41</v>
      </c>
      <c r="G241" s="48">
        <v>4972.5</v>
      </c>
      <c r="H241" s="66"/>
      <c r="I241" s="48">
        <f>SUM(G241)</f>
        <v>4972.5</v>
      </c>
      <c r="J241" s="47"/>
      <c r="K241" s="38"/>
      <c r="L241" s="47"/>
      <c r="M241" s="48">
        <f>SUM(G241)</f>
        <v>4972.5</v>
      </c>
      <c r="N241" s="48">
        <f>SUM(H241)</f>
        <v>0</v>
      </c>
      <c r="O241" s="48">
        <f>SUM(M241)</f>
        <v>4972.5</v>
      </c>
    </row>
    <row r="242" spans="1:16" ht="15.75" x14ac:dyDescent="0.2">
      <c r="A242" s="33" t="s">
        <v>319</v>
      </c>
      <c r="B242" s="34" t="s">
        <v>320</v>
      </c>
      <c r="C242" s="35" t="s">
        <v>51</v>
      </c>
      <c r="D242" s="36" t="s">
        <v>321</v>
      </c>
      <c r="E242" s="36" t="s">
        <v>11</v>
      </c>
      <c r="F242" s="37" t="s">
        <v>11</v>
      </c>
      <c r="G242" s="38">
        <f t="shared" ref="G242:O242" si="37">G243+G258</f>
        <v>45950.5</v>
      </c>
      <c r="H242" s="45">
        <f t="shared" si="37"/>
        <v>16251.1</v>
      </c>
      <c r="I242" s="38">
        <f t="shared" si="37"/>
        <v>62201.600000000006</v>
      </c>
      <c r="J242" s="39">
        <f t="shared" si="37"/>
        <v>2373538.8000000003</v>
      </c>
      <c r="K242" s="45">
        <f t="shared" si="37"/>
        <v>47345.599999999999</v>
      </c>
      <c r="L242" s="39">
        <f t="shared" si="37"/>
        <v>2420884.4000000004</v>
      </c>
      <c r="M242" s="38">
        <f t="shared" si="37"/>
        <v>2419489.3000000003</v>
      </c>
      <c r="N242" s="45">
        <f t="shared" si="37"/>
        <v>63596.7</v>
      </c>
      <c r="O242" s="78">
        <f t="shared" si="37"/>
        <v>2483086</v>
      </c>
      <c r="P242" s="15"/>
    </row>
    <row r="243" spans="1:16" ht="31.5" x14ac:dyDescent="0.2">
      <c r="A243" s="40"/>
      <c r="B243" s="41" t="s">
        <v>245</v>
      </c>
      <c r="C243" s="42" t="s">
        <v>51</v>
      </c>
      <c r="D243" s="43" t="s">
        <v>321</v>
      </c>
      <c r="E243" s="43" t="s">
        <v>246</v>
      </c>
      <c r="F243" s="44" t="s">
        <v>11</v>
      </c>
      <c r="G243" s="45">
        <f>G244+G255</f>
        <v>16299.8</v>
      </c>
      <c r="H243" s="45">
        <f>H244+H255</f>
        <v>10000</v>
      </c>
      <c r="I243" s="45">
        <f>I244+I255</f>
        <v>26299.8</v>
      </c>
      <c r="J243" s="46">
        <f t="shared" ref="G243:O244" si="38">J244</f>
        <v>2301493.8000000003</v>
      </c>
      <c r="K243" s="45">
        <f t="shared" si="38"/>
        <v>0</v>
      </c>
      <c r="L243" s="46">
        <f t="shared" si="38"/>
        <v>2301493.8000000003</v>
      </c>
      <c r="M243" s="45">
        <f>M244+M255</f>
        <v>2317793.6</v>
      </c>
      <c r="N243" s="45">
        <f>SUM(N255)+N244</f>
        <v>10000</v>
      </c>
      <c r="O243" s="45">
        <f>O244+O255</f>
        <v>2327793.6</v>
      </c>
      <c r="P243" s="16"/>
    </row>
    <row r="244" spans="1:16" ht="31.5" x14ac:dyDescent="0.2">
      <c r="A244" s="40"/>
      <c r="B244" s="41" t="s">
        <v>322</v>
      </c>
      <c r="C244" s="42" t="s">
        <v>51</v>
      </c>
      <c r="D244" s="43" t="s">
        <v>321</v>
      </c>
      <c r="E244" s="43" t="s">
        <v>323</v>
      </c>
      <c r="F244" s="44" t="s">
        <v>11</v>
      </c>
      <c r="G244" s="45">
        <f t="shared" si="38"/>
        <v>14792.9</v>
      </c>
      <c r="H244" s="45">
        <f>SUM(H245)</f>
        <v>0</v>
      </c>
      <c r="I244" s="45">
        <f t="shared" si="38"/>
        <v>14792.9</v>
      </c>
      <c r="J244" s="46">
        <f t="shared" si="38"/>
        <v>2301493.8000000003</v>
      </c>
      <c r="K244" s="45">
        <f>SUM(K245)</f>
        <v>0</v>
      </c>
      <c r="L244" s="46">
        <f t="shared" si="38"/>
        <v>2301493.8000000003</v>
      </c>
      <c r="M244" s="45">
        <f t="shared" si="38"/>
        <v>2316286.7000000002</v>
      </c>
      <c r="N244" s="45">
        <f t="shared" si="38"/>
        <v>0</v>
      </c>
      <c r="O244" s="45">
        <f t="shared" si="38"/>
        <v>2316286.7000000002</v>
      </c>
      <c r="P244" s="16"/>
    </row>
    <row r="245" spans="1:16" ht="47.25" x14ac:dyDescent="0.2">
      <c r="A245" s="40"/>
      <c r="B245" s="41" t="s">
        <v>324</v>
      </c>
      <c r="C245" s="42" t="s">
        <v>51</v>
      </c>
      <c r="D245" s="43" t="s">
        <v>321</v>
      </c>
      <c r="E245" s="43" t="s">
        <v>325</v>
      </c>
      <c r="F245" s="44" t="s">
        <v>11</v>
      </c>
      <c r="G245" s="45">
        <f>G246+G249+G251+G253</f>
        <v>14792.9</v>
      </c>
      <c r="H245" s="45">
        <f>H246+H251</f>
        <v>0</v>
      </c>
      <c r="I245" s="45">
        <f>I246+I249+I251+I253</f>
        <v>14792.9</v>
      </c>
      <c r="J245" s="46">
        <f>J246+J249+J251+J253</f>
        <v>2301493.8000000003</v>
      </c>
      <c r="K245" s="45">
        <f>K246</f>
        <v>0</v>
      </c>
      <c r="L245" s="46">
        <f>L246+L249+L251+L253</f>
        <v>2301493.8000000003</v>
      </c>
      <c r="M245" s="45">
        <f>M246+M249+M251+M253</f>
        <v>2316286.7000000002</v>
      </c>
      <c r="N245" s="45">
        <f>N246+N249+N251+N253</f>
        <v>0</v>
      </c>
      <c r="O245" s="45">
        <f>O246+O249+O251+O253</f>
        <v>2316286.7000000002</v>
      </c>
      <c r="P245" s="16"/>
    </row>
    <row r="246" spans="1:16" ht="15.75" x14ac:dyDescent="0.2">
      <c r="A246" s="40"/>
      <c r="B246" s="41" t="s">
        <v>326</v>
      </c>
      <c r="C246" s="42" t="s">
        <v>51</v>
      </c>
      <c r="D246" s="43" t="s">
        <v>321</v>
      </c>
      <c r="E246" s="43" t="s">
        <v>327</v>
      </c>
      <c r="F246" s="44" t="s">
        <v>11</v>
      </c>
      <c r="G246" s="45">
        <f>G247+G248</f>
        <v>1750.4</v>
      </c>
      <c r="H246" s="45">
        <f>SUM(H247)+H248</f>
        <v>0</v>
      </c>
      <c r="I246" s="45">
        <f>I247+I248</f>
        <v>1750.4</v>
      </c>
      <c r="J246" s="46">
        <f>J247</f>
        <v>1529.5</v>
      </c>
      <c r="K246" s="45">
        <f>SUM(K247)</f>
        <v>0</v>
      </c>
      <c r="L246" s="46">
        <f>L247</f>
        <v>1529.5</v>
      </c>
      <c r="M246" s="45">
        <f>M247+M248</f>
        <v>3279.9</v>
      </c>
      <c r="N246" s="45">
        <f>N247+N248</f>
        <v>0</v>
      </c>
      <c r="O246" s="45">
        <f>O247+O248</f>
        <v>3279.9</v>
      </c>
    </row>
    <row r="247" spans="1:16" ht="31.5" x14ac:dyDescent="0.2">
      <c r="A247" s="40"/>
      <c r="B247" s="41" t="s">
        <v>40</v>
      </c>
      <c r="C247" s="42" t="s">
        <v>51</v>
      </c>
      <c r="D247" s="43" t="s">
        <v>321</v>
      </c>
      <c r="E247" s="43" t="s">
        <v>327</v>
      </c>
      <c r="F247" s="44" t="s">
        <v>41</v>
      </c>
      <c r="G247" s="45">
        <v>0</v>
      </c>
      <c r="H247" s="45"/>
      <c r="I247" s="45"/>
      <c r="J247" s="47">
        <v>1529.5</v>
      </c>
      <c r="K247" s="45"/>
      <c r="L247" s="45">
        <f>SUM(J247)</f>
        <v>1529.5</v>
      </c>
      <c r="M247" s="45">
        <f>SUM(J247)</f>
        <v>1529.5</v>
      </c>
      <c r="N247" s="45">
        <f>SUM(H247+K247)</f>
        <v>0</v>
      </c>
      <c r="O247" s="45">
        <f>SUM(L247)</f>
        <v>1529.5</v>
      </c>
    </row>
    <row r="248" spans="1:16" ht="31.5" x14ac:dyDescent="0.2">
      <c r="A248" s="40"/>
      <c r="B248" s="41" t="s">
        <v>225</v>
      </c>
      <c r="C248" s="42">
        <v>992</v>
      </c>
      <c r="D248" s="43" t="s">
        <v>321</v>
      </c>
      <c r="E248" s="43" t="s">
        <v>327</v>
      </c>
      <c r="F248" s="44">
        <v>400</v>
      </c>
      <c r="G248" s="45">
        <v>1750.4</v>
      </c>
      <c r="H248" s="45"/>
      <c r="I248" s="45">
        <f>SUM(G248)</f>
        <v>1750.4</v>
      </c>
      <c r="J248" s="47"/>
      <c r="K248" s="45"/>
      <c r="L248" s="70"/>
      <c r="M248" s="45">
        <f>SUM(G248)</f>
        <v>1750.4</v>
      </c>
      <c r="N248" s="45">
        <f>SUM(H248)</f>
        <v>0</v>
      </c>
      <c r="O248" s="45">
        <f>SUM(M248)</f>
        <v>1750.4</v>
      </c>
    </row>
    <row r="249" spans="1:16" ht="31.5" x14ac:dyDescent="0.2">
      <c r="A249" s="40"/>
      <c r="B249" s="41" t="s">
        <v>328</v>
      </c>
      <c r="C249" s="42" t="s">
        <v>51</v>
      </c>
      <c r="D249" s="43" t="s">
        <v>321</v>
      </c>
      <c r="E249" s="43" t="s">
        <v>329</v>
      </c>
      <c r="F249" s="44" t="s">
        <v>11</v>
      </c>
      <c r="G249" s="45">
        <f>G250</f>
        <v>11457.5</v>
      </c>
      <c r="H249" s="45"/>
      <c r="I249" s="45">
        <f>I250</f>
        <v>11457.5</v>
      </c>
      <c r="J249" s="46">
        <f>J250</f>
        <v>2280029.1</v>
      </c>
      <c r="K249" s="45"/>
      <c r="L249" s="46">
        <f>L250</f>
        <v>2280029.1</v>
      </c>
      <c r="M249" s="45">
        <f>M250</f>
        <v>2291486.6</v>
      </c>
      <c r="N249" s="45">
        <f>N250</f>
        <v>0</v>
      </c>
      <c r="O249" s="45">
        <f>O250</f>
        <v>2291486.6</v>
      </c>
    </row>
    <row r="250" spans="1:16" ht="31.5" x14ac:dyDescent="0.2">
      <c r="A250" s="40"/>
      <c r="B250" s="41" t="s">
        <v>225</v>
      </c>
      <c r="C250" s="42" t="s">
        <v>51</v>
      </c>
      <c r="D250" s="43" t="s">
        <v>321</v>
      </c>
      <c r="E250" s="43" t="s">
        <v>329</v>
      </c>
      <c r="F250" s="44" t="s">
        <v>226</v>
      </c>
      <c r="G250" s="45">
        <v>11457.5</v>
      </c>
      <c r="H250" s="45"/>
      <c r="I250" s="45">
        <v>11457.5</v>
      </c>
      <c r="J250" s="47">
        <v>2280029.1</v>
      </c>
      <c r="K250" s="45"/>
      <c r="L250" s="47">
        <v>2280029.1</v>
      </c>
      <c r="M250" s="45">
        <f>11457.5+J250</f>
        <v>2291486.6</v>
      </c>
      <c r="N250" s="45"/>
      <c r="O250" s="45">
        <f>11457.5+L250</f>
        <v>2291486.6</v>
      </c>
    </row>
    <row r="251" spans="1:16" ht="15.75" x14ac:dyDescent="0.2">
      <c r="A251" s="40"/>
      <c r="B251" s="41" t="s">
        <v>330</v>
      </c>
      <c r="C251" s="42" t="s">
        <v>51</v>
      </c>
      <c r="D251" s="43" t="s">
        <v>321</v>
      </c>
      <c r="E251" s="43" t="s">
        <v>331</v>
      </c>
      <c r="F251" s="44" t="s">
        <v>11</v>
      </c>
      <c r="G251" s="45">
        <f>G252</f>
        <v>386.1</v>
      </c>
      <c r="H251" s="45">
        <f>SUM(H252)</f>
        <v>0</v>
      </c>
      <c r="I251" s="45">
        <f>I252</f>
        <v>386.1</v>
      </c>
      <c r="J251" s="46">
        <f>J252</f>
        <v>7335.5</v>
      </c>
      <c r="K251" s="45">
        <v>0</v>
      </c>
      <c r="L251" s="46">
        <f>L252</f>
        <v>7335.5</v>
      </c>
      <c r="M251" s="45">
        <f>M252</f>
        <v>7721.6</v>
      </c>
      <c r="N251" s="45">
        <f>N252</f>
        <v>0</v>
      </c>
      <c r="O251" s="45">
        <f>O252</f>
        <v>7721.6</v>
      </c>
    </row>
    <row r="252" spans="1:16" ht="31.5" x14ac:dyDescent="0.2">
      <c r="A252" s="40"/>
      <c r="B252" s="41" t="s">
        <v>225</v>
      </c>
      <c r="C252" s="42" t="s">
        <v>51</v>
      </c>
      <c r="D252" s="43" t="s">
        <v>321</v>
      </c>
      <c r="E252" s="43" t="s">
        <v>331</v>
      </c>
      <c r="F252" s="44" t="s">
        <v>226</v>
      </c>
      <c r="G252" s="45">
        <v>386.1</v>
      </c>
      <c r="H252" s="45"/>
      <c r="I252" s="45">
        <f>SUM(G252)</f>
        <v>386.1</v>
      </c>
      <c r="J252" s="47">
        <f>14200-6864.5</f>
        <v>7335.5</v>
      </c>
      <c r="K252" s="45"/>
      <c r="L252" s="47">
        <f>14200-6864.5</f>
        <v>7335.5</v>
      </c>
      <c r="M252" s="45">
        <f>SUM(J252)+G252</f>
        <v>7721.6</v>
      </c>
      <c r="N252" s="45">
        <f>SUM(H252)</f>
        <v>0</v>
      </c>
      <c r="O252" s="45">
        <f>SUM(L252)+N252+I252</f>
        <v>7721.6</v>
      </c>
    </row>
    <row r="253" spans="1:16" ht="15.75" x14ac:dyDescent="0.2">
      <c r="A253" s="40"/>
      <c r="B253" s="41" t="s">
        <v>332</v>
      </c>
      <c r="C253" s="42" t="s">
        <v>51</v>
      </c>
      <c r="D253" s="43" t="s">
        <v>321</v>
      </c>
      <c r="E253" s="43" t="s">
        <v>333</v>
      </c>
      <c r="F253" s="44" t="s">
        <v>11</v>
      </c>
      <c r="G253" s="45">
        <f>G254</f>
        <v>1198.9000000000001</v>
      </c>
      <c r="H253" s="45"/>
      <c r="I253" s="45">
        <f>I254</f>
        <v>1198.9000000000001</v>
      </c>
      <c r="J253" s="46">
        <f>J254</f>
        <v>12599.699999999999</v>
      </c>
      <c r="K253" s="45"/>
      <c r="L253" s="46">
        <f>L254</f>
        <v>12599.699999999999</v>
      </c>
      <c r="M253" s="45">
        <f>M254</f>
        <v>13798.599999999999</v>
      </c>
      <c r="N253" s="45">
        <f>N254</f>
        <v>0</v>
      </c>
      <c r="O253" s="45">
        <f>O254</f>
        <v>13798.599999999999</v>
      </c>
    </row>
    <row r="254" spans="1:16" ht="31.5" x14ac:dyDescent="0.2">
      <c r="A254" s="40"/>
      <c r="B254" s="41" t="s">
        <v>225</v>
      </c>
      <c r="C254" s="42" t="s">
        <v>51</v>
      </c>
      <c r="D254" s="43" t="s">
        <v>321</v>
      </c>
      <c r="E254" s="43" t="s">
        <v>333</v>
      </c>
      <c r="F254" s="44" t="s">
        <v>226</v>
      </c>
      <c r="G254" s="45">
        <v>1198.9000000000001</v>
      </c>
      <c r="H254" s="45"/>
      <c r="I254" s="45">
        <v>1198.9000000000001</v>
      </c>
      <c r="J254" s="47">
        <f>11689.4+910.3</f>
        <v>12599.699999999999</v>
      </c>
      <c r="K254" s="45"/>
      <c r="L254" s="47">
        <f>11689.4+910.3</f>
        <v>12599.699999999999</v>
      </c>
      <c r="M254" s="45">
        <f>1198.9+J254</f>
        <v>13798.599999999999</v>
      </c>
      <c r="N254" s="45"/>
      <c r="O254" s="45">
        <f>1198.9+L254</f>
        <v>13798.599999999999</v>
      </c>
    </row>
    <row r="255" spans="1:16" ht="47.25" x14ac:dyDescent="0.2">
      <c r="A255" s="40"/>
      <c r="B255" s="65" t="s">
        <v>334</v>
      </c>
      <c r="C255" s="42">
        <v>992</v>
      </c>
      <c r="D255" s="43" t="s">
        <v>321</v>
      </c>
      <c r="E255" s="57" t="s">
        <v>335</v>
      </c>
      <c r="F255" s="44"/>
      <c r="G255" s="45">
        <f t="shared" ref="G255:I256" si="39">SUM(G256)</f>
        <v>1506.9</v>
      </c>
      <c r="H255" s="45">
        <f t="shared" si="39"/>
        <v>10000</v>
      </c>
      <c r="I255" s="45">
        <f t="shared" si="39"/>
        <v>11506.9</v>
      </c>
      <c r="J255" s="47"/>
      <c r="K255" s="45"/>
      <c r="L255" s="47"/>
      <c r="M255" s="45">
        <f>SUM(G255)</f>
        <v>1506.9</v>
      </c>
      <c r="N255" s="45">
        <f t="shared" ref="N255:O257" si="40">SUM(H255)</f>
        <v>10000</v>
      </c>
      <c r="O255" s="45">
        <f t="shared" si="40"/>
        <v>11506.9</v>
      </c>
    </row>
    <row r="256" spans="1:16" ht="78.75" x14ac:dyDescent="0.2">
      <c r="A256" s="40"/>
      <c r="B256" s="72" t="s">
        <v>336</v>
      </c>
      <c r="C256" s="42">
        <v>992</v>
      </c>
      <c r="D256" s="43" t="s">
        <v>321</v>
      </c>
      <c r="E256" s="57" t="s">
        <v>337</v>
      </c>
      <c r="F256" s="44"/>
      <c r="G256" s="45">
        <f t="shared" si="39"/>
        <v>1506.9</v>
      </c>
      <c r="H256" s="45">
        <f t="shared" si="39"/>
        <v>10000</v>
      </c>
      <c r="I256" s="45">
        <f t="shared" si="39"/>
        <v>11506.9</v>
      </c>
      <c r="J256" s="47"/>
      <c r="K256" s="45"/>
      <c r="L256" s="47"/>
      <c r="M256" s="45">
        <f>SUM(G256)</f>
        <v>1506.9</v>
      </c>
      <c r="N256" s="45">
        <f t="shared" si="40"/>
        <v>10000</v>
      </c>
      <c r="O256" s="45">
        <f t="shared" si="40"/>
        <v>11506.9</v>
      </c>
    </row>
    <row r="257" spans="1:16" ht="15.75" x14ac:dyDescent="0.2">
      <c r="A257" s="40"/>
      <c r="B257" s="41" t="s">
        <v>338</v>
      </c>
      <c r="C257" s="42">
        <v>992</v>
      </c>
      <c r="D257" s="43" t="s">
        <v>321</v>
      </c>
      <c r="E257" s="57" t="s">
        <v>337</v>
      </c>
      <c r="F257" s="44">
        <v>800</v>
      </c>
      <c r="G257" s="45">
        <v>1506.9</v>
      </c>
      <c r="H257" s="45">
        <v>10000</v>
      </c>
      <c r="I257" s="45">
        <f>SUM(G257)+H257</f>
        <v>11506.9</v>
      </c>
      <c r="J257" s="47"/>
      <c r="K257" s="45"/>
      <c r="L257" s="47"/>
      <c r="M257" s="45">
        <f>SUM(G257)</f>
        <v>1506.9</v>
      </c>
      <c r="N257" s="45">
        <f t="shared" si="40"/>
        <v>10000</v>
      </c>
      <c r="O257" s="80">
        <f t="shared" si="40"/>
        <v>11506.9</v>
      </c>
    </row>
    <row r="258" spans="1:16" ht="31.5" x14ac:dyDescent="0.2">
      <c r="A258" s="40"/>
      <c r="B258" s="41" t="s">
        <v>339</v>
      </c>
      <c r="C258" s="42" t="s">
        <v>51</v>
      </c>
      <c r="D258" s="43" t="s">
        <v>321</v>
      </c>
      <c r="E258" s="43" t="s">
        <v>340</v>
      </c>
      <c r="F258" s="44" t="s">
        <v>11</v>
      </c>
      <c r="G258" s="45">
        <f>G259+G269+G266</f>
        <v>29650.7</v>
      </c>
      <c r="H258" s="45">
        <f>H259+H266</f>
        <v>6251.1</v>
      </c>
      <c r="I258" s="45">
        <f>I259+I269+I266</f>
        <v>35901.800000000003</v>
      </c>
      <c r="J258" s="46">
        <f t="shared" ref="G258:O259" si="41">J259</f>
        <v>72045</v>
      </c>
      <c r="K258" s="45">
        <f t="shared" si="41"/>
        <v>47345.599999999999</v>
      </c>
      <c r="L258" s="46">
        <f t="shared" si="41"/>
        <v>119390.6</v>
      </c>
      <c r="M258" s="45">
        <f>M259+M269+M266</f>
        <v>101695.70000000001</v>
      </c>
      <c r="N258" s="45">
        <f>N259+N266</f>
        <v>53596.7</v>
      </c>
      <c r="O258" s="80">
        <f>O259+O269+O266</f>
        <v>155292.40000000002</v>
      </c>
      <c r="P258" s="16"/>
    </row>
    <row r="259" spans="1:16" ht="15.75" x14ac:dyDescent="0.2">
      <c r="A259" s="40"/>
      <c r="B259" s="41" t="s">
        <v>341</v>
      </c>
      <c r="C259" s="42" t="s">
        <v>51</v>
      </c>
      <c r="D259" s="43" t="s">
        <v>321</v>
      </c>
      <c r="E259" s="43" t="s">
        <v>342</v>
      </c>
      <c r="F259" s="44" t="s">
        <v>11</v>
      </c>
      <c r="G259" s="45">
        <f t="shared" si="41"/>
        <v>19584.7</v>
      </c>
      <c r="H259" s="45">
        <f>H260</f>
        <v>6251.1</v>
      </c>
      <c r="I259" s="45">
        <f t="shared" si="41"/>
        <v>25835.800000000003</v>
      </c>
      <c r="J259" s="46">
        <f t="shared" si="41"/>
        <v>72045</v>
      </c>
      <c r="K259" s="45">
        <f>K260+K263</f>
        <v>47345.599999999999</v>
      </c>
      <c r="L259" s="46">
        <f t="shared" si="41"/>
        <v>119390.6</v>
      </c>
      <c r="M259" s="45">
        <f t="shared" si="41"/>
        <v>91629.700000000012</v>
      </c>
      <c r="N259" s="45">
        <f t="shared" si="41"/>
        <v>53596.7</v>
      </c>
      <c r="O259" s="45">
        <f t="shared" si="41"/>
        <v>145226.40000000002</v>
      </c>
      <c r="P259" s="16"/>
    </row>
    <row r="260" spans="1:16" ht="47.25" x14ac:dyDescent="0.2">
      <c r="A260" s="40"/>
      <c r="B260" s="41" t="s">
        <v>343</v>
      </c>
      <c r="C260" s="42" t="s">
        <v>51</v>
      </c>
      <c r="D260" s="43" t="s">
        <v>321</v>
      </c>
      <c r="E260" s="43" t="s">
        <v>344</v>
      </c>
      <c r="F260" s="44" t="s">
        <v>11</v>
      </c>
      <c r="G260" s="45">
        <f>G261+G264</f>
        <v>19584.7</v>
      </c>
      <c r="H260" s="45">
        <f>H261+H264</f>
        <v>6251.1</v>
      </c>
      <c r="I260" s="45">
        <f>I261+I264</f>
        <v>25835.800000000003</v>
      </c>
      <c r="J260" s="46">
        <f>J261+J264</f>
        <v>72045</v>
      </c>
      <c r="K260" s="45">
        <f>K261+K264</f>
        <v>47345.599999999999</v>
      </c>
      <c r="L260" s="46">
        <f>L261+L264</f>
        <v>119390.6</v>
      </c>
      <c r="M260" s="45">
        <f>M261+M264</f>
        <v>91629.700000000012</v>
      </c>
      <c r="N260" s="45">
        <f>N261+N264</f>
        <v>53596.7</v>
      </c>
      <c r="O260" s="45">
        <f>O261+O264</f>
        <v>145226.40000000002</v>
      </c>
      <c r="P260" s="16"/>
    </row>
    <row r="261" spans="1:16" ht="47.25" x14ac:dyDescent="0.2">
      <c r="A261" s="40"/>
      <c r="B261" s="41" t="s">
        <v>345</v>
      </c>
      <c r="C261" s="42" t="s">
        <v>51</v>
      </c>
      <c r="D261" s="43" t="s">
        <v>321</v>
      </c>
      <c r="E261" s="43" t="s">
        <v>346</v>
      </c>
      <c r="F261" s="44" t="s">
        <v>11</v>
      </c>
      <c r="G261" s="45">
        <f>G262+G263</f>
        <v>6983.6</v>
      </c>
      <c r="H261" s="45">
        <f>SUM(H262+H263)</f>
        <v>0</v>
      </c>
      <c r="I261" s="45">
        <f>I262+I263</f>
        <v>6983.6</v>
      </c>
      <c r="J261" s="46">
        <f>J262+J263</f>
        <v>0</v>
      </c>
      <c r="K261" s="45"/>
      <c r="L261" s="46">
        <f>L262+L263</f>
        <v>0</v>
      </c>
      <c r="M261" s="45">
        <f>M262+M263</f>
        <v>6983.6</v>
      </c>
      <c r="N261" s="45">
        <f>N262+N263</f>
        <v>0</v>
      </c>
      <c r="O261" s="45">
        <f>O262+O263</f>
        <v>6983.6</v>
      </c>
    </row>
    <row r="262" spans="1:16" ht="31.5" x14ac:dyDescent="0.2">
      <c r="A262" s="40"/>
      <c r="B262" s="41" t="s">
        <v>40</v>
      </c>
      <c r="C262" s="42" t="s">
        <v>51</v>
      </c>
      <c r="D262" s="43" t="s">
        <v>321</v>
      </c>
      <c r="E262" s="43" t="s">
        <v>346</v>
      </c>
      <c r="F262" s="44" t="s">
        <v>41</v>
      </c>
      <c r="G262" s="45">
        <v>1198</v>
      </c>
      <c r="H262" s="60">
        <v>540</v>
      </c>
      <c r="I262" s="45">
        <f>SUM(G262)+H262</f>
        <v>1738</v>
      </c>
      <c r="J262" s="47">
        <v>0</v>
      </c>
      <c r="K262" s="60">
        <f>2803.6+840-1820-983.6-840</f>
        <v>0</v>
      </c>
      <c r="L262" s="47">
        <v>0</v>
      </c>
      <c r="M262" s="45">
        <f>SUM(G262)</f>
        <v>1198</v>
      </c>
      <c r="N262" s="45">
        <f>SUM(H262)</f>
        <v>540</v>
      </c>
      <c r="O262" s="80">
        <f>SUM(I262)</f>
        <v>1738</v>
      </c>
    </row>
    <row r="263" spans="1:16" ht="31.5" x14ac:dyDescent="0.2">
      <c r="A263" s="40"/>
      <c r="B263" s="41" t="s">
        <v>225</v>
      </c>
      <c r="C263" s="42" t="s">
        <v>51</v>
      </c>
      <c r="D263" s="43" t="s">
        <v>321</v>
      </c>
      <c r="E263" s="43" t="s">
        <v>346</v>
      </c>
      <c r="F263" s="44" t="s">
        <v>226</v>
      </c>
      <c r="G263" s="60">
        <v>5785.6</v>
      </c>
      <c r="H263" s="45">
        <v>-540</v>
      </c>
      <c r="I263" s="60">
        <f>SUM(G263)+H263</f>
        <v>5245.6</v>
      </c>
      <c r="J263" s="47">
        <v>0</v>
      </c>
      <c r="K263" s="45"/>
      <c r="L263" s="47">
        <v>0</v>
      </c>
      <c r="M263" s="60">
        <f>SUM(G263)</f>
        <v>5785.6</v>
      </c>
      <c r="N263" s="60">
        <f>SUM(H263)</f>
        <v>-540</v>
      </c>
      <c r="O263" s="80">
        <f>SUM(M263)+N263</f>
        <v>5245.6</v>
      </c>
    </row>
    <row r="264" spans="1:16" ht="15.75" x14ac:dyDescent="0.2">
      <c r="A264" s="40"/>
      <c r="B264" s="41" t="s">
        <v>347</v>
      </c>
      <c r="C264" s="42" t="s">
        <v>51</v>
      </c>
      <c r="D264" s="43" t="s">
        <v>321</v>
      </c>
      <c r="E264" s="43" t="s">
        <v>348</v>
      </c>
      <c r="F264" s="44" t="s">
        <v>11</v>
      </c>
      <c r="G264" s="45">
        <f>G265</f>
        <v>12601.1</v>
      </c>
      <c r="H264" s="45">
        <f>SUM(H265)</f>
        <v>6251.1</v>
      </c>
      <c r="I264" s="45">
        <f>I265</f>
        <v>18852.2</v>
      </c>
      <c r="J264" s="46">
        <f>J265</f>
        <v>72045</v>
      </c>
      <c r="K264" s="70">
        <v>47345.599999999999</v>
      </c>
      <c r="L264" s="46">
        <f>L265</f>
        <v>119390.6</v>
      </c>
      <c r="M264" s="45">
        <f>M265</f>
        <v>84646.1</v>
      </c>
      <c r="N264" s="45">
        <f>N265</f>
        <v>53596.7</v>
      </c>
      <c r="O264" s="45">
        <f>O265</f>
        <v>138242.80000000002</v>
      </c>
    </row>
    <row r="265" spans="1:16" ht="31.5" x14ac:dyDescent="0.2">
      <c r="A265" s="40"/>
      <c r="B265" s="41" t="s">
        <v>225</v>
      </c>
      <c r="C265" s="42" t="s">
        <v>51</v>
      </c>
      <c r="D265" s="43" t="s">
        <v>321</v>
      </c>
      <c r="E265" s="43" t="s">
        <v>348</v>
      </c>
      <c r="F265" s="44" t="s">
        <v>226</v>
      </c>
      <c r="G265" s="45">
        <f>10781.1-840+1820+840</f>
        <v>12601.1</v>
      </c>
      <c r="H265" s="45">
        <f>1440.1+4811</f>
        <v>6251.1</v>
      </c>
      <c r="I265" s="45">
        <f>10781.1-840+1820+840+H265</f>
        <v>18852.2</v>
      </c>
      <c r="J265" s="47">
        <f>60865+11180</f>
        <v>72045</v>
      </c>
      <c r="K265" s="70">
        <v>47345.599999999999</v>
      </c>
      <c r="L265" s="47">
        <f>60865+11180+K265</f>
        <v>119390.6</v>
      </c>
      <c r="M265" s="45">
        <f>10781.1-840+1820+840+J265</f>
        <v>84646.1</v>
      </c>
      <c r="N265" s="45">
        <f>SUM(H265+K265)</f>
        <v>53596.7</v>
      </c>
      <c r="O265" s="45">
        <f>SUM(I265+L265)</f>
        <v>138242.80000000002</v>
      </c>
    </row>
    <row r="266" spans="1:16" ht="15.75" x14ac:dyDescent="0.2">
      <c r="A266" s="40"/>
      <c r="B266" s="41" t="s">
        <v>349</v>
      </c>
      <c r="C266" s="42">
        <v>992</v>
      </c>
      <c r="D266" s="43" t="s">
        <v>321</v>
      </c>
      <c r="E266" s="43">
        <v>1120121140</v>
      </c>
      <c r="F266" s="44"/>
      <c r="G266" s="45">
        <f>SUM(G268)</f>
        <v>8102</v>
      </c>
      <c r="H266" s="45">
        <f>SUM(H268)</f>
        <v>0</v>
      </c>
      <c r="I266" s="45">
        <f>SUM(G266)</f>
        <v>8102</v>
      </c>
      <c r="J266" s="47"/>
      <c r="K266" s="45"/>
      <c r="L266" s="47"/>
      <c r="M266" s="45">
        <f>SUM(G266)</f>
        <v>8102</v>
      </c>
      <c r="N266" s="45">
        <f t="shared" ref="N266:O268" si="42">SUM(H266)</f>
        <v>0</v>
      </c>
      <c r="O266" s="45">
        <f t="shared" si="42"/>
        <v>8102</v>
      </c>
    </row>
    <row r="267" spans="1:16" ht="2.25" customHeight="1" x14ac:dyDescent="0.2">
      <c r="A267" s="40"/>
      <c r="B267" s="41"/>
      <c r="C267" s="42">
        <v>992</v>
      </c>
      <c r="D267" s="43" t="s">
        <v>321</v>
      </c>
      <c r="E267" s="43">
        <v>1120121140</v>
      </c>
      <c r="F267" s="44">
        <v>400</v>
      </c>
      <c r="G267" s="45"/>
      <c r="H267" s="45">
        <f>SUM(H268)</f>
        <v>0</v>
      </c>
      <c r="I267" s="45">
        <f>SUM(H267)</f>
        <v>0</v>
      </c>
      <c r="J267" s="47"/>
      <c r="K267" s="45"/>
      <c r="L267" s="47"/>
      <c r="M267" s="45"/>
      <c r="N267" s="45">
        <f t="shared" si="42"/>
        <v>0</v>
      </c>
      <c r="O267" s="45">
        <f t="shared" si="42"/>
        <v>0</v>
      </c>
    </row>
    <row r="268" spans="1:16" ht="31.5" x14ac:dyDescent="0.2">
      <c r="A268" s="40"/>
      <c r="B268" s="41" t="s">
        <v>225</v>
      </c>
      <c r="C268" s="42">
        <v>992</v>
      </c>
      <c r="D268" s="43" t="s">
        <v>321</v>
      </c>
      <c r="E268" s="43">
        <v>1120121140</v>
      </c>
      <c r="F268" s="44">
        <v>400</v>
      </c>
      <c r="G268" s="45">
        <v>8102</v>
      </c>
      <c r="H268" s="45"/>
      <c r="I268" s="45">
        <f>SUM(G268)</f>
        <v>8102</v>
      </c>
      <c r="J268" s="47"/>
      <c r="K268" s="45"/>
      <c r="L268" s="47"/>
      <c r="M268" s="45">
        <f>SUM(G268)</f>
        <v>8102</v>
      </c>
      <c r="N268" s="45">
        <f t="shared" si="42"/>
        <v>0</v>
      </c>
      <c r="O268" s="45">
        <f t="shared" si="42"/>
        <v>8102</v>
      </c>
    </row>
    <row r="269" spans="1:16" ht="15.75" x14ac:dyDescent="0.2">
      <c r="A269" s="40"/>
      <c r="B269" s="56" t="s">
        <v>350</v>
      </c>
      <c r="C269" s="42">
        <v>992</v>
      </c>
      <c r="D269" s="43" t="s">
        <v>321</v>
      </c>
      <c r="E269" s="43">
        <v>113000000</v>
      </c>
      <c r="F269" s="44"/>
      <c r="G269" s="45">
        <v>1964</v>
      </c>
      <c r="H269" s="45"/>
      <c r="I269" s="45">
        <v>1964</v>
      </c>
      <c r="J269" s="47"/>
      <c r="K269" s="45"/>
      <c r="L269" s="47"/>
      <c r="M269" s="45">
        <v>1964</v>
      </c>
      <c r="N269" s="45"/>
      <c r="O269" s="45">
        <v>1964</v>
      </c>
    </row>
    <row r="270" spans="1:16" ht="47.25" x14ac:dyDescent="0.2">
      <c r="A270" s="40"/>
      <c r="B270" s="56" t="s">
        <v>351</v>
      </c>
      <c r="C270" s="42">
        <v>992</v>
      </c>
      <c r="D270" s="43" t="s">
        <v>321</v>
      </c>
      <c r="E270" s="43">
        <v>113010000</v>
      </c>
      <c r="F270" s="44"/>
      <c r="G270" s="45">
        <v>1964</v>
      </c>
      <c r="H270" s="45"/>
      <c r="I270" s="45">
        <v>1964</v>
      </c>
      <c r="J270" s="47"/>
      <c r="K270" s="45"/>
      <c r="L270" s="47"/>
      <c r="M270" s="45">
        <v>1964</v>
      </c>
      <c r="N270" s="45"/>
      <c r="O270" s="45">
        <v>1964</v>
      </c>
    </row>
    <row r="271" spans="1:16" ht="15.75" x14ac:dyDescent="0.2">
      <c r="A271" s="40"/>
      <c r="B271" s="56" t="s">
        <v>350</v>
      </c>
      <c r="C271" s="42">
        <v>992</v>
      </c>
      <c r="D271" s="43" t="s">
        <v>321</v>
      </c>
      <c r="E271" s="43">
        <v>1130121070</v>
      </c>
      <c r="F271" s="44"/>
      <c r="G271" s="45">
        <v>1964</v>
      </c>
      <c r="H271" s="45"/>
      <c r="I271" s="45">
        <v>1964</v>
      </c>
      <c r="J271" s="47"/>
      <c r="K271" s="45"/>
      <c r="L271" s="47"/>
      <c r="M271" s="45">
        <v>1964</v>
      </c>
      <c r="N271" s="45"/>
      <c r="O271" s="45">
        <v>1964</v>
      </c>
    </row>
    <row r="272" spans="1:16" ht="31.5" x14ac:dyDescent="0.2">
      <c r="A272" s="40"/>
      <c r="B272" s="41" t="s">
        <v>225</v>
      </c>
      <c r="C272" s="42">
        <v>992</v>
      </c>
      <c r="D272" s="43" t="s">
        <v>321</v>
      </c>
      <c r="E272" s="57" t="s">
        <v>352</v>
      </c>
      <c r="F272" s="44">
        <v>400</v>
      </c>
      <c r="G272" s="45">
        <v>1964</v>
      </c>
      <c r="H272" s="38"/>
      <c r="I272" s="45">
        <v>1964</v>
      </c>
      <c r="J272" s="47"/>
      <c r="K272" s="38"/>
      <c r="L272" s="47"/>
      <c r="M272" s="45">
        <v>1964</v>
      </c>
      <c r="N272" s="45"/>
      <c r="O272" s="45">
        <v>1964</v>
      </c>
    </row>
    <row r="273" spans="1:16" ht="15.75" x14ac:dyDescent="0.2">
      <c r="A273" s="33" t="s">
        <v>353</v>
      </c>
      <c r="B273" s="34" t="s">
        <v>354</v>
      </c>
      <c r="C273" s="35" t="s">
        <v>51</v>
      </c>
      <c r="D273" s="36" t="s">
        <v>355</v>
      </c>
      <c r="E273" s="36" t="s">
        <v>11</v>
      </c>
      <c r="F273" s="37" t="s">
        <v>11</v>
      </c>
      <c r="G273" s="38">
        <f>G274+G299+G304+G293+G310</f>
        <v>84908.9</v>
      </c>
      <c r="H273" s="45">
        <f>H274+H293+H299+H310+H304</f>
        <v>1710.4</v>
      </c>
      <c r="I273" s="38">
        <f>I274+I299+I304+I293+I310</f>
        <v>86619.299999999988</v>
      </c>
      <c r="J273" s="39">
        <f>J274+J299+J304</f>
        <v>75</v>
      </c>
      <c r="K273" s="45">
        <f>K274+K293+K299+K310+K304</f>
        <v>4560</v>
      </c>
      <c r="L273" s="45">
        <f>L274+L293+L299+L310+L304</f>
        <v>4635</v>
      </c>
      <c r="M273" s="38">
        <f>M274+M299+M304+M293+M310</f>
        <v>84983.9</v>
      </c>
      <c r="N273" s="45">
        <f>N274+N293+N299+N310+N304</f>
        <v>6270.4</v>
      </c>
      <c r="O273" s="38">
        <f>O274+O299+O304+O293+O310</f>
        <v>91254.299999999988</v>
      </c>
      <c r="P273" s="15"/>
    </row>
    <row r="274" spans="1:16" ht="31.5" x14ac:dyDescent="0.2">
      <c r="A274" s="40"/>
      <c r="B274" s="41" t="s">
        <v>245</v>
      </c>
      <c r="C274" s="42" t="s">
        <v>51</v>
      </c>
      <c r="D274" s="43" t="s">
        <v>355</v>
      </c>
      <c r="E274" s="43" t="s">
        <v>246</v>
      </c>
      <c r="F274" s="44" t="s">
        <v>11</v>
      </c>
      <c r="G274" s="45">
        <f t="shared" ref="G274:O275" si="43">G275</f>
        <v>79256.5</v>
      </c>
      <c r="H274" s="45">
        <f t="shared" si="43"/>
        <v>66.400000000000006</v>
      </c>
      <c r="I274" s="45">
        <f t="shared" si="43"/>
        <v>79322.899999999994</v>
      </c>
      <c r="J274" s="46">
        <f t="shared" si="43"/>
        <v>75</v>
      </c>
      <c r="K274" s="45">
        <f t="shared" si="43"/>
        <v>1260</v>
      </c>
      <c r="L274" s="46">
        <f t="shared" si="43"/>
        <v>1335</v>
      </c>
      <c r="M274" s="45">
        <f t="shared" si="43"/>
        <v>79331.5</v>
      </c>
      <c r="N274" s="45">
        <f t="shared" si="43"/>
        <v>1326.4</v>
      </c>
      <c r="O274" s="45">
        <f t="shared" si="43"/>
        <v>80657.899999999994</v>
      </c>
    </row>
    <row r="275" spans="1:16" ht="15.75" x14ac:dyDescent="0.2">
      <c r="A275" s="40"/>
      <c r="B275" s="41" t="s">
        <v>356</v>
      </c>
      <c r="C275" s="42" t="s">
        <v>51</v>
      </c>
      <c r="D275" s="43" t="s">
        <v>355</v>
      </c>
      <c r="E275" s="43" t="s">
        <v>357</v>
      </c>
      <c r="F275" s="44" t="s">
        <v>11</v>
      </c>
      <c r="G275" s="45">
        <f t="shared" si="43"/>
        <v>79256.5</v>
      </c>
      <c r="H275" s="45">
        <f t="shared" si="43"/>
        <v>66.400000000000006</v>
      </c>
      <c r="I275" s="45">
        <f t="shared" si="43"/>
        <v>79322.899999999994</v>
      </c>
      <c r="J275" s="46">
        <f t="shared" si="43"/>
        <v>75</v>
      </c>
      <c r="K275" s="45">
        <f>K276+K278+K280+K282+K284+K288</f>
        <v>1260</v>
      </c>
      <c r="L275" s="46">
        <f t="shared" si="43"/>
        <v>1335</v>
      </c>
      <c r="M275" s="45">
        <f t="shared" si="43"/>
        <v>79331.5</v>
      </c>
      <c r="N275" s="45">
        <f>N276+N285</f>
        <v>1326.4</v>
      </c>
      <c r="O275" s="45">
        <f>79331.5+N275</f>
        <v>80657.899999999994</v>
      </c>
    </row>
    <row r="276" spans="1:16" ht="47.25" x14ac:dyDescent="0.2">
      <c r="A276" s="40"/>
      <c r="B276" s="41" t="s">
        <v>358</v>
      </c>
      <c r="C276" s="42" t="s">
        <v>51</v>
      </c>
      <c r="D276" s="43" t="s">
        <v>355</v>
      </c>
      <c r="E276" s="43" t="s">
        <v>359</v>
      </c>
      <c r="F276" s="44" t="s">
        <v>11</v>
      </c>
      <c r="G276" s="45">
        <f>G277+G279+G281+G283+G287+G289+G285</f>
        <v>79256.5</v>
      </c>
      <c r="H276" s="45">
        <f>H277+H283+H279+H289+H285+H291</f>
        <v>66.400000000000006</v>
      </c>
      <c r="I276" s="45">
        <f>I277+I279+I281+I283+I287+I289+I285+I291</f>
        <v>79322.899999999994</v>
      </c>
      <c r="J276" s="46">
        <f>J277+J279+J281+J283+J287+J289</f>
        <v>75</v>
      </c>
      <c r="K276" s="45">
        <f>SUM(K291)</f>
        <v>1260</v>
      </c>
      <c r="L276" s="46">
        <f>L277+L279+L281+L283+L287+L289+L291</f>
        <v>1335</v>
      </c>
      <c r="M276" s="45">
        <f>SUM(G276+J276)</f>
        <v>79331.5</v>
      </c>
      <c r="N276" s="45">
        <f>SUM(H276+K276)</f>
        <v>1326.4</v>
      </c>
      <c r="O276" s="45">
        <f>SUM(I276+L276)</f>
        <v>80657.899999999994</v>
      </c>
      <c r="P276" s="16"/>
    </row>
    <row r="277" spans="1:16" ht="15.75" x14ac:dyDescent="0.2">
      <c r="A277" s="40"/>
      <c r="B277" s="41" t="s">
        <v>360</v>
      </c>
      <c r="C277" s="42" t="s">
        <v>51</v>
      </c>
      <c r="D277" s="43" t="s">
        <v>355</v>
      </c>
      <c r="E277" s="43" t="s">
        <v>361</v>
      </c>
      <c r="F277" s="44" t="s">
        <v>11</v>
      </c>
      <c r="G277" s="45">
        <f>G278</f>
        <v>54041</v>
      </c>
      <c r="H277" s="45">
        <f>H278</f>
        <v>0</v>
      </c>
      <c r="I277" s="45">
        <f>I278</f>
        <v>54041</v>
      </c>
      <c r="J277" s="46">
        <f>J278</f>
        <v>0</v>
      </c>
      <c r="K277" s="45"/>
      <c r="L277" s="46">
        <f>L278</f>
        <v>0</v>
      </c>
      <c r="M277" s="45">
        <f>M278</f>
        <v>54041</v>
      </c>
      <c r="N277" s="45">
        <f>N278</f>
        <v>0</v>
      </c>
      <c r="O277" s="45">
        <f>O278</f>
        <v>54041</v>
      </c>
    </row>
    <row r="278" spans="1:16" ht="31.5" x14ac:dyDescent="0.2">
      <c r="A278" s="40"/>
      <c r="B278" s="41" t="s">
        <v>40</v>
      </c>
      <c r="C278" s="42" t="s">
        <v>51</v>
      </c>
      <c r="D278" s="43" t="s">
        <v>355</v>
      </c>
      <c r="E278" s="43" t="s">
        <v>361</v>
      </c>
      <c r="F278" s="44" t="s">
        <v>41</v>
      </c>
      <c r="G278" s="45">
        <v>54041</v>
      </c>
      <c r="H278" s="45"/>
      <c r="I278" s="45">
        <f>SUM(G278)</f>
        <v>54041</v>
      </c>
      <c r="J278" s="47"/>
      <c r="K278" s="45"/>
      <c r="L278" s="47"/>
      <c r="M278" s="45">
        <f>SUM(G278)</f>
        <v>54041</v>
      </c>
      <c r="N278" s="45">
        <f>SUM(H278)+K278</f>
        <v>0</v>
      </c>
      <c r="O278" s="45">
        <f>SUM(I278)</f>
        <v>54041</v>
      </c>
    </row>
    <row r="279" spans="1:16" ht="15.75" x14ac:dyDescent="0.2">
      <c r="A279" s="40"/>
      <c r="B279" s="41" t="s">
        <v>362</v>
      </c>
      <c r="C279" s="42" t="s">
        <v>51</v>
      </c>
      <c r="D279" s="43" t="s">
        <v>355</v>
      </c>
      <c r="E279" s="43" t="s">
        <v>363</v>
      </c>
      <c r="F279" s="44" t="s">
        <v>11</v>
      </c>
      <c r="G279" s="45">
        <f>G280</f>
        <v>4842.6000000000004</v>
      </c>
      <c r="H279" s="45">
        <f>H280</f>
        <v>0</v>
      </c>
      <c r="I279" s="45">
        <f>I280</f>
        <v>4842.6000000000004</v>
      </c>
      <c r="J279" s="46">
        <f>J280</f>
        <v>75</v>
      </c>
      <c r="K279" s="45">
        <f>SUM(K280)</f>
        <v>0</v>
      </c>
      <c r="L279" s="46">
        <f>L280</f>
        <v>75</v>
      </c>
      <c r="M279" s="45">
        <f>M280</f>
        <v>4917.6000000000004</v>
      </c>
      <c r="N279" s="45">
        <f>N280</f>
        <v>0</v>
      </c>
      <c r="O279" s="45">
        <f>O280</f>
        <v>4917.6000000000004</v>
      </c>
    </row>
    <row r="280" spans="1:16" ht="31.5" x14ac:dyDescent="0.2">
      <c r="A280" s="40"/>
      <c r="B280" s="41" t="s">
        <v>40</v>
      </c>
      <c r="C280" s="42" t="s">
        <v>51</v>
      </c>
      <c r="D280" s="43" t="s">
        <v>355</v>
      </c>
      <c r="E280" s="43" t="s">
        <v>363</v>
      </c>
      <c r="F280" s="44" t="s">
        <v>41</v>
      </c>
      <c r="G280" s="45">
        <v>4842.6000000000004</v>
      </c>
      <c r="H280" s="45"/>
      <c r="I280" s="45">
        <f>SUM(G280)</f>
        <v>4842.6000000000004</v>
      </c>
      <c r="J280" s="47">
        <v>75</v>
      </c>
      <c r="K280" s="45"/>
      <c r="L280" s="45">
        <f>SUM(J280)</f>
        <v>75</v>
      </c>
      <c r="M280" s="45">
        <f>SUM(G280+J280)</f>
        <v>4917.6000000000004</v>
      </c>
      <c r="N280" s="45">
        <f>SUM(H280)+K280</f>
        <v>0</v>
      </c>
      <c r="O280" s="45">
        <f>SUM(I280+L280)</f>
        <v>4917.6000000000004</v>
      </c>
    </row>
    <row r="281" spans="1:16" ht="15.75" x14ac:dyDescent="0.2">
      <c r="A281" s="40"/>
      <c r="B281" s="41" t="s">
        <v>364</v>
      </c>
      <c r="C281" s="42" t="s">
        <v>51</v>
      </c>
      <c r="D281" s="43" t="s">
        <v>355</v>
      </c>
      <c r="E281" s="43" t="s">
        <v>365</v>
      </c>
      <c r="F281" s="44" t="s">
        <v>11</v>
      </c>
      <c r="G281" s="45">
        <f>G282</f>
        <v>2550</v>
      </c>
      <c r="H281" s="45"/>
      <c r="I281" s="45">
        <f>I282</f>
        <v>2550</v>
      </c>
      <c r="J281" s="46">
        <f>J282</f>
        <v>0</v>
      </c>
      <c r="K281" s="45"/>
      <c r="L281" s="46">
        <f>L282</f>
        <v>0</v>
      </c>
      <c r="M281" s="45">
        <f>M282</f>
        <v>2550</v>
      </c>
      <c r="N281" s="45">
        <f>N282</f>
        <v>0</v>
      </c>
      <c r="O281" s="45">
        <f>O282</f>
        <v>2550</v>
      </c>
    </row>
    <row r="282" spans="1:16" ht="31.5" x14ac:dyDescent="0.2">
      <c r="A282" s="40"/>
      <c r="B282" s="41" t="s">
        <v>40</v>
      </c>
      <c r="C282" s="42" t="s">
        <v>51</v>
      </c>
      <c r="D282" s="43" t="s">
        <v>355</v>
      </c>
      <c r="E282" s="43" t="s">
        <v>365</v>
      </c>
      <c r="F282" s="44" t="s">
        <v>41</v>
      </c>
      <c r="G282" s="45">
        <v>2550</v>
      </c>
      <c r="H282" s="45"/>
      <c r="I282" s="45">
        <v>2550</v>
      </c>
      <c r="J282" s="47"/>
      <c r="K282" s="45"/>
      <c r="L282" s="47"/>
      <c r="M282" s="45">
        <v>2550</v>
      </c>
      <c r="N282" s="45"/>
      <c r="O282" s="45">
        <v>2550</v>
      </c>
    </row>
    <row r="283" spans="1:16" ht="15.75" x14ac:dyDescent="0.2">
      <c r="A283" s="40"/>
      <c r="B283" s="41" t="s">
        <v>366</v>
      </c>
      <c r="C283" s="42" t="s">
        <v>51</v>
      </c>
      <c r="D283" s="43" t="s">
        <v>355</v>
      </c>
      <c r="E283" s="43" t="s">
        <v>367</v>
      </c>
      <c r="F283" s="44" t="s">
        <v>11</v>
      </c>
      <c r="G283" s="45">
        <f>G284</f>
        <v>1597.4</v>
      </c>
      <c r="H283" s="45">
        <f>H284</f>
        <v>0</v>
      </c>
      <c r="I283" s="45">
        <f>I284</f>
        <v>1597.4</v>
      </c>
      <c r="J283" s="46">
        <f>J284</f>
        <v>0</v>
      </c>
      <c r="K283" s="45"/>
      <c r="L283" s="46">
        <f>L284</f>
        <v>0</v>
      </c>
      <c r="M283" s="45">
        <f>M284</f>
        <v>1597.4</v>
      </c>
      <c r="N283" s="45">
        <f>N284</f>
        <v>0</v>
      </c>
      <c r="O283" s="45">
        <f>O284</f>
        <v>1597.4</v>
      </c>
    </row>
    <row r="284" spans="1:16" ht="31.5" x14ac:dyDescent="0.2">
      <c r="A284" s="40"/>
      <c r="B284" s="41" t="s">
        <v>40</v>
      </c>
      <c r="C284" s="42" t="s">
        <v>51</v>
      </c>
      <c r="D284" s="43" t="s">
        <v>355</v>
      </c>
      <c r="E284" s="43" t="s">
        <v>367</v>
      </c>
      <c r="F284" s="44" t="s">
        <v>41</v>
      </c>
      <c r="G284" s="45">
        <v>1597.4</v>
      </c>
      <c r="H284" s="45"/>
      <c r="I284" s="45">
        <f>SUM(G284)</f>
        <v>1597.4</v>
      </c>
      <c r="J284" s="47"/>
      <c r="K284" s="45"/>
      <c r="L284" s="47"/>
      <c r="M284" s="45">
        <f t="shared" ref="M284:O286" si="44">SUM(G284)</f>
        <v>1597.4</v>
      </c>
      <c r="N284" s="45">
        <f t="shared" si="44"/>
        <v>0</v>
      </c>
      <c r="O284" s="45">
        <f t="shared" si="44"/>
        <v>1597.4</v>
      </c>
    </row>
    <row r="285" spans="1:16" ht="31.5" x14ac:dyDescent="0.2">
      <c r="A285" s="40"/>
      <c r="B285" s="56" t="s">
        <v>368</v>
      </c>
      <c r="C285" s="42">
        <v>992</v>
      </c>
      <c r="D285" s="43" t="s">
        <v>355</v>
      </c>
      <c r="E285" s="57" t="s">
        <v>369</v>
      </c>
      <c r="F285" s="44"/>
      <c r="G285" s="45">
        <v>700</v>
      </c>
      <c r="H285" s="45"/>
      <c r="I285" s="45">
        <f>SUM(G285)</f>
        <v>700</v>
      </c>
      <c r="J285" s="47"/>
      <c r="K285" s="45"/>
      <c r="L285" s="47"/>
      <c r="M285" s="45">
        <f t="shared" si="44"/>
        <v>700</v>
      </c>
      <c r="N285" s="45">
        <f t="shared" si="44"/>
        <v>0</v>
      </c>
      <c r="O285" s="45">
        <f t="shared" si="44"/>
        <v>700</v>
      </c>
    </row>
    <row r="286" spans="1:16" ht="31.5" x14ac:dyDescent="0.2">
      <c r="A286" s="40"/>
      <c r="B286" s="41" t="s">
        <v>40</v>
      </c>
      <c r="C286" s="42">
        <v>992</v>
      </c>
      <c r="D286" s="43" t="s">
        <v>355</v>
      </c>
      <c r="E286" s="57" t="s">
        <v>369</v>
      </c>
      <c r="F286" s="44">
        <v>200</v>
      </c>
      <c r="G286" s="45">
        <v>700</v>
      </c>
      <c r="H286" s="45"/>
      <c r="I286" s="45">
        <f>SUM(G286)</f>
        <v>700</v>
      </c>
      <c r="J286" s="47"/>
      <c r="K286" s="45"/>
      <c r="L286" s="47"/>
      <c r="M286" s="45">
        <f t="shared" si="44"/>
        <v>700</v>
      </c>
      <c r="N286" s="45">
        <f t="shared" si="44"/>
        <v>0</v>
      </c>
      <c r="O286" s="45">
        <f t="shared" si="44"/>
        <v>700</v>
      </c>
    </row>
    <row r="287" spans="1:16" ht="31.5" x14ac:dyDescent="0.2">
      <c r="A287" s="40"/>
      <c r="B287" s="41" t="s">
        <v>370</v>
      </c>
      <c r="C287" s="42" t="s">
        <v>51</v>
      </c>
      <c r="D287" s="43" t="s">
        <v>355</v>
      </c>
      <c r="E287" s="43" t="s">
        <v>371</v>
      </c>
      <c r="F287" s="44" t="s">
        <v>11</v>
      </c>
      <c r="G287" s="45">
        <f>G288</f>
        <v>4100</v>
      </c>
      <c r="H287" s="45"/>
      <c r="I287" s="45">
        <f>I288</f>
        <v>4100</v>
      </c>
      <c r="J287" s="46">
        <f>J288</f>
        <v>0</v>
      </c>
      <c r="K287" s="45"/>
      <c r="L287" s="46">
        <f>L288</f>
        <v>0</v>
      </c>
      <c r="M287" s="45">
        <f>M288</f>
        <v>4100</v>
      </c>
      <c r="N287" s="45">
        <f>N288</f>
        <v>0</v>
      </c>
      <c r="O287" s="45">
        <f>O288</f>
        <v>4100</v>
      </c>
    </row>
    <row r="288" spans="1:16" ht="31.5" x14ac:dyDescent="0.2">
      <c r="A288" s="40"/>
      <c r="B288" s="41" t="s">
        <v>40</v>
      </c>
      <c r="C288" s="42" t="s">
        <v>51</v>
      </c>
      <c r="D288" s="43" t="s">
        <v>355</v>
      </c>
      <c r="E288" s="43" t="s">
        <v>371</v>
      </c>
      <c r="F288" s="44" t="s">
        <v>41</v>
      </c>
      <c r="G288" s="45">
        <v>4100</v>
      </c>
      <c r="H288" s="45"/>
      <c r="I288" s="45">
        <v>4100</v>
      </c>
      <c r="J288" s="47"/>
      <c r="K288" s="45"/>
      <c r="L288" s="47"/>
      <c r="M288" s="45">
        <v>4100</v>
      </c>
      <c r="N288" s="45"/>
      <c r="O288" s="45">
        <v>4100</v>
      </c>
    </row>
    <row r="289" spans="1:15" ht="47.25" x14ac:dyDescent="0.2">
      <c r="A289" s="40"/>
      <c r="B289" s="41" t="s">
        <v>372</v>
      </c>
      <c r="C289" s="42" t="s">
        <v>51</v>
      </c>
      <c r="D289" s="43" t="s">
        <v>355</v>
      </c>
      <c r="E289" s="43" t="s">
        <v>373</v>
      </c>
      <c r="F289" s="44" t="s">
        <v>11</v>
      </c>
      <c r="G289" s="45">
        <f>G290</f>
        <v>11425.5</v>
      </c>
      <c r="H289" s="48">
        <f>SUM(H290)</f>
        <v>0</v>
      </c>
      <c r="I289" s="45">
        <f>I290</f>
        <v>11425.5</v>
      </c>
      <c r="J289" s="46">
        <f>J290</f>
        <v>0</v>
      </c>
      <c r="K289" s="48">
        <f>SUM(K290)</f>
        <v>0</v>
      </c>
      <c r="L289" s="46">
        <f>L290</f>
        <v>0</v>
      </c>
      <c r="M289" s="45">
        <f>M290</f>
        <v>11425.5</v>
      </c>
      <c r="N289" s="45">
        <f>N290</f>
        <v>0</v>
      </c>
      <c r="O289" s="45">
        <f>SUM(M289+N289)</f>
        <v>11425.5</v>
      </c>
    </row>
    <row r="290" spans="1:15" ht="31.5" x14ac:dyDescent="0.2">
      <c r="A290" s="40"/>
      <c r="B290" s="41" t="s">
        <v>40</v>
      </c>
      <c r="C290" s="42" t="s">
        <v>51</v>
      </c>
      <c r="D290" s="43" t="s">
        <v>355</v>
      </c>
      <c r="E290" s="43" t="s">
        <v>373</v>
      </c>
      <c r="F290" s="44" t="s">
        <v>41</v>
      </c>
      <c r="G290" s="48">
        <v>11425.5</v>
      </c>
      <c r="H290" s="48"/>
      <c r="I290" s="48">
        <f>SUM(G290)</f>
        <v>11425.5</v>
      </c>
      <c r="J290" s="47">
        <v>0</v>
      </c>
      <c r="K290" s="48"/>
      <c r="L290" s="47">
        <f>SUM(K290)</f>
        <v>0</v>
      </c>
      <c r="M290" s="48">
        <f>SUM(G290)</f>
        <v>11425.5</v>
      </c>
      <c r="N290" s="48">
        <f>SUM(K290)</f>
        <v>0</v>
      </c>
      <c r="O290" s="48">
        <f>SUM(I290)</f>
        <v>11425.5</v>
      </c>
    </row>
    <row r="291" spans="1:15" ht="126" x14ac:dyDescent="0.2">
      <c r="A291" s="40"/>
      <c r="B291" s="56" t="s">
        <v>551</v>
      </c>
      <c r="C291" s="42">
        <v>992</v>
      </c>
      <c r="D291" s="43" t="s">
        <v>355</v>
      </c>
      <c r="E291" s="43" t="s">
        <v>550</v>
      </c>
      <c r="F291" s="44"/>
      <c r="G291" s="48"/>
      <c r="H291" s="60">
        <f>SUM(H292)</f>
        <v>66.400000000000006</v>
      </c>
      <c r="I291" s="48">
        <f>SUM(H291)</f>
        <v>66.400000000000006</v>
      </c>
      <c r="J291" s="47"/>
      <c r="K291" s="48">
        <f>SUM(K292)</f>
        <v>1260</v>
      </c>
      <c r="L291" s="48">
        <f>SUM(L292)</f>
        <v>1260</v>
      </c>
      <c r="M291" s="48"/>
      <c r="N291" s="48">
        <f>SUM(H291+K291)</f>
        <v>1326.4</v>
      </c>
      <c r="O291" s="48">
        <f>SUM(I291+L291)</f>
        <v>1326.4</v>
      </c>
    </row>
    <row r="292" spans="1:15" ht="31.5" x14ac:dyDescent="0.2">
      <c r="A292" s="40"/>
      <c r="B292" s="41" t="s">
        <v>40</v>
      </c>
      <c r="C292" s="42">
        <v>992</v>
      </c>
      <c r="D292" s="43" t="s">
        <v>355</v>
      </c>
      <c r="E292" s="43" t="s">
        <v>550</v>
      </c>
      <c r="F292" s="44">
        <v>200</v>
      </c>
      <c r="G292" s="48"/>
      <c r="H292" s="60">
        <v>66.400000000000006</v>
      </c>
      <c r="I292" s="48">
        <f>SUM(H292)</f>
        <v>66.400000000000006</v>
      </c>
      <c r="J292" s="47"/>
      <c r="K292" s="48">
        <v>1260</v>
      </c>
      <c r="L292" s="47">
        <f>SUM(K292)</f>
        <v>1260</v>
      </c>
      <c r="M292" s="48"/>
      <c r="N292" s="48">
        <f>SUM(H292+K292)</f>
        <v>1326.4</v>
      </c>
      <c r="O292" s="48">
        <f>SUM(I292+L292)</f>
        <v>1326.4</v>
      </c>
    </row>
    <row r="293" spans="1:15" ht="15.75" x14ac:dyDescent="0.2">
      <c r="A293" s="40"/>
      <c r="B293" s="56" t="s">
        <v>374</v>
      </c>
      <c r="C293" s="42">
        <v>992</v>
      </c>
      <c r="D293" s="43" t="s">
        <v>355</v>
      </c>
      <c r="E293" s="57" t="s">
        <v>375</v>
      </c>
      <c r="F293" s="44"/>
      <c r="G293" s="48">
        <f t="shared" ref="G293:O295" si="45">G294</f>
        <v>1914.2</v>
      </c>
      <c r="H293" s="48">
        <f t="shared" si="45"/>
        <v>1564</v>
      </c>
      <c r="I293" s="48">
        <f t="shared" si="45"/>
        <v>3478.2</v>
      </c>
      <c r="J293" s="47">
        <f t="shared" si="45"/>
        <v>0</v>
      </c>
      <c r="K293" s="48">
        <f t="shared" si="45"/>
        <v>3300</v>
      </c>
      <c r="L293" s="47">
        <f t="shared" si="45"/>
        <v>3300</v>
      </c>
      <c r="M293" s="48">
        <f t="shared" si="45"/>
        <v>1914.2</v>
      </c>
      <c r="N293" s="48">
        <f t="shared" si="45"/>
        <v>4864</v>
      </c>
      <c r="O293" s="48">
        <f t="shared" si="45"/>
        <v>6778.2</v>
      </c>
    </row>
    <row r="294" spans="1:15" ht="31.5" x14ac:dyDescent="0.2">
      <c r="A294" s="40"/>
      <c r="B294" s="56" t="s">
        <v>376</v>
      </c>
      <c r="C294" s="42">
        <v>992</v>
      </c>
      <c r="D294" s="43" t="s">
        <v>355</v>
      </c>
      <c r="E294" s="57" t="s">
        <v>377</v>
      </c>
      <c r="F294" s="44"/>
      <c r="G294" s="48">
        <f t="shared" si="45"/>
        <v>1914.2</v>
      </c>
      <c r="H294" s="48">
        <f>H295+H297</f>
        <v>1564</v>
      </c>
      <c r="I294" s="48">
        <f>I295+I297</f>
        <v>3478.2</v>
      </c>
      <c r="J294" s="47">
        <f t="shared" si="45"/>
        <v>0</v>
      </c>
      <c r="K294" s="48">
        <f>K295+K297</f>
        <v>3300</v>
      </c>
      <c r="L294" s="47">
        <f>L295+K294</f>
        <v>3300</v>
      </c>
      <c r="M294" s="48">
        <f t="shared" si="45"/>
        <v>1914.2</v>
      </c>
      <c r="N294" s="48">
        <f>SUM(H294)+K294</f>
        <v>4864</v>
      </c>
      <c r="O294" s="48">
        <f>O295+N294</f>
        <v>6778.2</v>
      </c>
    </row>
    <row r="295" spans="1:15" ht="15.75" x14ac:dyDescent="0.2">
      <c r="A295" s="40"/>
      <c r="B295" s="56" t="s">
        <v>378</v>
      </c>
      <c r="C295" s="42">
        <v>992</v>
      </c>
      <c r="D295" s="43" t="s">
        <v>355</v>
      </c>
      <c r="E295" s="57" t="s">
        <v>379</v>
      </c>
      <c r="F295" s="44"/>
      <c r="G295" s="48">
        <f t="shared" si="45"/>
        <v>1914.2</v>
      </c>
      <c r="H295" s="48">
        <f t="shared" si="45"/>
        <v>0</v>
      </c>
      <c r="I295" s="48">
        <f t="shared" si="45"/>
        <v>1914.2</v>
      </c>
      <c r="J295" s="47">
        <f t="shared" si="45"/>
        <v>0</v>
      </c>
      <c r="K295" s="45"/>
      <c r="L295" s="47">
        <f t="shared" si="45"/>
        <v>0</v>
      </c>
      <c r="M295" s="48">
        <f t="shared" si="45"/>
        <v>1914.2</v>
      </c>
      <c r="N295" s="48">
        <f t="shared" si="45"/>
        <v>0</v>
      </c>
      <c r="O295" s="48">
        <f t="shared" si="45"/>
        <v>1914.2</v>
      </c>
    </row>
    <row r="296" spans="1:15" ht="31.5" x14ac:dyDescent="0.2">
      <c r="A296" s="40"/>
      <c r="B296" s="41" t="s">
        <v>40</v>
      </c>
      <c r="C296" s="42">
        <v>992</v>
      </c>
      <c r="D296" s="43" t="s">
        <v>355</v>
      </c>
      <c r="E296" s="57" t="s">
        <v>379</v>
      </c>
      <c r="F296" s="44">
        <v>200</v>
      </c>
      <c r="G296" s="48">
        <v>1914.2</v>
      </c>
      <c r="H296" s="45"/>
      <c r="I296" s="48">
        <f>SUM(G296)+H296</f>
        <v>1914.2</v>
      </c>
      <c r="J296" s="47">
        <v>0</v>
      </c>
      <c r="K296" s="45"/>
      <c r="L296" s="47">
        <f>SUM(K296)</f>
        <v>0</v>
      </c>
      <c r="M296" s="48">
        <f>SUM(G296)</f>
        <v>1914.2</v>
      </c>
      <c r="N296" s="45">
        <f>SUM(H296)+K296</f>
        <v>0</v>
      </c>
      <c r="O296" s="48">
        <f>SUM(I296)+L296</f>
        <v>1914.2</v>
      </c>
    </row>
    <row r="297" spans="1:15" ht="47.25" x14ac:dyDescent="0.2">
      <c r="A297" s="40"/>
      <c r="B297" s="41" t="s">
        <v>372</v>
      </c>
      <c r="C297" s="42">
        <v>992</v>
      </c>
      <c r="D297" s="43" t="s">
        <v>355</v>
      </c>
      <c r="E297" s="57" t="s">
        <v>549</v>
      </c>
      <c r="F297" s="44"/>
      <c r="G297" s="48"/>
      <c r="H297" s="45">
        <f>SUM(H298)</f>
        <v>1564</v>
      </c>
      <c r="I297" s="48">
        <f>SUM(H297)</f>
        <v>1564</v>
      </c>
      <c r="J297" s="47"/>
      <c r="K297" s="45">
        <v>3300</v>
      </c>
      <c r="L297" s="47">
        <f>SUM(K297)</f>
        <v>3300</v>
      </c>
      <c r="M297" s="48"/>
      <c r="N297" s="45">
        <f>SUM(H297+K297)</f>
        <v>4864</v>
      </c>
      <c r="O297" s="48">
        <f>SUM(I297+L297)</f>
        <v>4864</v>
      </c>
    </row>
    <row r="298" spans="1:15" ht="31.5" x14ac:dyDescent="0.2">
      <c r="A298" s="40"/>
      <c r="B298" s="41" t="s">
        <v>40</v>
      </c>
      <c r="C298" s="42">
        <v>992</v>
      </c>
      <c r="D298" s="43" t="s">
        <v>355</v>
      </c>
      <c r="E298" s="57" t="s">
        <v>549</v>
      </c>
      <c r="F298" s="44">
        <v>200</v>
      </c>
      <c r="G298" s="48"/>
      <c r="H298" s="45">
        <v>1564</v>
      </c>
      <c r="I298" s="48">
        <f>SUM(H298)</f>
        <v>1564</v>
      </c>
      <c r="J298" s="47"/>
      <c r="K298" s="45">
        <v>3300</v>
      </c>
      <c r="L298" s="47">
        <f>SUM(K298)</f>
        <v>3300</v>
      </c>
      <c r="M298" s="48"/>
      <c r="N298" s="45">
        <f>SUM(H298+K298)</f>
        <v>4864</v>
      </c>
      <c r="O298" s="48">
        <f>SUM(I298+L298)</f>
        <v>4864</v>
      </c>
    </row>
    <row r="299" spans="1:15" ht="47.25" x14ac:dyDescent="0.2">
      <c r="A299" s="40"/>
      <c r="B299" s="41" t="s">
        <v>105</v>
      </c>
      <c r="C299" s="42" t="s">
        <v>51</v>
      </c>
      <c r="D299" s="43" t="s">
        <v>355</v>
      </c>
      <c r="E299" s="43" t="s">
        <v>106</v>
      </c>
      <c r="F299" s="44" t="s">
        <v>11</v>
      </c>
      <c r="G299" s="45">
        <f>G300</f>
        <v>300</v>
      </c>
      <c r="H299" s="45"/>
      <c r="I299" s="45">
        <f>I300</f>
        <v>300</v>
      </c>
      <c r="J299" s="46">
        <f t="shared" ref="G299:O302" si="46">J300</f>
        <v>0</v>
      </c>
      <c r="K299" s="45"/>
      <c r="L299" s="46">
        <f t="shared" si="46"/>
        <v>0</v>
      </c>
      <c r="M299" s="45">
        <f t="shared" si="46"/>
        <v>300</v>
      </c>
      <c r="N299" s="45"/>
      <c r="O299" s="45">
        <f t="shared" si="46"/>
        <v>300</v>
      </c>
    </row>
    <row r="300" spans="1:15" ht="31.5" x14ac:dyDescent="0.2">
      <c r="A300" s="40"/>
      <c r="B300" s="41" t="s">
        <v>107</v>
      </c>
      <c r="C300" s="42" t="s">
        <v>51</v>
      </c>
      <c r="D300" s="43" t="s">
        <v>355</v>
      </c>
      <c r="E300" s="43" t="s">
        <v>108</v>
      </c>
      <c r="F300" s="44" t="s">
        <v>11</v>
      </c>
      <c r="G300" s="45">
        <f t="shared" si="46"/>
        <v>300</v>
      </c>
      <c r="H300" s="45">
        <f t="shared" si="46"/>
        <v>0</v>
      </c>
      <c r="I300" s="45">
        <f t="shared" si="46"/>
        <v>300</v>
      </c>
      <c r="J300" s="46">
        <f t="shared" si="46"/>
        <v>0</v>
      </c>
      <c r="K300" s="45">
        <f>K301</f>
        <v>0</v>
      </c>
      <c r="L300" s="46">
        <f t="shared" si="46"/>
        <v>0</v>
      </c>
      <c r="M300" s="45">
        <f t="shared" si="46"/>
        <v>300</v>
      </c>
      <c r="N300" s="45">
        <f t="shared" si="46"/>
        <v>0</v>
      </c>
      <c r="O300" s="45">
        <f t="shared" si="46"/>
        <v>300</v>
      </c>
    </row>
    <row r="301" spans="1:15" ht="31.5" x14ac:dyDescent="0.2">
      <c r="A301" s="40"/>
      <c r="B301" s="41" t="s">
        <v>109</v>
      </c>
      <c r="C301" s="42" t="s">
        <v>51</v>
      </c>
      <c r="D301" s="43" t="s">
        <v>355</v>
      </c>
      <c r="E301" s="43" t="s">
        <v>110</v>
      </c>
      <c r="F301" s="44" t="s">
        <v>11</v>
      </c>
      <c r="G301" s="45">
        <f t="shared" si="46"/>
        <v>300</v>
      </c>
      <c r="H301" s="45">
        <f t="shared" si="46"/>
        <v>0</v>
      </c>
      <c r="I301" s="45">
        <f t="shared" si="46"/>
        <v>300</v>
      </c>
      <c r="J301" s="46">
        <f t="shared" si="46"/>
        <v>0</v>
      </c>
      <c r="K301" s="45">
        <f>K302</f>
        <v>0</v>
      </c>
      <c r="L301" s="46">
        <f t="shared" si="46"/>
        <v>0</v>
      </c>
      <c r="M301" s="45">
        <f t="shared" si="46"/>
        <v>300</v>
      </c>
      <c r="N301" s="45">
        <f t="shared" si="46"/>
        <v>0</v>
      </c>
      <c r="O301" s="45">
        <f t="shared" si="46"/>
        <v>300</v>
      </c>
    </row>
    <row r="302" spans="1:15" ht="31.5" x14ac:dyDescent="0.2">
      <c r="A302" s="40"/>
      <c r="B302" s="41" t="s">
        <v>114</v>
      </c>
      <c r="C302" s="42" t="s">
        <v>51</v>
      </c>
      <c r="D302" s="43" t="s">
        <v>355</v>
      </c>
      <c r="E302" s="43" t="s">
        <v>115</v>
      </c>
      <c r="F302" s="44" t="s">
        <v>11</v>
      </c>
      <c r="G302" s="45">
        <f>G303</f>
        <v>300</v>
      </c>
      <c r="H302" s="45"/>
      <c r="I302" s="45">
        <f>I303</f>
        <v>300</v>
      </c>
      <c r="J302" s="46">
        <f t="shared" si="46"/>
        <v>0</v>
      </c>
      <c r="K302" s="45"/>
      <c r="L302" s="46">
        <f t="shared" si="46"/>
        <v>0</v>
      </c>
      <c r="M302" s="45">
        <f t="shared" si="46"/>
        <v>300</v>
      </c>
      <c r="N302" s="45">
        <f t="shared" si="46"/>
        <v>0</v>
      </c>
      <c r="O302" s="45">
        <f t="shared" si="46"/>
        <v>300</v>
      </c>
    </row>
    <row r="303" spans="1:15" ht="31.5" x14ac:dyDescent="0.2">
      <c r="A303" s="40"/>
      <c r="B303" s="41" t="s">
        <v>40</v>
      </c>
      <c r="C303" s="42" t="s">
        <v>51</v>
      </c>
      <c r="D303" s="43" t="s">
        <v>355</v>
      </c>
      <c r="E303" s="43" t="s">
        <v>115</v>
      </c>
      <c r="F303" s="44" t="s">
        <v>41</v>
      </c>
      <c r="G303" s="45">
        <v>300</v>
      </c>
      <c r="H303" s="45"/>
      <c r="I303" s="45">
        <v>300</v>
      </c>
      <c r="J303" s="47">
        <v>0</v>
      </c>
      <c r="K303" s="45"/>
      <c r="L303" s="47">
        <v>0</v>
      </c>
      <c r="M303" s="45">
        <v>300</v>
      </c>
      <c r="N303" s="45"/>
      <c r="O303" s="45">
        <v>300</v>
      </c>
    </row>
    <row r="304" spans="1:15" ht="63" x14ac:dyDescent="0.2">
      <c r="A304" s="40"/>
      <c r="B304" s="41" t="s">
        <v>380</v>
      </c>
      <c r="C304" s="42" t="s">
        <v>51</v>
      </c>
      <c r="D304" s="43" t="s">
        <v>355</v>
      </c>
      <c r="E304" s="43" t="s">
        <v>381</v>
      </c>
      <c r="F304" s="44" t="s">
        <v>11</v>
      </c>
      <c r="G304" s="45">
        <f t="shared" ref="G304:O306" si="47">G305</f>
        <v>599.70000000000005</v>
      </c>
      <c r="H304" s="45">
        <f t="shared" si="47"/>
        <v>80</v>
      </c>
      <c r="I304" s="45">
        <f t="shared" si="47"/>
        <v>679.7</v>
      </c>
      <c r="J304" s="46">
        <f t="shared" si="47"/>
        <v>0</v>
      </c>
      <c r="K304" s="45">
        <f>K305</f>
        <v>0</v>
      </c>
      <c r="L304" s="46">
        <f t="shared" si="47"/>
        <v>0</v>
      </c>
      <c r="M304" s="45">
        <f t="shared" si="47"/>
        <v>599.70000000000005</v>
      </c>
      <c r="N304" s="45">
        <f t="shared" si="47"/>
        <v>80</v>
      </c>
      <c r="O304" s="45">
        <f t="shared" si="47"/>
        <v>679.7</v>
      </c>
    </row>
    <row r="305" spans="1:15" ht="47.25" x14ac:dyDescent="0.2">
      <c r="A305" s="40"/>
      <c r="B305" s="41" t="s">
        <v>382</v>
      </c>
      <c r="C305" s="42" t="s">
        <v>51</v>
      </c>
      <c r="D305" s="43" t="s">
        <v>355</v>
      </c>
      <c r="E305" s="43" t="s">
        <v>383</v>
      </c>
      <c r="F305" s="44" t="s">
        <v>11</v>
      </c>
      <c r="G305" s="45">
        <f>G306+G308</f>
        <v>599.70000000000005</v>
      </c>
      <c r="H305" s="45">
        <f>H306+H308</f>
        <v>80</v>
      </c>
      <c r="I305" s="45">
        <f>I306+I308</f>
        <v>679.7</v>
      </c>
      <c r="J305" s="46">
        <f t="shared" si="47"/>
        <v>0</v>
      </c>
      <c r="K305" s="45">
        <f>K306</f>
        <v>0</v>
      </c>
      <c r="L305" s="46">
        <f t="shared" si="47"/>
        <v>0</v>
      </c>
      <c r="M305" s="45">
        <f>M306+M308</f>
        <v>599.70000000000005</v>
      </c>
      <c r="N305" s="45">
        <f>N306+N308</f>
        <v>80</v>
      </c>
      <c r="O305" s="45">
        <f>O306+O308</f>
        <v>679.7</v>
      </c>
    </row>
    <row r="306" spans="1:15" ht="63" x14ac:dyDescent="0.2">
      <c r="A306" s="40"/>
      <c r="B306" s="41" t="s">
        <v>384</v>
      </c>
      <c r="C306" s="42" t="s">
        <v>51</v>
      </c>
      <c r="D306" s="43" t="s">
        <v>355</v>
      </c>
      <c r="E306" s="57" t="s">
        <v>545</v>
      </c>
      <c r="F306" s="44" t="s">
        <v>11</v>
      </c>
      <c r="G306" s="45">
        <f>G307</f>
        <v>200</v>
      </c>
      <c r="H306" s="45">
        <f>H307</f>
        <v>80</v>
      </c>
      <c r="I306" s="45">
        <f>I307</f>
        <v>280</v>
      </c>
      <c r="J306" s="46">
        <f t="shared" si="47"/>
        <v>0</v>
      </c>
      <c r="K306" s="45"/>
      <c r="L306" s="46">
        <f t="shared" si="47"/>
        <v>0</v>
      </c>
      <c r="M306" s="45">
        <f t="shared" si="47"/>
        <v>200</v>
      </c>
      <c r="N306" s="45">
        <f t="shared" si="47"/>
        <v>80</v>
      </c>
      <c r="O306" s="45">
        <f t="shared" si="47"/>
        <v>280</v>
      </c>
    </row>
    <row r="307" spans="1:15" ht="31.5" x14ac:dyDescent="0.2">
      <c r="A307" s="40"/>
      <c r="B307" s="41" t="s">
        <v>40</v>
      </c>
      <c r="C307" s="42" t="s">
        <v>51</v>
      </c>
      <c r="D307" s="43" t="s">
        <v>355</v>
      </c>
      <c r="E307" s="57" t="s">
        <v>545</v>
      </c>
      <c r="F307" s="44" t="s">
        <v>41</v>
      </c>
      <c r="G307" s="45">
        <v>200</v>
      </c>
      <c r="H307" s="66">
        <f>30+50</f>
        <v>80</v>
      </c>
      <c r="I307" s="45">
        <f>200+H307</f>
        <v>280</v>
      </c>
      <c r="J307" s="47">
        <v>0</v>
      </c>
      <c r="K307" s="38"/>
      <c r="L307" s="47">
        <v>0</v>
      </c>
      <c r="M307" s="45">
        <v>200</v>
      </c>
      <c r="N307" s="45">
        <f t="shared" ref="N307:N313" si="48">SUM(H307)</f>
        <v>80</v>
      </c>
      <c r="O307" s="45">
        <f>200+N307</f>
        <v>280</v>
      </c>
    </row>
    <row r="308" spans="1:15" ht="31.5" x14ac:dyDescent="0.2">
      <c r="A308" s="40"/>
      <c r="B308" s="41" t="s">
        <v>385</v>
      </c>
      <c r="C308" s="42">
        <v>992</v>
      </c>
      <c r="D308" s="43" t="s">
        <v>355</v>
      </c>
      <c r="E308" s="43">
        <v>1400124240</v>
      </c>
      <c r="F308" s="44"/>
      <c r="G308" s="45">
        <v>399.7</v>
      </c>
      <c r="H308" s="66"/>
      <c r="I308" s="45">
        <f t="shared" ref="I308:I313" si="49">SUM(G308)</f>
        <v>399.7</v>
      </c>
      <c r="J308" s="47"/>
      <c r="K308" s="38"/>
      <c r="L308" s="47"/>
      <c r="M308" s="45">
        <f>SUM(G308)</f>
        <v>399.7</v>
      </c>
      <c r="N308" s="45">
        <f t="shared" si="48"/>
        <v>0</v>
      </c>
      <c r="O308" s="45">
        <f t="shared" ref="O308:O313" si="50">SUM(I308)</f>
        <v>399.7</v>
      </c>
    </row>
    <row r="309" spans="1:15" ht="31.5" x14ac:dyDescent="0.2">
      <c r="A309" s="40"/>
      <c r="B309" s="41" t="s">
        <v>40</v>
      </c>
      <c r="C309" s="42">
        <v>992</v>
      </c>
      <c r="D309" s="43" t="s">
        <v>355</v>
      </c>
      <c r="E309" s="43">
        <v>1400124240</v>
      </c>
      <c r="F309" s="44">
        <v>200</v>
      </c>
      <c r="G309" s="45">
        <v>399.7</v>
      </c>
      <c r="H309" s="66"/>
      <c r="I309" s="45">
        <f t="shared" si="49"/>
        <v>399.7</v>
      </c>
      <c r="J309" s="47"/>
      <c r="K309" s="38"/>
      <c r="L309" s="47"/>
      <c r="M309" s="45">
        <f>SUM(G309)</f>
        <v>399.7</v>
      </c>
      <c r="N309" s="45">
        <f t="shared" si="48"/>
        <v>0</v>
      </c>
      <c r="O309" s="45">
        <f t="shared" si="50"/>
        <v>399.7</v>
      </c>
    </row>
    <row r="310" spans="1:15" ht="31.5" x14ac:dyDescent="0.2">
      <c r="A310" s="40"/>
      <c r="B310" s="41" t="s">
        <v>66</v>
      </c>
      <c r="C310" s="42">
        <v>992</v>
      </c>
      <c r="D310" s="43" t="s">
        <v>355</v>
      </c>
      <c r="E310" s="43">
        <v>5200000000</v>
      </c>
      <c r="F310" s="44"/>
      <c r="G310" s="45">
        <v>2838.5</v>
      </c>
      <c r="H310" s="66">
        <f>SUM(H312)</f>
        <v>0</v>
      </c>
      <c r="I310" s="45">
        <f t="shared" si="49"/>
        <v>2838.5</v>
      </c>
      <c r="J310" s="47"/>
      <c r="K310" s="38"/>
      <c r="L310" s="47"/>
      <c r="M310" s="45">
        <v>2838.5</v>
      </c>
      <c r="N310" s="45">
        <f t="shared" si="48"/>
        <v>0</v>
      </c>
      <c r="O310" s="45">
        <f t="shared" si="50"/>
        <v>2838.5</v>
      </c>
    </row>
    <row r="311" spans="1:15" ht="31.5" x14ac:dyDescent="0.2">
      <c r="A311" s="40"/>
      <c r="B311" s="41" t="s">
        <v>80</v>
      </c>
      <c r="C311" s="42">
        <v>992</v>
      </c>
      <c r="D311" s="43" t="s">
        <v>355</v>
      </c>
      <c r="E311" s="43">
        <v>5230000000</v>
      </c>
      <c r="F311" s="44"/>
      <c r="G311" s="45">
        <v>2838.5</v>
      </c>
      <c r="H311" s="66">
        <f>SUM(H313)</f>
        <v>0</v>
      </c>
      <c r="I311" s="45">
        <f t="shared" si="49"/>
        <v>2838.5</v>
      </c>
      <c r="J311" s="47"/>
      <c r="K311" s="38"/>
      <c r="L311" s="47"/>
      <c r="M311" s="45">
        <f>SUM(M313)</f>
        <v>2838.5</v>
      </c>
      <c r="N311" s="45">
        <f t="shared" si="48"/>
        <v>0</v>
      </c>
      <c r="O311" s="45">
        <f t="shared" si="50"/>
        <v>2838.5</v>
      </c>
    </row>
    <row r="312" spans="1:15" ht="31.5" x14ac:dyDescent="0.2">
      <c r="A312" s="40"/>
      <c r="B312" s="41" t="s">
        <v>82</v>
      </c>
      <c r="C312" s="42">
        <v>992</v>
      </c>
      <c r="D312" s="43" t="s">
        <v>355</v>
      </c>
      <c r="E312" s="43">
        <v>5230010490</v>
      </c>
      <c r="F312" s="44"/>
      <c r="G312" s="45">
        <v>2838.5</v>
      </c>
      <c r="H312" s="66">
        <f>SUM(H313)</f>
        <v>0</v>
      </c>
      <c r="I312" s="45">
        <f t="shared" si="49"/>
        <v>2838.5</v>
      </c>
      <c r="J312" s="47"/>
      <c r="K312" s="38"/>
      <c r="L312" s="47"/>
      <c r="M312" s="45">
        <f>SUM(G312)</f>
        <v>2838.5</v>
      </c>
      <c r="N312" s="45">
        <f t="shared" si="48"/>
        <v>0</v>
      </c>
      <c r="O312" s="45">
        <f t="shared" si="50"/>
        <v>2838.5</v>
      </c>
    </row>
    <row r="313" spans="1:15" ht="29.25" customHeight="1" x14ac:dyDescent="0.2">
      <c r="A313" s="40"/>
      <c r="B313" s="41" t="s">
        <v>40</v>
      </c>
      <c r="C313" s="42">
        <v>992</v>
      </c>
      <c r="D313" s="43" t="s">
        <v>355</v>
      </c>
      <c r="E313" s="43">
        <v>5230010490</v>
      </c>
      <c r="F313" s="44">
        <v>200</v>
      </c>
      <c r="G313" s="45">
        <v>2838.5</v>
      </c>
      <c r="H313" s="66"/>
      <c r="I313" s="45">
        <f t="shared" si="49"/>
        <v>2838.5</v>
      </c>
      <c r="J313" s="47"/>
      <c r="K313" s="38"/>
      <c r="L313" s="47"/>
      <c r="M313" s="45">
        <f>SUM(G313)</f>
        <v>2838.5</v>
      </c>
      <c r="N313" s="45">
        <f t="shared" si="48"/>
        <v>0</v>
      </c>
      <c r="O313" s="45">
        <f t="shared" si="50"/>
        <v>2838.5</v>
      </c>
    </row>
    <row r="314" spans="1:15" ht="31.5" hidden="1" x14ac:dyDescent="0.2">
      <c r="A314" s="40"/>
      <c r="B314" s="41" t="s">
        <v>40</v>
      </c>
      <c r="C314" s="42"/>
      <c r="D314" s="43"/>
      <c r="E314" s="43"/>
      <c r="F314" s="44"/>
      <c r="G314" s="45"/>
      <c r="H314" s="38"/>
      <c r="I314" s="45"/>
      <c r="J314" s="47"/>
      <c r="K314" s="38"/>
      <c r="L314" s="47"/>
      <c r="M314" s="45"/>
      <c r="N314" s="45"/>
      <c r="O314" s="45"/>
    </row>
    <row r="315" spans="1:15" ht="31.5" x14ac:dyDescent="0.2">
      <c r="A315" s="33" t="s">
        <v>386</v>
      </c>
      <c r="B315" s="34" t="s">
        <v>387</v>
      </c>
      <c r="C315" s="35" t="s">
        <v>51</v>
      </c>
      <c r="D315" s="36" t="s">
        <v>388</v>
      </c>
      <c r="E315" s="36" t="s">
        <v>11</v>
      </c>
      <c r="F315" s="37" t="s">
        <v>11</v>
      </c>
      <c r="G315" s="38">
        <f t="shared" ref="G315:O316" si="51">G316</f>
        <v>91364.800000000003</v>
      </c>
      <c r="H315" s="45">
        <f t="shared" si="51"/>
        <v>0</v>
      </c>
      <c r="I315" s="38">
        <f t="shared" si="51"/>
        <v>91364.800000000003</v>
      </c>
      <c r="J315" s="39">
        <f t="shared" si="51"/>
        <v>0</v>
      </c>
      <c r="K315" s="45">
        <f t="shared" si="51"/>
        <v>0</v>
      </c>
      <c r="L315" s="39">
        <f t="shared" si="51"/>
        <v>0</v>
      </c>
      <c r="M315" s="38">
        <f t="shared" si="51"/>
        <v>91364.800000000003</v>
      </c>
      <c r="N315" s="38">
        <f t="shared" si="51"/>
        <v>0</v>
      </c>
      <c r="O315" s="78">
        <f t="shared" si="51"/>
        <v>91364.800000000003</v>
      </c>
    </row>
    <row r="316" spans="1:15" ht="31.5" x14ac:dyDescent="0.2">
      <c r="A316" s="40"/>
      <c r="B316" s="41" t="s">
        <v>245</v>
      </c>
      <c r="C316" s="42" t="s">
        <v>51</v>
      </c>
      <c r="D316" s="43" t="s">
        <v>388</v>
      </c>
      <c r="E316" s="43" t="s">
        <v>246</v>
      </c>
      <c r="F316" s="44" t="s">
        <v>11</v>
      </c>
      <c r="G316" s="45">
        <f t="shared" si="51"/>
        <v>91364.800000000003</v>
      </c>
      <c r="H316" s="45">
        <f>H317+H320</f>
        <v>0</v>
      </c>
      <c r="I316" s="45">
        <f t="shared" si="51"/>
        <v>91364.800000000003</v>
      </c>
      <c r="J316" s="46">
        <f t="shared" si="51"/>
        <v>0</v>
      </c>
      <c r="K316" s="45">
        <f>K317+K320</f>
        <v>0</v>
      </c>
      <c r="L316" s="46">
        <f t="shared" si="51"/>
        <v>0</v>
      </c>
      <c r="M316" s="45">
        <f t="shared" si="51"/>
        <v>91364.800000000003</v>
      </c>
      <c r="N316" s="45">
        <f t="shared" si="51"/>
        <v>0</v>
      </c>
      <c r="O316" s="45">
        <f t="shared" si="51"/>
        <v>91364.800000000003</v>
      </c>
    </row>
    <row r="317" spans="1:15" ht="15.75" x14ac:dyDescent="0.2">
      <c r="A317" s="40"/>
      <c r="B317" s="41" t="s">
        <v>247</v>
      </c>
      <c r="C317" s="42" t="s">
        <v>51</v>
      </c>
      <c r="D317" s="43" t="s">
        <v>388</v>
      </c>
      <c r="E317" s="43" t="s">
        <v>248</v>
      </c>
      <c r="F317" s="44" t="s">
        <v>11</v>
      </c>
      <c r="G317" s="45">
        <f>G318+G321</f>
        <v>91364.800000000003</v>
      </c>
      <c r="H317" s="45">
        <f>SUM(H321)</f>
        <v>0</v>
      </c>
      <c r="I317" s="45">
        <f>I318+I321</f>
        <v>91364.800000000003</v>
      </c>
      <c r="J317" s="46">
        <f>J318+J321</f>
        <v>0</v>
      </c>
      <c r="K317" s="45">
        <f t="shared" ref="G317:O319" si="52">K318</f>
        <v>0</v>
      </c>
      <c r="L317" s="46">
        <f>L318+L321</f>
        <v>0</v>
      </c>
      <c r="M317" s="45">
        <f>M318+M321+M324+M326</f>
        <v>91364.800000000003</v>
      </c>
      <c r="N317" s="45">
        <f>N318+N321</f>
        <v>0</v>
      </c>
      <c r="O317" s="45">
        <f>O318+O321</f>
        <v>91364.800000000003</v>
      </c>
    </row>
    <row r="318" spans="1:15" ht="31.5" x14ac:dyDescent="0.2">
      <c r="A318" s="40"/>
      <c r="B318" s="41" t="s">
        <v>389</v>
      </c>
      <c r="C318" s="42" t="s">
        <v>51</v>
      </c>
      <c r="D318" s="43" t="s">
        <v>388</v>
      </c>
      <c r="E318" s="43" t="s">
        <v>390</v>
      </c>
      <c r="F318" s="44" t="s">
        <v>11</v>
      </c>
      <c r="G318" s="45">
        <f t="shared" si="52"/>
        <v>7768.7</v>
      </c>
      <c r="H318" s="45">
        <f t="shared" si="52"/>
        <v>0</v>
      </c>
      <c r="I318" s="45">
        <f t="shared" si="52"/>
        <v>7768.7</v>
      </c>
      <c r="J318" s="46">
        <f t="shared" si="52"/>
        <v>0</v>
      </c>
      <c r="K318" s="45">
        <f t="shared" si="52"/>
        <v>0</v>
      </c>
      <c r="L318" s="46">
        <f t="shared" si="52"/>
        <v>0</v>
      </c>
      <c r="M318" s="45">
        <f t="shared" si="52"/>
        <v>7768.7</v>
      </c>
      <c r="N318" s="45">
        <f t="shared" si="52"/>
        <v>0</v>
      </c>
      <c r="O318" s="45">
        <f t="shared" si="52"/>
        <v>7768.7</v>
      </c>
    </row>
    <row r="319" spans="1:15" ht="31.5" x14ac:dyDescent="0.2">
      <c r="A319" s="40"/>
      <c r="B319" s="41" t="s">
        <v>134</v>
      </c>
      <c r="C319" s="42" t="s">
        <v>51</v>
      </c>
      <c r="D319" s="43" t="s">
        <v>388</v>
      </c>
      <c r="E319" s="43" t="s">
        <v>391</v>
      </c>
      <c r="F319" s="44" t="s">
        <v>11</v>
      </c>
      <c r="G319" s="45">
        <f t="shared" si="52"/>
        <v>7768.7</v>
      </c>
      <c r="H319" s="45"/>
      <c r="I319" s="45">
        <f t="shared" si="52"/>
        <v>7768.7</v>
      </c>
      <c r="J319" s="46">
        <f t="shared" si="52"/>
        <v>0</v>
      </c>
      <c r="K319" s="45"/>
      <c r="L319" s="46">
        <f t="shared" si="52"/>
        <v>0</v>
      </c>
      <c r="M319" s="45">
        <f t="shared" si="52"/>
        <v>7768.7</v>
      </c>
      <c r="N319" s="45">
        <f t="shared" si="52"/>
        <v>0</v>
      </c>
      <c r="O319" s="45">
        <f t="shared" si="52"/>
        <v>7768.7</v>
      </c>
    </row>
    <row r="320" spans="1:15" ht="33.6" customHeight="1" x14ac:dyDescent="0.2">
      <c r="A320" s="40"/>
      <c r="B320" s="41" t="s">
        <v>95</v>
      </c>
      <c r="C320" s="42" t="s">
        <v>51</v>
      </c>
      <c r="D320" s="43" t="s">
        <v>388</v>
      </c>
      <c r="E320" s="43" t="s">
        <v>391</v>
      </c>
      <c r="F320" s="44" t="s">
        <v>96</v>
      </c>
      <c r="G320" s="45">
        <v>7768.7</v>
      </c>
      <c r="H320" s="45"/>
      <c r="I320" s="45">
        <v>7768.7</v>
      </c>
      <c r="J320" s="47">
        <v>0</v>
      </c>
      <c r="K320" s="45"/>
      <c r="L320" s="47">
        <v>0</v>
      </c>
      <c r="M320" s="45">
        <v>7768.7</v>
      </c>
      <c r="N320" s="45"/>
      <c r="O320" s="45">
        <v>7768.7</v>
      </c>
    </row>
    <row r="321" spans="1:16" ht="47.25" x14ac:dyDescent="0.2">
      <c r="A321" s="40"/>
      <c r="B321" s="41" t="s">
        <v>249</v>
      </c>
      <c r="C321" s="42" t="s">
        <v>51</v>
      </c>
      <c r="D321" s="43" t="s">
        <v>388</v>
      </c>
      <c r="E321" s="43" t="s">
        <v>250</v>
      </c>
      <c r="F321" s="44" t="s">
        <v>11</v>
      </c>
      <c r="G321" s="45">
        <f>G322+G324+G326</f>
        <v>83596.100000000006</v>
      </c>
      <c r="H321" s="45">
        <f>H322+H326+H324</f>
        <v>0</v>
      </c>
      <c r="I321" s="45">
        <f>I322+I326+I324</f>
        <v>83596.100000000006</v>
      </c>
      <c r="J321" s="46">
        <f t="shared" ref="G321:O322" si="53">J322</f>
        <v>0</v>
      </c>
      <c r="K321" s="45">
        <f t="shared" si="53"/>
        <v>0</v>
      </c>
      <c r="L321" s="46">
        <f t="shared" si="53"/>
        <v>0</v>
      </c>
      <c r="M321" s="45">
        <f t="shared" si="53"/>
        <v>81676.100000000006</v>
      </c>
      <c r="N321" s="45">
        <f>N322+N326+N324</f>
        <v>0</v>
      </c>
      <c r="O321" s="45">
        <f>O322+O326+O324</f>
        <v>83596.100000000006</v>
      </c>
    </row>
    <row r="322" spans="1:16" ht="31.5" x14ac:dyDescent="0.2">
      <c r="A322" s="40"/>
      <c r="B322" s="41" t="s">
        <v>134</v>
      </c>
      <c r="C322" s="42" t="s">
        <v>51</v>
      </c>
      <c r="D322" s="43" t="s">
        <v>388</v>
      </c>
      <c r="E322" s="43" t="s">
        <v>251</v>
      </c>
      <c r="F322" s="44" t="s">
        <v>11</v>
      </c>
      <c r="G322" s="45">
        <f t="shared" si="53"/>
        <v>81676.100000000006</v>
      </c>
      <c r="H322" s="45">
        <f t="shared" si="53"/>
        <v>0</v>
      </c>
      <c r="I322" s="45">
        <f t="shared" si="53"/>
        <v>81676.100000000006</v>
      </c>
      <c r="J322" s="46">
        <f t="shared" si="53"/>
        <v>0</v>
      </c>
      <c r="K322" s="45"/>
      <c r="L322" s="46">
        <f t="shared" si="53"/>
        <v>0</v>
      </c>
      <c r="M322" s="45">
        <f t="shared" si="53"/>
        <v>81676.100000000006</v>
      </c>
      <c r="N322" s="45">
        <f t="shared" si="53"/>
        <v>0</v>
      </c>
      <c r="O322" s="45">
        <f t="shared" si="53"/>
        <v>81676.100000000006</v>
      </c>
    </row>
    <row r="323" spans="1:16" ht="33.6" customHeight="1" x14ac:dyDescent="0.2">
      <c r="A323" s="40"/>
      <c r="B323" s="41" t="s">
        <v>95</v>
      </c>
      <c r="C323" s="42" t="s">
        <v>51</v>
      </c>
      <c r="D323" s="43" t="s">
        <v>388</v>
      </c>
      <c r="E323" s="43" t="s">
        <v>251</v>
      </c>
      <c r="F323" s="44" t="s">
        <v>96</v>
      </c>
      <c r="G323" s="45">
        <v>81676.100000000006</v>
      </c>
      <c r="H323" s="45"/>
      <c r="I323" s="45">
        <f>SUM(G323)+H323</f>
        <v>81676.100000000006</v>
      </c>
      <c r="J323" s="47">
        <v>0</v>
      </c>
      <c r="K323" s="25"/>
      <c r="L323" s="47">
        <v>0</v>
      </c>
      <c r="M323" s="45">
        <f>SUM(G323)</f>
        <v>81676.100000000006</v>
      </c>
      <c r="N323" s="45">
        <f>SUM(H323)</f>
        <v>0</v>
      </c>
      <c r="O323" s="45">
        <f>SUM(M323)+N323</f>
        <v>81676.100000000006</v>
      </c>
    </row>
    <row r="324" spans="1:16" ht="33.6" customHeight="1" x14ac:dyDescent="0.2">
      <c r="A324" s="40"/>
      <c r="B324" s="71" t="s">
        <v>392</v>
      </c>
      <c r="C324" s="42">
        <v>992</v>
      </c>
      <c r="D324" s="43" t="s">
        <v>388</v>
      </c>
      <c r="E324" s="57" t="s">
        <v>393</v>
      </c>
      <c r="F324" s="44"/>
      <c r="G324" s="45">
        <f>SUM(G325)</f>
        <v>779</v>
      </c>
      <c r="H324" s="45"/>
      <c r="I324" s="45">
        <f>SUM(G324)</f>
        <v>779</v>
      </c>
      <c r="J324" s="47"/>
      <c r="K324" s="25"/>
      <c r="L324" s="47"/>
      <c r="M324" s="45">
        <f>SUM(G324)</f>
        <v>779</v>
      </c>
      <c r="N324" s="45">
        <f t="shared" ref="N324:O327" si="54">SUM(H324)</f>
        <v>0</v>
      </c>
      <c r="O324" s="45">
        <f t="shared" si="54"/>
        <v>779</v>
      </c>
    </row>
    <row r="325" spans="1:16" ht="33.6" customHeight="1" x14ac:dyDescent="0.2">
      <c r="A325" s="40"/>
      <c r="B325" s="41" t="s">
        <v>95</v>
      </c>
      <c r="C325" s="42">
        <v>992</v>
      </c>
      <c r="D325" s="43" t="s">
        <v>388</v>
      </c>
      <c r="E325" s="57" t="s">
        <v>393</v>
      </c>
      <c r="F325" s="44">
        <v>600</v>
      </c>
      <c r="G325" s="45">
        <v>779</v>
      </c>
      <c r="H325" s="45"/>
      <c r="I325" s="45">
        <f>SUM(G325)</f>
        <v>779</v>
      </c>
      <c r="J325" s="47"/>
      <c r="K325" s="25"/>
      <c r="L325" s="47"/>
      <c r="M325" s="45">
        <f>SUM(G325)</f>
        <v>779</v>
      </c>
      <c r="N325" s="45">
        <f t="shared" si="54"/>
        <v>0</v>
      </c>
      <c r="O325" s="45">
        <f t="shared" si="54"/>
        <v>779</v>
      </c>
    </row>
    <row r="326" spans="1:16" ht="51" customHeight="1" x14ac:dyDescent="0.2">
      <c r="A326" s="40"/>
      <c r="B326" s="41" t="s">
        <v>283</v>
      </c>
      <c r="C326" s="42">
        <v>992</v>
      </c>
      <c r="D326" s="43" t="s">
        <v>388</v>
      </c>
      <c r="E326" s="57" t="s">
        <v>284</v>
      </c>
      <c r="F326" s="44"/>
      <c r="G326" s="45">
        <f>SUM(G327)</f>
        <v>1141</v>
      </c>
      <c r="H326" s="45">
        <f>SUM(H327)</f>
        <v>0</v>
      </c>
      <c r="I326" s="45">
        <f>SUM(G326)</f>
        <v>1141</v>
      </c>
      <c r="J326" s="47"/>
      <c r="K326" s="25"/>
      <c r="L326" s="47"/>
      <c r="M326" s="45">
        <f>SUM(G326)</f>
        <v>1141</v>
      </c>
      <c r="N326" s="45">
        <f t="shared" si="54"/>
        <v>0</v>
      </c>
      <c r="O326" s="45">
        <f t="shared" si="54"/>
        <v>1141</v>
      </c>
    </row>
    <row r="327" spans="1:16" ht="33.6" customHeight="1" x14ac:dyDescent="0.2">
      <c r="A327" s="40"/>
      <c r="B327" s="41" t="s">
        <v>95</v>
      </c>
      <c r="C327" s="42">
        <v>992</v>
      </c>
      <c r="D327" s="43" t="s">
        <v>388</v>
      </c>
      <c r="E327" s="57" t="s">
        <v>284</v>
      </c>
      <c r="F327" s="44">
        <v>600</v>
      </c>
      <c r="G327" s="45">
        <v>1141</v>
      </c>
      <c r="H327" s="45"/>
      <c r="I327" s="45">
        <f>SUM(G327)</f>
        <v>1141</v>
      </c>
      <c r="J327" s="47"/>
      <c r="K327" s="25"/>
      <c r="L327" s="47"/>
      <c r="M327" s="45">
        <f>SUM(G327)</f>
        <v>1141</v>
      </c>
      <c r="N327" s="45">
        <f t="shared" si="54"/>
        <v>0</v>
      </c>
      <c r="O327" s="45">
        <f t="shared" si="54"/>
        <v>1141</v>
      </c>
    </row>
    <row r="328" spans="1:16" ht="15.75" x14ac:dyDescent="0.2">
      <c r="A328" s="20" t="s">
        <v>394</v>
      </c>
      <c r="B328" s="21" t="s">
        <v>395</v>
      </c>
      <c r="C328" s="22" t="s">
        <v>51</v>
      </c>
      <c r="D328" s="23" t="s">
        <v>396</v>
      </c>
      <c r="E328" s="23" t="s">
        <v>11</v>
      </c>
      <c r="F328" s="24" t="s">
        <v>11</v>
      </c>
      <c r="G328" s="25">
        <f>G329</f>
        <v>13912.1</v>
      </c>
      <c r="H328" s="38">
        <f>H329</f>
        <v>0</v>
      </c>
      <c r="I328" s="25">
        <f>I329</f>
        <v>13912.1</v>
      </c>
      <c r="J328" s="26">
        <f>J329</f>
        <v>156</v>
      </c>
      <c r="K328" s="38">
        <f>K329+K342</f>
        <v>0</v>
      </c>
      <c r="L328" s="26">
        <f>L329</f>
        <v>156</v>
      </c>
      <c r="M328" s="25">
        <f>M329</f>
        <v>14068.1</v>
      </c>
      <c r="N328" s="25">
        <f>N329</f>
        <v>0</v>
      </c>
      <c r="O328" s="25">
        <f>O329</f>
        <v>14068.1</v>
      </c>
      <c r="P328" s="17"/>
    </row>
    <row r="329" spans="1:16" ht="15.75" x14ac:dyDescent="0.2">
      <c r="A329" s="33" t="s">
        <v>397</v>
      </c>
      <c r="B329" s="34" t="s">
        <v>398</v>
      </c>
      <c r="C329" s="35" t="s">
        <v>51</v>
      </c>
      <c r="D329" s="36" t="s">
        <v>399</v>
      </c>
      <c r="E329" s="36" t="s">
        <v>11</v>
      </c>
      <c r="F329" s="37" t="s">
        <v>11</v>
      </c>
      <c r="G329" s="38">
        <f>G330+G345</f>
        <v>13912.1</v>
      </c>
      <c r="H329" s="45">
        <f>H330+H335</f>
        <v>0</v>
      </c>
      <c r="I329" s="38">
        <f>I330+I345</f>
        <v>13912.1</v>
      </c>
      <c r="J329" s="39">
        <f>J330+J345</f>
        <v>156</v>
      </c>
      <c r="K329" s="45">
        <f>K330+K335</f>
        <v>0</v>
      </c>
      <c r="L329" s="39">
        <f>L330+L345</f>
        <v>156</v>
      </c>
      <c r="M329" s="38">
        <f>M330+M345</f>
        <v>14068.1</v>
      </c>
      <c r="N329" s="38">
        <f>N330+N345</f>
        <v>0</v>
      </c>
      <c r="O329" s="38">
        <f>O330+O345</f>
        <v>14068.1</v>
      </c>
      <c r="P329" s="15"/>
    </row>
    <row r="330" spans="1:16" ht="31.5" x14ac:dyDescent="0.2">
      <c r="A330" s="40"/>
      <c r="B330" s="41" t="s">
        <v>400</v>
      </c>
      <c r="C330" s="42" t="s">
        <v>51</v>
      </c>
      <c r="D330" s="43" t="s">
        <v>399</v>
      </c>
      <c r="E330" s="43" t="s">
        <v>401</v>
      </c>
      <c r="F330" s="44" t="s">
        <v>11</v>
      </c>
      <c r="G330" s="45">
        <f>G331+G336</f>
        <v>13832.1</v>
      </c>
      <c r="H330" s="45">
        <f>H331+H333+H336+H341</f>
        <v>0</v>
      </c>
      <c r="I330" s="45">
        <f>I331+I336</f>
        <v>13832.1</v>
      </c>
      <c r="J330" s="45">
        <f>J331+J333+J336+J343</f>
        <v>156</v>
      </c>
      <c r="K330" s="45">
        <f>K331+K333+K336+K343</f>
        <v>0</v>
      </c>
      <c r="L330" s="45">
        <f>L331+L333+L336+L343</f>
        <v>156</v>
      </c>
      <c r="M330" s="45">
        <f>M331+M336</f>
        <v>13988.1</v>
      </c>
      <c r="N330" s="45">
        <f>N331+N336+K330</f>
        <v>0</v>
      </c>
      <c r="O330" s="45">
        <f>O331+O336+O343</f>
        <v>13988.1</v>
      </c>
    </row>
    <row r="331" spans="1:16" ht="47.25" x14ac:dyDescent="0.2">
      <c r="A331" s="40"/>
      <c r="B331" s="41" t="s">
        <v>402</v>
      </c>
      <c r="C331" s="42" t="s">
        <v>51</v>
      </c>
      <c r="D331" s="43" t="s">
        <v>399</v>
      </c>
      <c r="E331" s="43" t="s">
        <v>403</v>
      </c>
      <c r="F331" s="44" t="s">
        <v>11</v>
      </c>
      <c r="G331" s="45">
        <f>G332+G334</f>
        <v>2346.5</v>
      </c>
      <c r="H331" s="45">
        <f>H332</f>
        <v>0</v>
      </c>
      <c r="I331" s="45">
        <f>I332+I334</f>
        <v>2346.5</v>
      </c>
      <c r="J331" s="46">
        <f>J332+J334</f>
        <v>0</v>
      </c>
      <c r="K331" s="45">
        <f>K332</f>
        <v>0</v>
      </c>
      <c r="L331" s="46">
        <f>L332+L334</f>
        <v>0</v>
      </c>
      <c r="M331" s="45">
        <f>M332+M334</f>
        <v>2346.5</v>
      </c>
      <c r="N331" s="45">
        <f>N332+N334</f>
        <v>0</v>
      </c>
      <c r="O331" s="45">
        <f>O332+O334</f>
        <v>2346.5</v>
      </c>
    </row>
    <row r="332" spans="1:16" ht="47.25" x14ac:dyDescent="0.2">
      <c r="A332" s="40"/>
      <c r="B332" s="41" t="s">
        <v>404</v>
      </c>
      <c r="C332" s="42" t="s">
        <v>51</v>
      </c>
      <c r="D332" s="43" t="s">
        <v>399</v>
      </c>
      <c r="E332" s="43" t="s">
        <v>405</v>
      </c>
      <c r="F332" s="44" t="s">
        <v>11</v>
      </c>
      <c r="G332" s="45">
        <f>G333</f>
        <v>1500</v>
      </c>
      <c r="H332" s="45"/>
      <c r="I332" s="45">
        <f>I333</f>
        <v>1500</v>
      </c>
      <c r="J332" s="46">
        <f>J333</f>
        <v>0</v>
      </c>
      <c r="K332" s="45"/>
      <c r="L332" s="46">
        <f>L333</f>
        <v>0</v>
      </c>
      <c r="M332" s="45">
        <f>M333</f>
        <v>1500</v>
      </c>
      <c r="N332" s="45">
        <f>N333</f>
        <v>0</v>
      </c>
      <c r="O332" s="45">
        <f>O333</f>
        <v>1500</v>
      </c>
    </row>
    <row r="333" spans="1:16" ht="78.75" x14ac:dyDescent="0.2">
      <c r="A333" s="40"/>
      <c r="B333" s="41" t="s">
        <v>61</v>
      </c>
      <c r="C333" s="42" t="s">
        <v>51</v>
      </c>
      <c r="D333" s="43" t="s">
        <v>399</v>
      </c>
      <c r="E333" s="43" t="s">
        <v>405</v>
      </c>
      <c r="F333" s="44" t="s">
        <v>62</v>
      </c>
      <c r="G333" s="45">
        <v>1500</v>
      </c>
      <c r="H333" s="45"/>
      <c r="I333" s="45">
        <v>1500</v>
      </c>
      <c r="J333" s="47">
        <v>0</v>
      </c>
      <c r="K333" s="45"/>
      <c r="L333" s="47">
        <v>0</v>
      </c>
      <c r="M333" s="45">
        <v>1500</v>
      </c>
      <c r="N333" s="45"/>
      <c r="O333" s="45">
        <v>1500</v>
      </c>
    </row>
    <row r="334" spans="1:16" ht="47.25" x14ac:dyDescent="0.2">
      <c r="A334" s="40"/>
      <c r="B334" s="41" t="s">
        <v>406</v>
      </c>
      <c r="C334" s="42" t="s">
        <v>51</v>
      </c>
      <c r="D334" s="43" t="s">
        <v>399</v>
      </c>
      <c r="E334" s="43" t="s">
        <v>407</v>
      </c>
      <c r="F334" s="44" t="s">
        <v>11</v>
      </c>
      <c r="G334" s="45">
        <f>G335</f>
        <v>846.5</v>
      </c>
      <c r="H334" s="45"/>
      <c r="I334" s="45">
        <f>I335</f>
        <v>846.5</v>
      </c>
      <c r="J334" s="46">
        <f>J335</f>
        <v>0</v>
      </c>
      <c r="K334" s="45"/>
      <c r="L334" s="46">
        <f>L335</f>
        <v>0</v>
      </c>
      <c r="M334" s="45">
        <f>M335</f>
        <v>846.5</v>
      </c>
      <c r="N334" s="45">
        <f>N335</f>
        <v>0</v>
      </c>
      <c r="O334" s="45">
        <f>O335</f>
        <v>846.5</v>
      </c>
    </row>
    <row r="335" spans="1:16" ht="31.5" x14ac:dyDescent="0.2">
      <c r="A335" s="40"/>
      <c r="B335" s="41" t="s">
        <v>408</v>
      </c>
      <c r="C335" s="42" t="s">
        <v>51</v>
      </c>
      <c r="D335" s="43" t="s">
        <v>399</v>
      </c>
      <c r="E335" s="43" t="s">
        <v>407</v>
      </c>
      <c r="F335" s="44" t="s">
        <v>41</v>
      </c>
      <c r="G335" s="45">
        <v>846.5</v>
      </c>
      <c r="H335" s="45"/>
      <c r="I335" s="45">
        <v>846.5</v>
      </c>
      <c r="J335" s="47">
        <v>0</v>
      </c>
      <c r="K335" s="45"/>
      <c r="L335" s="47">
        <v>0</v>
      </c>
      <c r="M335" s="45">
        <v>846.5</v>
      </c>
      <c r="N335" s="45"/>
      <c r="O335" s="45">
        <v>846.5</v>
      </c>
    </row>
    <row r="336" spans="1:16" ht="49.15" customHeight="1" x14ac:dyDescent="0.2">
      <c r="A336" s="40"/>
      <c r="B336" s="41" t="s">
        <v>409</v>
      </c>
      <c r="C336" s="42" t="s">
        <v>51</v>
      </c>
      <c r="D336" s="43" t="s">
        <v>399</v>
      </c>
      <c r="E336" s="43" t="s">
        <v>410</v>
      </c>
      <c r="F336" s="44" t="s">
        <v>11</v>
      </c>
      <c r="G336" s="45">
        <f>G337+G341</f>
        <v>11485.6</v>
      </c>
      <c r="H336" s="45">
        <f>H337</f>
        <v>0</v>
      </c>
      <c r="I336" s="45">
        <f>I337+I341</f>
        <v>11485.6</v>
      </c>
      <c r="J336" s="46">
        <f>J337+J341</f>
        <v>0</v>
      </c>
      <c r="K336" s="45">
        <f>K337+K338+K343</f>
        <v>0</v>
      </c>
      <c r="L336" s="46">
        <f>L337+L341</f>
        <v>0</v>
      </c>
      <c r="M336" s="45">
        <f>M337+M341</f>
        <v>11641.6</v>
      </c>
      <c r="N336" s="45">
        <f>N337+N341</f>
        <v>0</v>
      </c>
      <c r="O336" s="45">
        <f>O337+O341</f>
        <v>11485.6</v>
      </c>
    </row>
    <row r="337" spans="1:16" ht="31.5" x14ac:dyDescent="0.2">
      <c r="A337" s="40"/>
      <c r="B337" s="41" t="s">
        <v>134</v>
      </c>
      <c r="C337" s="42" t="s">
        <v>51</v>
      </c>
      <c r="D337" s="43" t="s">
        <v>399</v>
      </c>
      <c r="E337" s="43" t="s">
        <v>411</v>
      </c>
      <c r="F337" s="44" t="s">
        <v>11</v>
      </c>
      <c r="G337" s="45">
        <f>G338+G339+G340</f>
        <v>10600.5</v>
      </c>
      <c r="H337" s="45">
        <f>H338+H339+H340</f>
        <v>0</v>
      </c>
      <c r="I337" s="45">
        <f>I338+I339+I340</f>
        <v>10600.5</v>
      </c>
      <c r="J337" s="46">
        <f>J338+J339+J340</f>
        <v>0</v>
      </c>
      <c r="K337" s="45">
        <f>SUM(K339)</f>
        <v>0</v>
      </c>
      <c r="L337" s="46">
        <f>L338+L339+L340</f>
        <v>0</v>
      </c>
      <c r="M337" s="45">
        <f>M338+M339+M340</f>
        <v>10600.5</v>
      </c>
      <c r="N337" s="45">
        <f>N338+N339+N340</f>
        <v>0</v>
      </c>
      <c r="O337" s="45">
        <f>O338+O339+O340</f>
        <v>10600.5</v>
      </c>
    </row>
    <row r="338" spans="1:16" ht="78.75" x14ac:dyDescent="0.2">
      <c r="A338" s="40"/>
      <c r="B338" s="41" t="s">
        <v>61</v>
      </c>
      <c r="C338" s="42" t="s">
        <v>51</v>
      </c>
      <c r="D338" s="43" t="s">
        <v>399</v>
      </c>
      <c r="E338" s="43" t="s">
        <v>411</v>
      </c>
      <c r="F338" s="44" t="s">
        <v>62</v>
      </c>
      <c r="G338" s="45">
        <v>8018.2</v>
      </c>
      <c r="H338" s="45"/>
      <c r="I338" s="45">
        <f>SUM(G338)</f>
        <v>8018.2</v>
      </c>
      <c r="J338" s="47">
        <v>0</v>
      </c>
      <c r="K338" s="45"/>
      <c r="L338" s="47">
        <v>0</v>
      </c>
      <c r="M338" s="45">
        <f>SUM(G338)</f>
        <v>8018.2</v>
      </c>
      <c r="N338" s="45">
        <f>SUM(H338)</f>
        <v>0</v>
      </c>
      <c r="O338" s="45">
        <f>SUM(I338)</f>
        <v>8018.2</v>
      </c>
    </row>
    <row r="339" spans="1:16" ht="31.5" x14ac:dyDescent="0.2">
      <c r="A339" s="40"/>
      <c r="B339" s="41" t="s">
        <v>40</v>
      </c>
      <c r="C339" s="42" t="s">
        <v>51</v>
      </c>
      <c r="D339" s="43" t="s">
        <v>399</v>
      </c>
      <c r="E339" s="43" t="s">
        <v>411</v>
      </c>
      <c r="F339" s="44" t="s">
        <v>41</v>
      </c>
      <c r="G339" s="45">
        <v>2578.6</v>
      </c>
      <c r="H339" s="45"/>
      <c r="I339" s="45">
        <f>SUM(G339)</f>
        <v>2578.6</v>
      </c>
      <c r="J339" s="47">
        <v>0</v>
      </c>
      <c r="K339" s="45"/>
      <c r="L339" s="46">
        <f>K339</f>
        <v>0</v>
      </c>
      <c r="M339" s="45">
        <f>SUM(G339)</f>
        <v>2578.6</v>
      </c>
      <c r="N339" s="45">
        <f>SUM(H339+K339)</f>
        <v>0</v>
      </c>
      <c r="O339" s="45">
        <f>SUM(I339)</f>
        <v>2578.6</v>
      </c>
    </row>
    <row r="340" spans="1:16" ht="15.75" x14ac:dyDescent="0.2">
      <c r="A340" s="40"/>
      <c r="B340" s="41" t="s">
        <v>338</v>
      </c>
      <c r="C340" s="42" t="s">
        <v>51</v>
      </c>
      <c r="D340" s="43" t="s">
        <v>399</v>
      </c>
      <c r="E340" s="43" t="s">
        <v>411</v>
      </c>
      <c r="F340" s="44" t="s">
        <v>71</v>
      </c>
      <c r="G340" s="45">
        <v>3.7</v>
      </c>
      <c r="H340" s="45"/>
      <c r="I340" s="45">
        <v>3.7</v>
      </c>
      <c r="J340" s="47">
        <v>0</v>
      </c>
      <c r="K340" s="45"/>
      <c r="L340" s="47">
        <v>0</v>
      </c>
      <c r="M340" s="45">
        <v>3.7</v>
      </c>
      <c r="N340" s="45"/>
      <c r="O340" s="45">
        <v>3.7</v>
      </c>
    </row>
    <row r="341" spans="1:16" ht="31.5" x14ac:dyDescent="0.2">
      <c r="A341" s="40"/>
      <c r="B341" s="41" t="s">
        <v>412</v>
      </c>
      <c r="C341" s="42" t="s">
        <v>51</v>
      </c>
      <c r="D341" s="43" t="s">
        <v>399</v>
      </c>
      <c r="E341" s="43" t="s">
        <v>413</v>
      </c>
      <c r="F341" s="44" t="s">
        <v>11</v>
      </c>
      <c r="G341" s="45">
        <f>G342</f>
        <v>885.1</v>
      </c>
      <c r="H341" s="45"/>
      <c r="I341" s="45">
        <f>I342</f>
        <v>885.1</v>
      </c>
      <c r="J341" s="46">
        <f>J342</f>
        <v>0</v>
      </c>
      <c r="K341" s="45"/>
      <c r="L341" s="46">
        <f>L342</f>
        <v>0</v>
      </c>
      <c r="M341" s="45">
        <f>M342+M343</f>
        <v>1041.0999999999999</v>
      </c>
      <c r="N341" s="45">
        <f>N342</f>
        <v>0</v>
      </c>
      <c r="O341" s="45">
        <f>O342</f>
        <v>885.1</v>
      </c>
    </row>
    <row r="342" spans="1:16" ht="31.5" x14ac:dyDescent="0.2">
      <c r="A342" s="40"/>
      <c r="B342" s="41" t="s">
        <v>40</v>
      </c>
      <c r="C342" s="42" t="s">
        <v>51</v>
      </c>
      <c r="D342" s="43" t="s">
        <v>399</v>
      </c>
      <c r="E342" s="43" t="s">
        <v>413</v>
      </c>
      <c r="F342" s="44" t="s">
        <v>41</v>
      </c>
      <c r="G342" s="45">
        <v>885.1</v>
      </c>
      <c r="H342" s="45"/>
      <c r="I342" s="45">
        <f>SUM(G342)</f>
        <v>885.1</v>
      </c>
      <c r="J342" s="47">
        <v>0</v>
      </c>
      <c r="K342" s="45"/>
      <c r="L342" s="47">
        <v>0</v>
      </c>
      <c r="M342" s="45">
        <f>SUM(G342)</f>
        <v>885.1</v>
      </c>
      <c r="N342" s="45">
        <f>SUM(H342)</f>
        <v>0</v>
      </c>
      <c r="O342" s="45">
        <f>SUM(M342)</f>
        <v>885.1</v>
      </c>
    </row>
    <row r="343" spans="1:16" ht="78.75" x14ac:dyDescent="0.2">
      <c r="A343" s="40"/>
      <c r="B343" s="68" t="s">
        <v>414</v>
      </c>
      <c r="C343" s="42">
        <v>992</v>
      </c>
      <c r="D343" s="43" t="s">
        <v>399</v>
      </c>
      <c r="E343" s="57" t="s">
        <v>415</v>
      </c>
      <c r="F343" s="44"/>
      <c r="G343" s="45"/>
      <c r="H343" s="45"/>
      <c r="I343" s="45"/>
      <c r="J343" s="47">
        <v>156</v>
      </c>
      <c r="K343" s="45"/>
      <c r="L343" s="47">
        <f>SUM(L344)</f>
        <v>156</v>
      </c>
      <c r="M343" s="45">
        <f t="shared" ref="M343:O344" si="55">SUM(J343)</f>
        <v>156</v>
      </c>
      <c r="N343" s="45">
        <f t="shared" si="55"/>
        <v>0</v>
      </c>
      <c r="O343" s="45">
        <f t="shared" si="55"/>
        <v>156</v>
      </c>
    </row>
    <row r="344" spans="1:16" ht="31.5" x14ac:dyDescent="0.2">
      <c r="A344" s="40"/>
      <c r="B344" s="41" t="s">
        <v>40</v>
      </c>
      <c r="C344" s="42">
        <v>992</v>
      </c>
      <c r="D344" s="43" t="s">
        <v>399</v>
      </c>
      <c r="E344" s="57" t="s">
        <v>415</v>
      </c>
      <c r="F344" s="44">
        <v>200</v>
      </c>
      <c r="G344" s="45"/>
      <c r="H344" s="45"/>
      <c r="I344" s="45"/>
      <c r="J344" s="47">
        <v>156</v>
      </c>
      <c r="K344" s="45"/>
      <c r="L344" s="47">
        <f>SUM(J344)</f>
        <v>156</v>
      </c>
      <c r="M344" s="45">
        <f t="shared" si="55"/>
        <v>156</v>
      </c>
      <c r="N344" s="45">
        <f t="shared" si="55"/>
        <v>0</v>
      </c>
      <c r="O344" s="45">
        <f t="shared" si="55"/>
        <v>156</v>
      </c>
    </row>
    <row r="345" spans="1:16" ht="31.5" x14ac:dyDescent="0.2">
      <c r="A345" s="40"/>
      <c r="B345" s="41" t="s">
        <v>87</v>
      </c>
      <c r="C345" s="42" t="s">
        <v>51</v>
      </c>
      <c r="D345" s="43" t="s">
        <v>399</v>
      </c>
      <c r="E345" s="43" t="s">
        <v>88</v>
      </c>
      <c r="F345" s="44" t="s">
        <v>11</v>
      </c>
      <c r="G345" s="45">
        <f t="shared" ref="G345:O348" si="56">G346</f>
        <v>80</v>
      </c>
      <c r="H345" s="45">
        <f t="shared" si="56"/>
        <v>0</v>
      </c>
      <c r="I345" s="45">
        <f t="shared" si="56"/>
        <v>80</v>
      </c>
      <c r="J345" s="46">
        <f t="shared" si="56"/>
        <v>0</v>
      </c>
      <c r="K345" s="45">
        <f>K346</f>
        <v>0</v>
      </c>
      <c r="L345" s="46">
        <f t="shared" si="56"/>
        <v>0</v>
      </c>
      <c r="M345" s="45">
        <f t="shared" si="56"/>
        <v>80</v>
      </c>
      <c r="N345" s="45">
        <f t="shared" si="56"/>
        <v>0</v>
      </c>
      <c r="O345" s="45">
        <f t="shared" si="56"/>
        <v>80</v>
      </c>
    </row>
    <row r="346" spans="1:16" ht="47.25" x14ac:dyDescent="0.2">
      <c r="A346" s="40"/>
      <c r="B346" s="41" t="s">
        <v>89</v>
      </c>
      <c r="C346" s="42" t="s">
        <v>51</v>
      </c>
      <c r="D346" s="43" t="s">
        <v>399</v>
      </c>
      <c r="E346" s="43" t="s">
        <v>90</v>
      </c>
      <c r="F346" s="44" t="s">
        <v>11</v>
      </c>
      <c r="G346" s="45">
        <f t="shared" si="56"/>
        <v>80</v>
      </c>
      <c r="H346" s="45">
        <f t="shared" si="56"/>
        <v>0</v>
      </c>
      <c r="I346" s="45">
        <f t="shared" si="56"/>
        <v>80</v>
      </c>
      <c r="J346" s="46">
        <f t="shared" si="56"/>
        <v>0</v>
      </c>
      <c r="K346" s="45">
        <f>K347</f>
        <v>0</v>
      </c>
      <c r="L346" s="46">
        <f t="shared" si="56"/>
        <v>0</v>
      </c>
      <c r="M346" s="45">
        <f t="shared" si="56"/>
        <v>80</v>
      </c>
      <c r="N346" s="45">
        <f t="shared" si="56"/>
        <v>0</v>
      </c>
      <c r="O346" s="45">
        <f t="shared" si="56"/>
        <v>80</v>
      </c>
    </row>
    <row r="347" spans="1:16" ht="78.75" x14ac:dyDescent="0.2">
      <c r="A347" s="40"/>
      <c r="B347" s="41" t="s">
        <v>91</v>
      </c>
      <c r="C347" s="42" t="s">
        <v>51</v>
      </c>
      <c r="D347" s="43" t="s">
        <v>399</v>
      </c>
      <c r="E347" s="43" t="s">
        <v>92</v>
      </c>
      <c r="F347" s="44" t="s">
        <v>11</v>
      </c>
      <c r="G347" s="45">
        <f t="shared" si="56"/>
        <v>80</v>
      </c>
      <c r="H347" s="45">
        <f t="shared" si="56"/>
        <v>0</v>
      </c>
      <c r="I347" s="45">
        <f t="shared" si="56"/>
        <v>80</v>
      </c>
      <c r="J347" s="46">
        <f t="shared" si="56"/>
        <v>0</v>
      </c>
      <c r="K347" s="45">
        <f>K348</f>
        <v>0</v>
      </c>
      <c r="L347" s="46">
        <f t="shared" si="56"/>
        <v>0</v>
      </c>
      <c r="M347" s="45">
        <f t="shared" si="56"/>
        <v>80</v>
      </c>
      <c r="N347" s="45">
        <f t="shared" si="56"/>
        <v>0</v>
      </c>
      <c r="O347" s="45">
        <f t="shared" si="56"/>
        <v>80</v>
      </c>
    </row>
    <row r="348" spans="1:16" ht="47.25" x14ac:dyDescent="0.2">
      <c r="A348" s="40"/>
      <c r="B348" s="41" t="s">
        <v>93</v>
      </c>
      <c r="C348" s="42" t="s">
        <v>51</v>
      </c>
      <c r="D348" s="43" t="s">
        <v>399</v>
      </c>
      <c r="E348" s="43" t="s">
        <v>94</v>
      </c>
      <c r="F348" s="44" t="s">
        <v>11</v>
      </c>
      <c r="G348" s="45">
        <f>G349</f>
        <v>80</v>
      </c>
      <c r="H348" s="45"/>
      <c r="I348" s="45">
        <f>I349</f>
        <v>80</v>
      </c>
      <c r="J348" s="46">
        <f t="shared" si="56"/>
        <v>0</v>
      </c>
      <c r="K348" s="45"/>
      <c r="L348" s="46">
        <f t="shared" si="56"/>
        <v>0</v>
      </c>
      <c r="M348" s="45">
        <f t="shared" si="56"/>
        <v>80</v>
      </c>
      <c r="N348" s="45">
        <f t="shared" si="56"/>
        <v>0</v>
      </c>
      <c r="O348" s="45">
        <f t="shared" si="56"/>
        <v>80</v>
      </c>
    </row>
    <row r="349" spans="1:16" ht="30.6" customHeight="1" x14ac:dyDescent="0.2">
      <c r="A349" s="40"/>
      <c r="B349" s="41" t="s">
        <v>95</v>
      </c>
      <c r="C349" s="42" t="s">
        <v>51</v>
      </c>
      <c r="D349" s="43" t="s">
        <v>399</v>
      </c>
      <c r="E349" s="43" t="s">
        <v>94</v>
      </c>
      <c r="F349" s="44" t="s">
        <v>96</v>
      </c>
      <c r="G349" s="45">
        <v>80</v>
      </c>
      <c r="H349" s="25"/>
      <c r="I349" s="45">
        <v>80</v>
      </c>
      <c r="J349" s="47">
        <v>0</v>
      </c>
      <c r="K349" s="25"/>
      <c r="L349" s="47">
        <v>0</v>
      </c>
      <c r="M349" s="45">
        <v>80</v>
      </c>
      <c r="N349" s="45"/>
      <c r="O349" s="45">
        <v>80</v>
      </c>
    </row>
    <row r="350" spans="1:16" ht="15.75" x14ac:dyDescent="0.2">
      <c r="A350" s="20" t="s">
        <v>416</v>
      </c>
      <c r="B350" s="21" t="s">
        <v>417</v>
      </c>
      <c r="C350" s="22" t="s">
        <v>51</v>
      </c>
      <c r="D350" s="23" t="s">
        <v>418</v>
      </c>
      <c r="E350" s="23" t="s">
        <v>11</v>
      </c>
      <c r="F350" s="24" t="s">
        <v>11</v>
      </c>
      <c r="G350" s="25">
        <f>G351+G357+G363+G369</f>
        <v>11586.2</v>
      </c>
      <c r="H350" s="38">
        <f>H351</f>
        <v>0</v>
      </c>
      <c r="I350" s="25">
        <f>I351+I357+I363+I369</f>
        <v>11586.2</v>
      </c>
      <c r="J350" s="26">
        <f>J351+J357+J363+J369</f>
        <v>3074.2</v>
      </c>
      <c r="K350" s="38">
        <f>K351</f>
        <v>0</v>
      </c>
      <c r="L350" s="26">
        <f>L351+L357+L363+L369</f>
        <v>3074.2</v>
      </c>
      <c r="M350" s="25">
        <f>M351+M357+M363+M369</f>
        <v>14660.4</v>
      </c>
      <c r="N350" s="25">
        <f>N351+N357+N363+N369</f>
        <v>0</v>
      </c>
      <c r="O350" s="25">
        <f>O351+O357+O363+O369</f>
        <v>14660.4</v>
      </c>
      <c r="P350" s="17"/>
    </row>
    <row r="351" spans="1:16" ht="15.75" x14ac:dyDescent="0.2">
      <c r="A351" s="33" t="s">
        <v>419</v>
      </c>
      <c r="B351" s="34" t="s">
        <v>420</v>
      </c>
      <c r="C351" s="35" t="s">
        <v>51</v>
      </c>
      <c r="D351" s="36" t="s">
        <v>421</v>
      </c>
      <c r="E351" s="36" t="s">
        <v>11</v>
      </c>
      <c r="F351" s="37" t="s">
        <v>11</v>
      </c>
      <c r="G351" s="38">
        <f>G352</f>
        <v>4040</v>
      </c>
      <c r="H351" s="45">
        <f>H352</f>
        <v>0</v>
      </c>
      <c r="I351" s="38">
        <f>I352</f>
        <v>4040</v>
      </c>
      <c r="J351" s="39">
        <f t="shared" ref="J351:O355" si="57">J352</f>
        <v>0</v>
      </c>
      <c r="K351" s="45">
        <f>K352</f>
        <v>0</v>
      </c>
      <c r="L351" s="39">
        <f t="shared" si="57"/>
        <v>0</v>
      </c>
      <c r="M351" s="38">
        <f t="shared" si="57"/>
        <v>4040</v>
      </c>
      <c r="N351" s="38">
        <f t="shared" si="57"/>
        <v>0</v>
      </c>
      <c r="O351" s="38">
        <f t="shared" si="57"/>
        <v>4040</v>
      </c>
    </row>
    <row r="352" spans="1:16" ht="31.5" x14ac:dyDescent="0.2">
      <c r="A352" s="40"/>
      <c r="B352" s="41" t="s">
        <v>87</v>
      </c>
      <c r="C352" s="42" t="s">
        <v>51</v>
      </c>
      <c r="D352" s="43" t="s">
        <v>421</v>
      </c>
      <c r="E352" s="43" t="s">
        <v>88</v>
      </c>
      <c r="F352" s="44" t="s">
        <v>11</v>
      </c>
      <c r="G352" s="45">
        <f>G353</f>
        <v>4040</v>
      </c>
      <c r="H352" s="45">
        <f>H353</f>
        <v>0</v>
      </c>
      <c r="I352" s="45">
        <f>I353</f>
        <v>4040</v>
      </c>
      <c r="J352" s="46">
        <f t="shared" si="57"/>
        <v>0</v>
      </c>
      <c r="K352" s="45">
        <f>K353</f>
        <v>0</v>
      </c>
      <c r="L352" s="46">
        <f t="shared" si="57"/>
        <v>0</v>
      </c>
      <c r="M352" s="45">
        <f t="shared" si="57"/>
        <v>4040</v>
      </c>
      <c r="N352" s="45">
        <f t="shared" si="57"/>
        <v>0</v>
      </c>
      <c r="O352" s="45">
        <f t="shared" si="57"/>
        <v>4040</v>
      </c>
    </row>
    <row r="353" spans="1:15" ht="31.5" x14ac:dyDescent="0.2">
      <c r="A353" s="40"/>
      <c r="B353" s="41" t="s">
        <v>422</v>
      </c>
      <c r="C353" s="42" t="s">
        <v>51</v>
      </c>
      <c r="D353" s="43" t="s">
        <v>421</v>
      </c>
      <c r="E353" s="43" t="s">
        <v>423</v>
      </c>
      <c r="F353" s="44" t="s">
        <v>11</v>
      </c>
      <c r="G353" s="45">
        <f>G354</f>
        <v>4040</v>
      </c>
      <c r="H353" s="45">
        <f>H354</f>
        <v>0</v>
      </c>
      <c r="I353" s="45">
        <f>I354</f>
        <v>4040</v>
      </c>
      <c r="J353" s="46">
        <f t="shared" si="57"/>
        <v>0</v>
      </c>
      <c r="K353" s="45">
        <f>K354</f>
        <v>0</v>
      </c>
      <c r="L353" s="46">
        <f t="shared" si="57"/>
        <v>0</v>
      </c>
      <c r="M353" s="45">
        <f t="shared" si="57"/>
        <v>4040</v>
      </c>
      <c r="N353" s="45">
        <f t="shared" si="57"/>
        <v>0</v>
      </c>
      <c r="O353" s="45">
        <f t="shared" si="57"/>
        <v>4040</v>
      </c>
    </row>
    <row r="354" spans="1:15" ht="47.25" x14ac:dyDescent="0.2">
      <c r="A354" s="40"/>
      <c r="B354" s="41" t="s">
        <v>424</v>
      </c>
      <c r="C354" s="42" t="s">
        <v>51</v>
      </c>
      <c r="D354" s="43" t="s">
        <v>421</v>
      </c>
      <c r="E354" s="43" t="s">
        <v>425</v>
      </c>
      <c r="F354" s="44" t="s">
        <v>11</v>
      </c>
      <c r="G354" s="45">
        <f>G355</f>
        <v>4040</v>
      </c>
      <c r="H354" s="45">
        <f>H355</f>
        <v>0</v>
      </c>
      <c r="I354" s="45">
        <f>I355</f>
        <v>4040</v>
      </c>
      <c r="J354" s="46">
        <f t="shared" si="57"/>
        <v>0</v>
      </c>
      <c r="K354" s="45">
        <f>K355</f>
        <v>0</v>
      </c>
      <c r="L354" s="46">
        <f t="shared" si="57"/>
        <v>0</v>
      </c>
      <c r="M354" s="45">
        <f t="shared" si="57"/>
        <v>4040</v>
      </c>
      <c r="N354" s="45">
        <f t="shared" si="57"/>
        <v>0</v>
      </c>
      <c r="O354" s="45">
        <f t="shared" si="57"/>
        <v>4040</v>
      </c>
    </row>
    <row r="355" spans="1:15" ht="33" customHeight="1" x14ac:dyDescent="0.2">
      <c r="A355" s="40"/>
      <c r="B355" s="41" t="s">
        <v>426</v>
      </c>
      <c r="C355" s="42" t="s">
        <v>51</v>
      </c>
      <c r="D355" s="43" t="s">
        <v>421</v>
      </c>
      <c r="E355" s="43" t="s">
        <v>427</v>
      </c>
      <c r="F355" s="44" t="s">
        <v>11</v>
      </c>
      <c r="G355" s="45">
        <f>G356</f>
        <v>4040</v>
      </c>
      <c r="H355" s="45"/>
      <c r="I355" s="45">
        <f>I356</f>
        <v>4040</v>
      </c>
      <c r="J355" s="46">
        <f t="shared" si="57"/>
        <v>0</v>
      </c>
      <c r="K355" s="45"/>
      <c r="L355" s="46">
        <f t="shared" si="57"/>
        <v>0</v>
      </c>
      <c r="M355" s="45">
        <f t="shared" si="57"/>
        <v>4040</v>
      </c>
      <c r="N355" s="45">
        <f t="shared" si="57"/>
        <v>0</v>
      </c>
      <c r="O355" s="45">
        <f t="shared" si="57"/>
        <v>4040</v>
      </c>
    </row>
    <row r="356" spans="1:15" ht="31.5" x14ac:dyDescent="0.2">
      <c r="A356" s="40"/>
      <c r="B356" s="41" t="s">
        <v>112</v>
      </c>
      <c r="C356" s="42" t="s">
        <v>51</v>
      </c>
      <c r="D356" s="43" t="s">
        <v>421</v>
      </c>
      <c r="E356" s="43" t="s">
        <v>427</v>
      </c>
      <c r="F356" s="44" t="s">
        <v>113</v>
      </c>
      <c r="G356" s="45">
        <v>4040</v>
      </c>
      <c r="H356" s="38"/>
      <c r="I356" s="45">
        <v>4040</v>
      </c>
      <c r="J356" s="47">
        <v>0</v>
      </c>
      <c r="K356" s="38"/>
      <c r="L356" s="47">
        <v>0</v>
      </c>
      <c r="M356" s="45">
        <v>4040</v>
      </c>
      <c r="N356" s="45"/>
      <c r="O356" s="45">
        <v>4040</v>
      </c>
    </row>
    <row r="357" spans="1:15" ht="15.75" x14ac:dyDescent="0.2">
      <c r="A357" s="33" t="s">
        <v>428</v>
      </c>
      <c r="B357" s="34" t="s">
        <v>429</v>
      </c>
      <c r="C357" s="35" t="s">
        <v>51</v>
      </c>
      <c r="D357" s="36" t="s">
        <v>430</v>
      </c>
      <c r="E357" s="36" t="s">
        <v>11</v>
      </c>
      <c r="F357" s="37" t="s">
        <v>11</v>
      </c>
      <c r="G357" s="38">
        <f t="shared" ref="G357:O361" si="58">G358</f>
        <v>4496</v>
      </c>
      <c r="H357" s="45">
        <f t="shared" si="58"/>
        <v>0</v>
      </c>
      <c r="I357" s="38">
        <f t="shared" si="58"/>
        <v>4496</v>
      </c>
      <c r="J357" s="39">
        <f t="shared" si="58"/>
        <v>0</v>
      </c>
      <c r="K357" s="45">
        <f>K358</f>
        <v>0</v>
      </c>
      <c r="L357" s="39">
        <f t="shared" si="58"/>
        <v>0</v>
      </c>
      <c r="M357" s="38">
        <f t="shared" si="58"/>
        <v>4496</v>
      </c>
      <c r="N357" s="38">
        <f t="shared" si="58"/>
        <v>0</v>
      </c>
      <c r="O357" s="38">
        <f t="shared" si="58"/>
        <v>4496</v>
      </c>
    </row>
    <row r="358" spans="1:15" ht="31.5" x14ac:dyDescent="0.2">
      <c r="A358" s="40"/>
      <c r="B358" s="41" t="s">
        <v>87</v>
      </c>
      <c r="C358" s="42" t="s">
        <v>51</v>
      </c>
      <c r="D358" s="43" t="s">
        <v>430</v>
      </c>
      <c r="E358" s="43" t="s">
        <v>88</v>
      </c>
      <c r="F358" s="44" t="s">
        <v>11</v>
      </c>
      <c r="G358" s="45">
        <f t="shared" si="58"/>
        <v>4496</v>
      </c>
      <c r="H358" s="45">
        <f t="shared" si="58"/>
        <v>0</v>
      </c>
      <c r="I358" s="45">
        <f t="shared" si="58"/>
        <v>4496</v>
      </c>
      <c r="J358" s="46">
        <f t="shared" si="58"/>
        <v>0</v>
      </c>
      <c r="K358" s="45">
        <f>K359</f>
        <v>0</v>
      </c>
      <c r="L358" s="46">
        <f t="shared" si="58"/>
        <v>0</v>
      </c>
      <c r="M358" s="45">
        <f t="shared" si="58"/>
        <v>4496</v>
      </c>
      <c r="N358" s="45">
        <f t="shared" si="58"/>
        <v>0</v>
      </c>
      <c r="O358" s="45">
        <f t="shared" si="58"/>
        <v>4496</v>
      </c>
    </row>
    <row r="359" spans="1:15" ht="31.5" x14ac:dyDescent="0.2">
      <c r="A359" s="40"/>
      <c r="B359" s="41" t="s">
        <v>422</v>
      </c>
      <c r="C359" s="42" t="s">
        <v>51</v>
      </c>
      <c r="D359" s="43" t="s">
        <v>430</v>
      </c>
      <c r="E359" s="43" t="s">
        <v>423</v>
      </c>
      <c r="F359" s="44" t="s">
        <v>11</v>
      </c>
      <c r="G359" s="45">
        <f t="shared" si="58"/>
        <v>4496</v>
      </c>
      <c r="H359" s="45">
        <f t="shared" si="58"/>
        <v>0</v>
      </c>
      <c r="I359" s="45">
        <f t="shared" si="58"/>
        <v>4496</v>
      </c>
      <c r="J359" s="46">
        <f t="shared" si="58"/>
        <v>0</v>
      </c>
      <c r="K359" s="45">
        <f>K360</f>
        <v>0</v>
      </c>
      <c r="L359" s="46">
        <f t="shared" si="58"/>
        <v>0</v>
      </c>
      <c r="M359" s="45">
        <f t="shared" si="58"/>
        <v>4496</v>
      </c>
      <c r="N359" s="45">
        <f t="shared" si="58"/>
        <v>0</v>
      </c>
      <c r="O359" s="45">
        <f t="shared" si="58"/>
        <v>4496</v>
      </c>
    </row>
    <row r="360" spans="1:15" ht="31.5" x14ac:dyDescent="0.2">
      <c r="A360" s="40"/>
      <c r="B360" s="41" t="s">
        <v>431</v>
      </c>
      <c r="C360" s="42" t="s">
        <v>51</v>
      </c>
      <c r="D360" s="43" t="s">
        <v>430</v>
      </c>
      <c r="E360" s="43" t="s">
        <v>432</v>
      </c>
      <c r="F360" s="44" t="s">
        <v>11</v>
      </c>
      <c r="G360" s="45">
        <f t="shared" si="58"/>
        <v>4496</v>
      </c>
      <c r="H360" s="45">
        <f t="shared" si="58"/>
        <v>0</v>
      </c>
      <c r="I360" s="45">
        <f t="shared" si="58"/>
        <v>4496</v>
      </c>
      <c r="J360" s="46">
        <f t="shared" si="58"/>
        <v>0</v>
      </c>
      <c r="K360" s="45">
        <f>K361</f>
        <v>0</v>
      </c>
      <c r="L360" s="46">
        <f t="shared" si="58"/>
        <v>0</v>
      </c>
      <c r="M360" s="45">
        <f t="shared" si="58"/>
        <v>4496</v>
      </c>
      <c r="N360" s="45">
        <f t="shared" si="58"/>
        <v>0</v>
      </c>
      <c r="O360" s="45">
        <f t="shared" si="58"/>
        <v>4496</v>
      </c>
    </row>
    <row r="361" spans="1:15" ht="21" customHeight="1" x14ac:dyDescent="0.2">
      <c r="A361" s="40"/>
      <c r="B361" s="41" t="s">
        <v>433</v>
      </c>
      <c r="C361" s="42" t="s">
        <v>51</v>
      </c>
      <c r="D361" s="43" t="s">
        <v>430</v>
      </c>
      <c r="E361" s="43" t="s">
        <v>434</v>
      </c>
      <c r="F361" s="44" t="s">
        <v>11</v>
      </c>
      <c r="G361" s="45">
        <f>G362</f>
        <v>4496</v>
      </c>
      <c r="H361" s="45"/>
      <c r="I361" s="45">
        <f>I362</f>
        <v>4496</v>
      </c>
      <c r="J361" s="46">
        <f t="shared" si="58"/>
        <v>0</v>
      </c>
      <c r="K361" s="45"/>
      <c r="L361" s="46">
        <f t="shared" si="58"/>
        <v>0</v>
      </c>
      <c r="M361" s="45">
        <f t="shared" si="58"/>
        <v>4496</v>
      </c>
      <c r="N361" s="45">
        <f t="shared" si="58"/>
        <v>0</v>
      </c>
      <c r="O361" s="45">
        <f t="shared" si="58"/>
        <v>4496</v>
      </c>
    </row>
    <row r="362" spans="1:15" ht="31.5" x14ac:dyDescent="0.2">
      <c r="A362" s="40"/>
      <c r="B362" s="41" t="s">
        <v>112</v>
      </c>
      <c r="C362" s="42" t="s">
        <v>51</v>
      </c>
      <c r="D362" s="43" t="s">
        <v>430</v>
      </c>
      <c r="E362" s="43" t="s">
        <v>434</v>
      </c>
      <c r="F362" s="44" t="s">
        <v>113</v>
      </c>
      <c r="G362" s="45">
        <v>4496</v>
      </c>
      <c r="H362" s="38"/>
      <c r="I362" s="45">
        <v>4496</v>
      </c>
      <c r="J362" s="47">
        <v>0</v>
      </c>
      <c r="K362" s="38"/>
      <c r="L362" s="47">
        <v>0</v>
      </c>
      <c r="M362" s="45">
        <v>4496</v>
      </c>
      <c r="N362" s="45"/>
      <c r="O362" s="45">
        <v>4496</v>
      </c>
    </row>
    <row r="363" spans="1:15" ht="15.75" x14ac:dyDescent="0.2">
      <c r="A363" s="33" t="s">
        <v>435</v>
      </c>
      <c r="B363" s="34" t="s">
        <v>436</v>
      </c>
      <c r="C363" s="35" t="s">
        <v>51</v>
      </c>
      <c r="D363" s="36" t="s">
        <v>437</v>
      </c>
      <c r="E363" s="36" t="s">
        <v>11</v>
      </c>
      <c r="F363" s="37" t="s">
        <v>11</v>
      </c>
      <c r="G363" s="38">
        <f t="shared" ref="G363:O367" si="59">G364</f>
        <v>2930.2</v>
      </c>
      <c r="H363" s="45">
        <f t="shared" si="59"/>
        <v>0</v>
      </c>
      <c r="I363" s="38">
        <f t="shared" si="59"/>
        <v>2930.2</v>
      </c>
      <c r="J363" s="39">
        <f t="shared" si="59"/>
        <v>3074.2</v>
      </c>
      <c r="K363" s="45">
        <f>K364</f>
        <v>0</v>
      </c>
      <c r="L363" s="39">
        <f t="shared" si="59"/>
        <v>3074.2</v>
      </c>
      <c r="M363" s="38">
        <f t="shared" si="59"/>
        <v>6004.4</v>
      </c>
      <c r="N363" s="38">
        <f t="shared" si="59"/>
        <v>0</v>
      </c>
      <c r="O363" s="38">
        <f t="shared" si="59"/>
        <v>6004.4</v>
      </c>
    </row>
    <row r="364" spans="1:15" ht="31.5" x14ac:dyDescent="0.2">
      <c r="A364" s="40"/>
      <c r="B364" s="41" t="s">
        <v>245</v>
      </c>
      <c r="C364" s="42" t="s">
        <v>51</v>
      </c>
      <c r="D364" s="43" t="s">
        <v>437</v>
      </c>
      <c r="E364" s="43" t="s">
        <v>246</v>
      </c>
      <c r="F364" s="44" t="s">
        <v>11</v>
      </c>
      <c r="G364" s="45">
        <f t="shared" si="59"/>
        <v>2930.2</v>
      </c>
      <c r="H364" s="45">
        <f t="shared" si="59"/>
        <v>0</v>
      </c>
      <c r="I364" s="45">
        <f t="shared" si="59"/>
        <v>2930.2</v>
      </c>
      <c r="J364" s="46">
        <f t="shared" si="59"/>
        <v>3074.2</v>
      </c>
      <c r="K364" s="45">
        <f>K365</f>
        <v>0</v>
      </c>
      <c r="L364" s="46">
        <f t="shared" si="59"/>
        <v>3074.2</v>
      </c>
      <c r="M364" s="45">
        <f t="shared" si="59"/>
        <v>6004.4</v>
      </c>
      <c r="N364" s="45">
        <f t="shared" si="59"/>
        <v>0</v>
      </c>
      <c r="O364" s="45">
        <f t="shared" si="59"/>
        <v>6004.4</v>
      </c>
    </row>
    <row r="365" spans="1:15" ht="31.5" x14ac:dyDescent="0.2">
      <c r="A365" s="40"/>
      <c r="B365" s="41" t="s">
        <v>438</v>
      </c>
      <c r="C365" s="42" t="s">
        <v>51</v>
      </c>
      <c r="D365" s="43" t="s">
        <v>437</v>
      </c>
      <c r="E365" s="43" t="s">
        <v>439</v>
      </c>
      <c r="F365" s="44" t="s">
        <v>11</v>
      </c>
      <c r="G365" s="45">
        <f t="shared" si="59"/>
        <v>2930.2</v>
      </c>
      <c r="H365" s="45">
        <f t="shared" si="59"/>
        <v>0</v>
      </c>
      <c r="I365" s="45">
        <f t="shared" si="59"/>
        <v>2930.2</v>
      </c>
      <c r="J365" s="46">
        <f t="shared" si="59"/>
        <v>3074.2</v>
      </c>
      <c r="K365" s="45">
        <f>K366</f>
        <v>0</v>
      </c>
      <c r="L365" s="46">
        <f t="shared" si="59"/>
        <v>3074.2</v>
      </c>
      <c r="M365" s="45">
        <f t="shared" si="59"/>
        <v>6004.4</v>
      </c>
      <c r="N365" s="45">
        <f t="shared" si="59"/>
        <v>0</v>
      </c>
      <c r="O365" s="45">
        <f t="shared" si="59"/>
        <v>6004.4</v>
      </c>
    </row>
    <row r="366" spans="1:15" ht="31.5" x14ac:dyDescent="0.2">
      <c r="A366" s="40"/>
      <c r="B366" s="41" t="s">
        <v>440</v>
      </c>
      <c r="C366" s="42" t="s">
        <v>51</v>
      </c>
      <c r="D366" s="43" t="s">
        <v>437</v>
      </c>
      <c r="E366" s="43" t="s">
        <v>441</v>
      </c>
      <c r="F366" s="44" t="s">
        <v>11</v>
      </c>
      <c r="G366" s="45">
        <f t="shared" si="59"/>
        <v>2930.2</v>
      </c>
      <c r="H366" s="45">
        <f t="shared" si="59"/>
        <v>0</v>
      </c>
      <c r="I366" s="45">
        <f t="shared" si="59"/>
        <v>2930.2</v>
      </c>
      <c r="J366" s="46">
        <f t="shared" si="59"/>
        <v>3074.2</v>
      </c>
      <c r="K366" s="45">
        <f>K367</f>
        <v>0</v>
      </c>
      <c r="L366" s="46">
        <f t="shared" si="59"/>
        <v>3074.2</v>
      </c>
      <c r="M366" s="45">
        <f t="shared" si="59"/>
        <v>6004.4</v>
      </c>
      <c r="N366" s="45">
        <f t="shared" si="59"/>
        <v>0</v>
      </c>
      <c r="O366" s="45">
        <f t="shared" si="59"/>
        <v>6004.4</v>
      </c>
    </row>
    <row r="367" spans="1:15" ht="31.5" x14ac:dyDescent="0.2">
      <c r="A367" s="40"/>
      <c r="B367" s="41" t="s">
        <v>442</v>
      </c>
      <c r="C367" s="42" t="s">
        <v>51</v>
      </c>
      <c r="D367" s="43" t="s">
        <v>437</v>
      </c>
      <c r="E367" s="43" t="s">
        <v>443</v>
      </c>
      <c r="F367" s="44" t="s">
        <v>11</v>
      </c>
      <c r="G367" s="45">
        <f>G368</f>
        <v>2930.2</v>
      </c>
      <c r="H367" s="45"/>
      <c r="I367" s="45">
        <f>I368</f>
        <v>2930.2</v>
      </c>
      <c r="J367" s="46">
        <f t="shared" si="59"/>
        <v>3074.2</v>
      </c>
      <c r="K367" s="45"/>
      <c r="L367" s="46">
        <f t="shared" si="59"/>
        <v>3074.2</v>
      </c>
      <c r="M367" s="45">
        <f t="shared" si="59"/>
        <v>6004.4</v>
      </c>
      <c r="N367" s="45">
        <f t="shared" si="59"/>
        <v>0</v>
      </c>
      <c r="O367" s="45">
        <f t="shared" si="59"/>
        <v>6004.4</v>
      </c>
    </row>
    <row r="368" spans="1:15" ht="31.5" x14ac:dyDescent="0.2">
      <c r="A368" s="40"/>
      <c r="B368" s="41" t="s">
        <v>112</v>
      </c>
      <c r="C368" s="42" t="s">
        <v>51</v>
      </c>
      <c r="D368" s="43" t="s">
        <v>437</v>
      </c>
      <c r="E368" s="43" t="s">
        <v>443</v>
      </c>
      <c r="F368" s="44" t="s">
        <v>113</v>
      </c>
      <c r="G368" s="45">
        <v>2930.2</v>
      </c>
      <c r="H368" s="38"/>
      <c r="I368" s="45">
        <v>2930.2</v>
      </c>
      <c r="J368" s="47">
        <v>3074.2</v>
      </c>
      <c r="K368" s="38"/>
      <c r="L368" s="47">
        <v>3074.2</v>
      </c>
      <c r="M368" s="45">
        <f>2930.2+J368</f>
        <v>6004.4</v>
      </c>
      <c r="N368" s="45"/>
      <c r="O368" s="45">
        <f>2930.2+L368</f>
        <v>6004.4</v>
      </c>
    </row>
    <row r="369" spans="1:15" ht="15.75" x14ac:dyDescent="0.2">
      <c r="A369" s="33" t="s">
        <v>444</v>
      </c>
      <c r="B369" s="34" t="s">
        <v>445</v>
      </c>
      <c r="C369" s="35" t="s">
        <v>51</v>
      </c>
      <c r="D369" s="36" t="s">
        <v>446</v>
      </c>
      <c r="E369" s="36" t="s">
        <v>11</v>
      </c>
      <c r="F369" s="37" t="s">
        <v>11</v>
      </c>
      <c r="G369" s="38">
        <f t="shared" ref="G369:O373" si="60">G370</f>
        <v>120</v>
      </c>
      <c r="H369" s="45">
        <f t="shared" si="60"/>
        <v>0</v>
      </c>
      <c r="I369" s="38">
        <f t="shared" si="60"/>
        <v>120</v>
      </c>
      <c r="J369" s="39">
        <f t="shared" si="60"/>
        <v>0</v>
      </c>
      <c r="K369" s="45">
        <f>K370</f>
        <v>0</v>
      </c>
      <c r="L369" s="39">
        <f t="shared" si="60"/>
        <v>0</v>
      </c>
      <c r="M369" s="38">
        <f t="shared" si="60"/>
        <v>120</v>
      </c>
      <c r="N369" s="38">
        <f t="shared" si="60"/>
        <v>0</v>
      </c>
      <c r="O369" s="38">
        <f t="shared" si="60"/>
        <v>120</v>
      </c>
    </row>
    <row r="370" spans="1:15" ht="31.5" x14ac:dyDescent="0.2">
      <c r="A370" s="40"/>
      <c r="B370" s="41" t="s">
        <v>87</v>
      </c>
      <c r="C370" s="42" t="s">
        <v>51</v>
      </c>
      <c r="D370" s="43" t="s">
        <v>446</v>
      </c>
      <c r="E370" s="43" t="s">
        <v>88</v>
      </c>
      <c r="F370" s="44" t="s">
        <v>11</v>
      </c>
      <c r="G370" s="45">
        <f t="shared" si="60"/>
        <v>120</v>
      </c>
      <c r="H370" s="45">
        <f t="shared" si="60"/>
        <v>0</v>
      </c>
      <c r="I370" s="45">
        <f t="shared" si="60"/>
        <v>120</v>
      </c>
      <c r="J370" s="46">
        <f t="shared" si="60"/>
        <v>0</v>
      </c>
      <c r="K370" s="45">
        <f>K371</f>
        <v>0</v>
      </c>
      <c r="L370" s="46">
        <f t="shared" si="60"/>
        <v>0</v>
      </c>
      <c r="M370" s="45">
        <f t="shared" si="60"/>
        <v>120</v>
      </c>
      <c r="N370" s="45">
        <f t="shared" si="60"/>
        <v>0</v>
      </c>
      <c r="O370" s="45">
        <f t="shared" si="60"/>
        <v>120</v>
      </c>
    </row>
    <row r="371" spans="1:15" ht="47.25" x14ac:dyDescent="0.2">
      <c r="A371" s="40"/>
      <c r="B371" s="41" t="s">
        <v>89</v>
      </c>
      <c r="C371" s="42" t="s">
        <v>51</v>
      </c>
      <c r="D371" s="43" t="s">
        <v>446</v>
      </c>
      <c r="E371" s="43" t="s">
        <v>90</v>
      </c>
      <c r="F371" s="44" t="s">
        <v>11</v>
      </c>
      <c r="G371" s="45">
        <f t="shared" si="60"/>
        <v>120</v>
      </c>
      <c r="H371" s="45">
        <f t="shared" si="60"/>
        <v>0</v>
      </c>
      <c r="I371" s="45">
        <f t="shared" si="60"/>
        <v>120</v>
      </c>
      <c r="J371" s="46">
        <f t="shared" si="60"/>
        <v>0</v>
      </c>
      <c r="K371" s="45">
        <f>K372</f>
        <v>0</v>
      </c>
      <c r="L371" s="46">
        <f t="shared" si="60"/>
        <v>0</v>
      </c>
      <c r="M371" s="45">
        <f t="shared" si="60"/>
        <v>120</v>
      </c>
      <c r="N371" s="45">
        <f t="shared" si="60"/>
        <v>0</v>
      </c>
      <c r="O371" s="45">
        <f t="shared" si="60"/>
        <v>120</v>
      </c>
    </row>
    <row r="372" spans="1:15" ht="78.75" x14ac:dyDescent="0.2">
      <c r="A372" s="40"/>
      <c r="B372" s="41" t="s">
        <v>91</v>
      </c>
      <c r="C372" s="42" t="s">
        <v>51</v>
      </c>
      <c r="D372" s="43" t="s">
        <v>446</v>
      </c>
      <c r="E372" s="43" t="s">
        <v>92</v>
      </c>
      <c r="F372" s="44" t="s">
        <v>11</v>
      </c>
      <c r="G372" s="45">
        <f t="shared" si="60"/>
        <v>120</v>
      </c>
      <c r="H372" s="45">
        <f t="shared" si="60"/>
        <v>0</v>
      </c>
      <c r="I372" s="45">
        <f t="shared" si="60"/>
        <v>120</v>
      </c>
      <c r="J372" s="46">
        <f t="shared" si="60"/>
        <v>0</v>
      </c>
      <c r="K372" s="45">
        <f>K373</f>
        <v>0</v>
      </c>
      <c r="L372" s="46">
        <f t="shared" si="60"/>
        <v>0</v>
      </c>
      <c r="M372" s="45">
        <f t="shared" si="60"/>
        <v>120</v>
      </c>
      <c r="N372" s="45">
        <f t="shared" si="60"/>
        <v>0</v>
      </c>
      <c r="O372" s="45">
        <f t="shared" si="60"/>
        <v>120</v>
      </c>
    </row>
    <row r="373" spans="1:15" ht="47.25" x14ac:dyDescent="0.2">
      <c r="A373" s="40"/>
      <c r="B373" s="41" t="s">
        <v>93</v>
      </c>
      <c r="C373" s="42" t="s">
        <v>51</v>
      </c>
      <c r="D373" s="43" t="s">
        <v>446</v>
      </c>
      <c r="E373" s="43" t="s">
        <v>94</v>
      </c>
      <c r="F373" s="44" t="s">
        <v>11</v>
      </c>
      <c r="G373" s="45">
        <f>G374</f>
        <v>120</v>
      </c>
      <c r="H373" s="45"/>
      <c r="I373" s="45">
        <f>I374</f>
        <v>120</v>
      </c>
      <c r="J373" s="46">
        <f t="shared" si="60"/>
        <v>0</v>
      </c>
      <c r="K373" s="45"/>
      <c r="L373" s="46">
        <f t="shared" si="60"/>
        <v>0</v>
      </c>
      <c r="M373" s="45">
        <f t="shared" si="60"/>
        <v>120</v>
      </c>
      <c r="N373" s="45">
        <f t="shared" si="60"/>
        <v>0</v>
      </c>
      <c r="O373" s="45">
        <f t="shared" si="60"/>
        <v>120</v>
      </c>
    </row>
    <row r="374" spans="1:15" ht="33.6" customHeight="1" x14ac:dyDescent="0.2">
      <c r="A374" s="40"/>
      <c r="B374" s="41" t="s">
        <v>95</v>
      </c>
      <c r="C374" s="42" t="s">
        <v>51</v>
      </c>
      <c r="D374" s="43" t="s">
        <v>446</v>
      </c>
      <c r="E374" s="43" t="s">
        <v>94</v>
      </c>
      <c r="F374" s="44" t="s">
        <v>96</v>
      </c>
      <c r="G374" s="45">
        <v>120</v>
      </c>
      <c r="H374" s="25"/>
      <c r="I374" s="45">
        <v>120</v>
      </c>
      <c r="J374" s="47">
        <v>0</v>
      </c>
      <c r="K374" s="25"/>
      <c r="L374" s="47">
        <v>0</v>
      </c>
      <c r="M374" s="45">
        <v>120</v>
      </c>
      <c r="N374" s="45"/>
      <c r="O374" s="45">
        <v>120</v>
      </c>
    </row>
    <row r="375" spans="1:15" ht="15.75" x14ac:dyDescent="0.2">
      <c r="A375" s="20" t="s">
        <v>447</v>
      </c>
      <c r="B375" s="21" t="s">
        <v>448</v>
      </c>
      <c r="C375" s="22" t="s">
        <v>51</v>
      </c>
      <c r="D375" s="23" t="s">
        <v>449</v>
      </c>
      <c r="E375" s="23" t="s">
        <v>11</v>
      </c>
      <c r="F375" s="24" t="s">
        <v>11</v>
      </c>
      <c r="G375" s="25">
        <f>G376</f>
        <v>1863.8</v>
      </c>
      <c r="H375" s="38">
        <f>H376+H381</f>
        <v>0</v>
      </c>
      <c r="I375" s="25">
        <f>I376</f>
        <v>1863.8</v>
      </c>
      <c r="J375" s="26">
        <f>J376</f>
        <v>0</v>
      </c>
      <c r="K375" s="38">
        <f>K376+K381</f>
        <v>0</v>
      </c>
      <c r="L375" s="26">
        <f>L376</f>
        <v>0</v>
      </c>
      <c r="M375" s="25">
        <f>M376</f>
        <v>1863.8</v>
      </c>
      <c r="N375" s="25">
        <f>N376</f>
        <v>0</v>
      </c>
      <c r="O375" s="25">
        <f>O376</f>
        <v>1863.8</v>
      </c>
    </row>
    <row r="376" spans="1:15" ht="15.75" x14ac:dyDescent="0.2">
      <c r="A376" s="33" t="s">
        <v>450</v>
      </c>
      <c r="B376" s="34" t="s">
        <v>451</v>
      </c>
      <c r="C376" s="35" t="s">
        <v>51</v>
      </c>
      <c r="D376" s="36" t="s">
        <v>452</v>
      </c>
      <c r="E376" s="36" t="s">
        <v>11</v>
      </c>
      <c r="F376" s="37" t="s">
        <v>11</v>
      </c>
      <c r="G376" s="38">
        <f>G377+G382</f>
        <v>1863.8</v>
      </c>
      <c r="H376" s="45">
        <f t="shared" ref="G376:O378" si="61">H377</f>
        <v>0</v>
      </c>
      <c r="I376" s="38">
        <f>I377+I382</f>
        <v>1863.8</v>
      </c>
      <c r="J376" s="39">
        <f>J377+J382</f>
        <v>0</v>
      </c>
      <c r="K376" s="45">
        <f t="shared" si="61"/>
        <v>0</v>
      </c>
      <c r="L376" s="39">
        <f>L377+L382</f>
        <v>0</v>
      </c>
      <c r="M376" s="38">
        <f>M377+M382</f>
        <v>1863.8</v>
      </c>
      <c r="N376" s="38">
        <f>N377+N382</f>
        <v>0</v>
      </c>
      <c r="O376" s="38">
        <f>O377+O382</f>
        <v>1863.8</v>
      </c>
    </row>
    <row r="377" spans="1:15" ht="31.5" x14ac:dyDescent="0.2">
      <c r="A377" s="40"/>
      <c r="B377" s="41" t="s">
        <v>453</v>
      </c>
      <c r="C377" s="42" t="s">
        <v>51</v>
      </c>
      <c r="D377" s="43" t="s">
        <v>452</v>
      </c>
      <c r="E377" s="43" t="s">
        <v>454</v>
      </c>
      <c r="F377" s="44" t="s">
        <v>11</v>
      </c>
      <c r="G377" s="45">
        <f t="shared" si="61"/>
        <v>1813.8</v>
      </c>
      <c r="H377" s="45">
        <f t="shared" si="61"/>
        <v>0</v>
      </c>
      <c r="I377" s="45">
        <f t="shared" si="61"/>
        <v>1813.8</v>
      </c>
      <c r="J377" s="46">
        <f t="shared" si="61"/>
        <v>0</v>
      </c>
      <c r="K377" s="45">
        <f t="shared" si="61"/>
        <v>0</v>
      </c>
      <c r="L377" s="46">
        <f t="shared" si="61"/>
        <v>0</v>
      </c>
      <c r="M377" s="45">
        <f t="shared" si="61"/>
        <v>1813.8</v>
      </c>
      <c r="N377" s="45">
        <f t="shared" si="61"/>
        <v>0</v>
      </c>
      <c r="O377" s="45">
        <f t="shared" si="61"/>
        <v>1813.8</v>
      </c>
    </row>
    <row r="378" spans="1:15" ht="63" x14ac:dyDescent="0.2">
      <c r="A378" s="40"/>
      <c r="B378" s="41" t="s">
        <v>455</v>
      </c>
      <c r="C378" s="42" t="s">
        <v>51</v>
      </c>
      <c r="D378" s="43" t="s">
        <v>452</v>
      </c>
      <c r="E378" s="43" t="s">
        <v>456</v>
      </c>
      <c r="F378" s="44" t="s">
        <v>11</v>
      </c>
      <c r="G378" s="45">
        <f t="shared" si="61"/>
        <v>1813.8</v>
      </c>
      <c r="H378" s="45">
        <f>H379+H380</f>
        <v>0</v>
      </c>
      <c r="I378" s="45">
        <f t="shared" si="61"/>
        <v>1813.8</v>
      </c>
      <c r="J378" s="46">
        <f t="shared" si="61"/>
        <v>0</v>
      </c>
      <c r="K378" s="45">
        <f>K379+K380</f>
        <v>0</v>
      </c>
      <c r="L378" s="46">
        <f t="shared" si="61"/>
        <v>0</v>
      </c>
      <c r="M378" s="45">
        <f t="shared" si="61"/>
        <v>1813.8</v>
      </c>
      <c r="N378" s="45">
        <f t="shared" si="61"/>
        <v>0</v>
      </c>
      <c r="O378" s="45">
        <f t="shared" si="61"/>
        <v>1813.8</v>
      </c>
    </row>
    <row r="379" spans="1:15" ht="47.25" x14ac:dyDescent="0.2">
      <c r="A379" s="40"/>
      <c r="B379" s="41" t="s">
        <v>457</v>
      </c>
      <c r="C379" s="42" t="s">
        <v>51</v>
      </c>
      <c r="D379" s="43" t="s">
        <v>452</v>
      </c>
      <c r="E379" s="43" t="s">
        <v>458</v>
      </c>
      <c r="F379" s="44" t="s">
        <v>11</v>
      </c>
      <c r="G379" s="45">
        <f>G380+G381</f>
        <v>1813.8</v>
      </c>
      <c r="H379" s="45"/>
      <c r="I379" s="45">
        <f>I380+I381</f>
        <v>1813.8</v>
      </c>
      <c r="J379" s="46">
        <f>J380+J381</f>
        <v>0</v>
      </c>
      <c r="K379" s="45"/>
      <c r="L379" s="46">
        <f>L380+L381</f>
        <v>0</v>
      </c>
      <c r="M379" s="45">
        <f>M380+M381</f>
        <v>1813.8</v>
      </c>
      <c r="N379" s="45">
        <f>N380+N381</f>
        <v>0</v>
      </c>
      <c r="O379" s="45">
        <f>O380+O381</f>
        <v>1813.8</v>
      </c>
    </row>
    <row r="380" spans="1:15" ht="31.5" x14ac:dyDescent="0.2">
      <c r="A380" s="40"/>
      <c r="B380" s="41" t="s">
        <v>40</v>
      </c>
      <c r="C380" s="42" t="s">
        <v>51</v>
      </c>
      <c r="D380" s="43" t="s">
        <v>452</v>
      </c>
      <c r="E380" s="43" t="s">
        <v>458</v>
      </c>
      <c r="F380" s="44" t="s">
        <v>41</v>
      </c>
      <c r="G380" s="45">
        <v>300</v>
      </c>
      <c r="H380" s="45"/>
      <c r="I380" s="45">
        <v>300</v>
      </c>
      <c r="J380" s="47">
        <v>0</v>
      </c>
      <c r="K380" s="45"/>
      <c r="L380" s="47">
        <v>0</v>
      </c>
      <c r="M380" s="45">
        <v>300</v>
      </c>
      <c r="N380" s="45"/>
      <c r="O380" s="45">
        <v>300</v>
      </c>
    </row>
    <row r="381" spans="1:15" ht="31.5" x14ac:dyDescent="0.2">
      <c r="A381" s="40"/>
      <c r="B381" s="41" t="s">
        <v>112</v>
      </c>
      <c r="C381" s="42" t="s">
        <v>51</v>
      </c>
      <c r="D381" s="43" t="s">
        <v>452</v>
      </c>
      <c r="E381" s="43" t="s">
        <v>458</v>
      </c>
      <c r="F381" s="44" t="s">
        <v>113</v>
      </c>
      <c r="G381" s="45">
        <v>1513.8</v>
      </c>
      <c r="H381" s="45"/>
      <c r="I381" s="45">
        <v>1513.8</v>
      </c>
      <c r="J381" s="47">
        <v>0</v>
      </c>
      <c r="K381" s="45"/>
      <c r="L381" s="47">
        <v>0</v>
      </c>
      <c r="M381" s="45">
        <v>1513.8</v>
      </c>
      <c r="N381" s="45"/>
      <c r="O381" s="45">
        <v>1513.8</v>
      </c>
    </row>
    <row r="382" spans="1:15" ht="15.75" x14ac:dyDescent="0.2">
      <c r="A382" s="40"/>
      <c r="B382" s="41" t="s">
        <v>459</v>
      </c>
      <c r="C382" s="42" t="s">
        <v>51</v>
      </c>
      <c r="D382" s="43" t="s">
        <v>452</v>
      </c>
      <c r="E382" s="43" t="s">
        <v>460</v>
      </c>
      <c r="F382" s="44" t="s">
        <v>11</v>
      </c>
      <c r="G382" s="45">
        <f t="shared" ref="G382:O384" si="62">G383</f>
        <v>50</v>
      </c>
      <c r="H382" s="45">
        <f t="shared" si="62"/>
        <v>0</v>
      </c>
      <c r="I382" s="45">
        <f t="shared" si="62"/>
        <v>50</v>
      </c>
      <c r="J382" s="46">
        <f t="shared" si="62"/>
        <v>0</v>
      </c>
      <c r="K382" s="45">
        <f>K383</f>
        <v>0</v>
      </c>
      <c r="L382" s="46">
        <f t="shared" si="62"/>
        <v>0</v>
      </c>
      <c r="M382" s="45">
        <f t="shared" si="62"/>
        <v>50</v>
      </c>
      <c r="N382" s="45">
        <f t="shared" si="62"/>
        <v>0</v>
      </c>
      <c r="O382" s="45">
        <f t="shared" si="62"/>
        <v>50</v>
      </c>
    </row>
    <row r="383" spans="1:15" ht="63" x14ac:dyDescent="0.2">
      <c r="A383" s="40"/>
      <c r="B383" s="41" t="s">
        <v>461</v>
      </c>
      <c r="C383" s="42" t="s">
        <v>51</v>
      </c>
      <c r="D383" s="43" t="s">
        <v>452</v>
      </c>
      <c r="E383" s="43" t="s">
        <v>462</v>
      </c>
      <c r="F383" s="44" t="s">
        <v>11</v>
      </c>
      <c r="G383" s="45">
        <f t="shared" si="62"/>
        <v>50</v>
      </c>
      <c r="H383" s="45">
        <f t="shared" si="62"/>
        <v>0</v>
      </c>
      <c r="I383" s="45">
        <f t="shared" si="62"/>
        <v>50</v>
      </c>
      <c r="J383" s="46">
        <f t="shared" si="62"/>
        <v>0</v>
      </c>
      <c r="K383" s="45">
        <f>K384</f>
        <v>0</v>
      </c>
      <c r="L383" s="46">
        <f t="shared" si="62"/>
        <v>0</v>
      </c>
      <c r="M383" s="45">
        <f t="shared" si="62"/>
        <v>50</v>
      </c>
      <c r="N383" s="45">
        <f t="shared" si="62"/>
        <v>0</v>
      </c>
      <c r="O383" s="45">
        <f t="shared" si="62"/>
        <v>50</v>
      </c>
    </row>
    <row r="384" spans="1:15" ht="31.5" x14ac:dyDescent="0.2">
      <c r="A384" s="40"/>
      <c r="B384" s="41" t="s">
        <v>463</v>
      </c>
      <c r="C384" s="42" t="s">
        <v>51</v>
      </c>
      <c r="D384" s="43" t="s">
        <v>452</v>
      </c>
      <c r="E384" s="43" t="s">
        <v>464</v>
      </c>
      <c r="F384" s="44" t="s">
        <v>11</v>
      </c>
      <c r="G384" s="45">
        <f>G385</f>
        <v>50</v>
      </c>
      <c r="H384" s="45"/>
      <c r="I384" s="45">
        <f>I385</f>
        <v>50</v>
      </c>
      <c r="J384" s="46">
        <f t="shared" si="62"/>
        <v>0</v>
      </c>
      <c r="K384" s="45"/>
      <c r="L384" s="46">
        <f t="shared" si="62"/>
        <v>0</v>
      </c>
      <c r="M384" s="45">
        <f t="shared" si="62"/>
        <v>50</v>
      </c>
      <c r="N384" s="45">
        <f t="shared" si="62"/>
        <v>0</v>
      </c>
      <c r="O384" s="45">
        <f t="shared" si="62"/>
        <v>50</v>
      </c>
    </row>
    <row r="385" spans="1:16" ht="31.5" x14ac:dyDescent="0.2">
      <c r="A385" s="40"/>
      <c r="B385" s="41" t="s">
        <v>40</v>
      </c>
      <c r="C385" s="42" t="s">
        <v>51</v>
      </c>
      <c r="D385" s="43" t="s">
        <v>452</v>
      </c>
      <c r="E385" s="43" t="s">
        <v>464</v>
      </c>
      <c r="F385" s="44" t="s">
        <v>41</v>
      </c>
      <c r="G385" s="45">
        <v>50</v>
      </c>
      <c r="H385" s="25"/>
      <c r="I385" s="45">
        <v>50</v>
      </c>
      <c r="J385" s="47"/>
      <c r="K385" s="25">
        <f t="shared" ref="G385:O391" si="63">K386</f>
        <v>0</v>
      </c>
      <c r="L385" s="47"/>
      <c r="M385" s="45">
        <v>50</v>
      </c>
      <c r="N385" s="45"/>
      <c r="O385" s="45">
        <v>50</v>
      </c>
    </row>
    <row r="386" spans="1:16" ht="31.5" x14ac:dyDescent="0.2">
      <c r="A386" s="20" t="s">
        <v>465</v>
      </c>
      <c r="B386" s="21" t="s">
        <v>466</v>
      </c>
      <c r="C386" s="22" t="s">
        <v>51</v>
      </c>
      <c r="D386" s="23" t="s">
        <v>467</v>
      </c>
      <c r="E386" s="23" t="s">
        <v>11</v>
      </c>
      <c r="F386" s="24" t="s">
        <v>11</v>
      </c>
      <c r="G386" s="25">
        <f t="shared" si="63"/>
        <v>6970.8</v>
      </c>
      <c r="H386" s="38">
        <f t="shared" si="63"/>
        <v>-6960.3</v>
      </c>
      <c r="I386" s="25">
        <f t="shared" si="63"/>
        <v>10.5</v>
      </c>
      <c r="J386" s="26">
        <f t="shared" si="63"/>
        <v>0</v>
      </c>
      <c r="K386" s="38">
        <f t="shared" si="63"/>
        <v>0</v>
      </c>
      <c r="L386" s="26">
        <f t="shared" si="63"/>
        <v>0</v>
      </c>
      <c r="M386" s="25">
        <f t="shared" si="63"/>
        <v>6970.8</v>
      </c>
      <c r="N386" s="25">
        <f t="shared" si="63"/>
        <v>-6960.3</v>
      </c>
      <c r="O386" s="76">
        <f t="shared" si="63"/>
        <v>10.5</v>
      </c>
    </row>
    <row r="387" spans="1:16" ht="31.5" x14ac:dyDescent="0.2">
      <c r="A387" s="33" t="s">
        <v>468</v>
      </c>
      <c r="B387" s="34" t="s">
        <v>469</v>
      </c>
      <c r="C387" s="35" t="s">
        <v>51</v>
      </c>
      <c r="D387" s="36" t="s">
        <v>470</v>
      </c>
      <c r="E387" s="36" t="s">
        <v>11</v>
      </c>
      <c r="F387" s="37" t="s">
        <v>11</v>
      </c>
      <c r="G387" s="38">
        <f t="shared" si="63"/>
        <v>6970.8</v>
      </c>
      <c r="H387" s="45">
        <f t="shared" si="63"/>
        <v>-6960.3</v>
      </c>
      <c r="I387" s="38">
        <f t="shared" si="63"/>
        <v>10.5</v>
      </c>
      <c r="J387" s="39">
        <f t="shared" si="63"/>
        <v>0</v>
      </c>
      <c r="K387" s="45">
        <f t="shared" si="63"/>
        <v>0</v>
      </c>
      <c r="L387" s="39">
        <f t="shared" si="63"/>
        <v>0</v>
      </c>
      <c r="M387" s="38">
        <f t="shared" si="63"/>
        <v>6970.8</v>
      </c>
      <c r="N387" s="38">
        <f t="shared" si="63"/>
        <v>-6960.3</v>
      </c>
      <c r="O387" s="38">
        <f t="shared" si="63"/>
        <v>10.5</v>
      </c>
    </row>
    <row r="388" spans="1:16" ht="31.5" x14ac:dyDescent="0.2">
      <c r="A388" s="40"/>
      <c r="B388" s="41" t="s">
        <v>128</v>
      </c>
      <c r="C388" s="42" t="s">
        <v>51</v>
      </c>
      <c r="D388" s="43" t="s">
        <v>470</v>
      </c>
      <c r="E388" s="43" t="s">
        <v>129</v>
      </c>
      <c r="F388" s="44" t="s">
        <v>11</v>
      </c>
      <c r="G388" s="45">
        <f t="shared" si="63"/>
        <v>6970.8</v>
      </c>
      <c r="H388" s="45">
        <f t="shared" si="63"/>
        <v>-6960.3</v>
      </c>
      <c r="I388" s="45">
        <f t="shared" si="63"/>
        <v>10.5</v>
      </c>
      <c r="J388" s="46">
        <f t="shared" si="63"/>
        <v>0</v>
      </c>
      <c r="K388" s="45">
        <f t="shared" si="63"/>
        <v>0</v>
      </c>
      <c r="L388" s="46">
        <f t="shared" si="63"/>
        <v>0</v>
      </c>
      <c r="M388" s="45">
        <f t="shared" si="63"/>
        <v>6970.8</v>
      </c>
      <c r="N388" s="45">
        <f t="shared" si="63"/>
        <v>-6960.3</v>
      </c>
      <c r="O388" s="45">
        <f t="shared" si="63"/>
        <v>10.5</v>
      </c>
    </row>
    <row r="389" spans="1:16" ht="15.75" x14ac:dyDescent="0.2">
      <c r="A389" s="40"/>
      <c r="B389" s="41" t="s">
        <v>141</v>
      </c>
      <c r="C389" s="42" t="s">
        <v>51</v>
      </c>
      <c r="D389" s="43" t="s">
        <v>470</v>
      </c>
      <c r="E389" s="43" t="s">
        <v>142</v>
      </c>
      <c r="F389" s="44" t="s">
        <v>11</v>
      </c>
      <c r="G389" s="45">
        <f t="shared" si="63"/>
        <v>6970.8</v>
      </c>
      <c r="H389" s="45">
        <f t="shared" si="63"/>
        <v>-6960.3</v>
      </c>
      <c r="I389" s="45">
        <f t="shared" si="63"/>
        <v>10.5</v>
      </c>
      <c r="J389" s="46">
        <f t="shared" si="63"/>
        <v>0</v>
      </c>
      <c r="K389" s="45">
        <f t="shared" si="63"/>
        <v>0</v>
      </c>
      <c r="L389" s="46">
        <f t="shared" si="63"/>
        <v>0</v>
      </c>
      <c r="M389" s="45">
        <f t="shared" si="63"/>
        <v>6970.8</v>
      </c>
      <c r="N389" s="45">
        <f t="shared" si="63"/>
        <v>-6960.3</v>
      </c>
      <c r="O389" s="45">
        <f t="shared" si="63"/>
        <v>10.5</v>
      </c>
    </row>
    <row r="390" spans="1:16" ht="47.25" x14ac:dyDescent="0.2">
      <c r="A390" s="40"/>
      <c r="B390" s="41" t="s">
        <v>143</v>
      </c>
      <c r="C390" s="42" t="s">
        <v>51</v>
      </c>
      <c r="D390" s="43" t="s">
        <v>470</v>
      </c>
      <c r="E390" s="43" t="s">
        <v>144</v>
      </c>
      <c r="F390" s="44" t="s">
        <v>11</v>
      </c>
      <c r="G390" s="45">
        <f t="shared" si="63"/>
        <v>6970.8</v>
      </c>
      <c r="H390" s="45">
        <f>SUM(H391)</f>
        <v>-6960.3</v>
      </c>
      <c r="I390" s="45">
        <f t="shared" si="63"/>
        <v>10.5</v>
      </c>
      <c r="J390" s="46">
        <f t="shared" si="63"/>
        <v>0</v>
      </c>
      <c r="K390" s="45">
        <f t="shared" si="63"/>
        <v>0</v>
      </c>
      <c r="L390" s="46">
        <f t="shared" si="63"/>
        <v>0</v>
      </c>
      <c r="M390" s="45">
        <f t="shared" si="63"/>
        <v>6970.8</v>
      </c>
      <c r="N390" s="45">
        <f t="shared" si="63"/>
        <v>-6960.3</v>
      </c>
      <c r="O390" s="45">
        <f t="shared" si="63"/>
        <v>10.5</v>
      </c>
    </row>
    <row r="391" spans="1:16" ht="15.75" x14ac:dyDescent="0.2">
      <c r="A391" s="40"/>
      <c r="B391" s="41" t="s">
        <v>471</v>
      </c>
      <c r="C391" s="42" t="s">
        <v>51</v>
      </c>
      <c r="D391" s="43" t="s">
        <v>470</v>
      </c>
      <c r="E391" s="43" t="s">
        <v>472</v>
      </c>
      <c r="F391" s="44" t="s">
        <v>11</v>
      </c>
      <c r="G391" s="45">
        <f t="shared" si="63"/>
        <v>6970.8</v>
      </c>
      <c r="H391" s="45">
        <f t="shared" si="63"/>
        <v>-6960.3</v>
      </c>
      <c r="I391" s="45">
        <f t="shared" si="63"/>
        <v>10.5</v>
      </c>
      <c r="J391" s="46">
        <f t="shared" si="63"/>
        <v>0</v>
      </c>
      <c r="K391" s="48"/>
      <c r="L391" s="46">
        <f t="shared" si="63"/>
        <v>0</v>
      </c>
      <c r="M391" s="45">
        <f t="shared" si="63"/>
        <v>6970.8</v>
      </c>
      <c r="N391" s="45">
        <f t="shared" si="63"/>
        <v>-6960.3</v>
      </c>
      <c r="O391" s="45">
        <f t="shared" si="63"/>
        <v>10.5</v>
      </c>
    </row>
    <row r="392" spans="1:16" ht="31.5" x14ac:dyDescent="0.2">
      <c r="A392" s="40"/>
      <c r="B392" s="41" t="s">
        <v>473</v>
      </c>
      <c r="C392" s="42" t="s">
        <v>51</v>
      </c>
      <c r="D392" s="43" t="s">
        <v>470</v>
      </c>
      <c r="E392" s="43" t="s">
        <v>472</v>
      </c>
      <c r="F392" s="44" t="s">
        <v>474</v>
      </c>
      <c r="G392" s="48">
        <f>4650000/1000+2320.8</f>
        <v>6970.8</v>
      </c>
      <c r="H392" s="25">
        <f>-567-890-480-240-50-4733.3</f>
        <v>-6960.3</v>
      </c>
      <c r="I392" s="48">
        <f>4650000/1000+2320.8+H392</f>
        <v>10.5</v>
      </c>
      <c r="J392" s="47">
        <v>0</v>
      </c>
      <c r="K392" s="25"/>
      <c r="L392" s="47">
        <v>0</v>
      </c>
      <c r="M392" s="48">
        <f>4650000/1000+2320.8</f>
        <v>6970.8</v>
      </c>
      <c r="N392" s="48">
        <f>SUM(H392)</f>
        <v>-6960.3</v>
      </c>
      <c r="O392" s="48">
        <f>4650000/1000+2320.8+N392</f>
        <v>10.5</v>
      </c>
    </row>
    <row r="393" spans="1:16" ht="31.5" x14ac:dyDescent="0.2">
      <c r="A393" s="20" t="s">
        <v>475</v>
      </c>
      <c r="B393" s="21" t="s">
        <v>476</v>
      </c>
      <c r="C393" s="22" t="s">
        <v>477</v>
      </c>
      <c r="D393" s="23" t="s">
        <v>11</v>
      </c>
      <c r="E393" s="23" t="s">
        <v>11</v>
      </c>
      <c r="F393" s="24" t="s">
        <v>11</v>
      </c>
      <c r="G393" s="25">
        <f>G394</f>
        <v>138173.9</v>
      </c>
      <c r="H393" s="25">
        <f>H394+H420+H426</f>
        <v>-674</v>
      </c>
      <c r="I393" s="25">
        <f>I394</f>
        <v>137499.9</v>
      </c>
      <c r="J393" s="26">
        <f>J394</f>
        <v>8708.7000000000007</v>
      </c>
      <c r="K393" s="25">
        <f>K394+K420+K426</f>
        <v>-3300</v>
      </c>
      <c r="L393" s="26">
        <f>L394</f>
        <v>5408.7</v>
      </c>
      <c r="M393" s="25">
        <f>M394</f>
        <v>146882.6</v>
      </c>
      <c r="N393" s="25">
        <f>N394</f>
        <v>-3974</v>
      </c>
      <c r="O393" s="76">
        <f>O394</f>
        <v>142908.6</v>
      </c>
      <c r="P393" s="18"/>
    </row>
    <row r="394" spans="1:16" ht="15.75" x14ac:dyDescent="0.2">
      <c r="A394" s="20" t="s">
        <v>478</v>
      </c>
      <c r="B394" s="21" t="s">
        <v>479</v>
      </c>
      <c r="C394" s="22" t="s">
        <v>477</v>
      </c>
      <c r="D394" s="23" t="s">
        <v>480</v>
      </c>
      <c r="E394" s="23" t="s">
        <v>11</v>
      </c>
      <c r="F394" s="24" t="s">
        <v>11</v>
      </c>
      <c r="G394" s="25">
        <f>G395+G421+G427</f>
        <v>138173.9</v>
      </c>
      <c r="H394" s="38">
        <f>H395+H427</f>
        <v>-674</v>
      </c>
      <c r="I394" s="25">
        <f>I395+I421+I427</f>
        <v>137499.9</v>
      </c>
      <c r="J394" s="26">
        <f>J395+J421+J427</f>
        <v>8708.7000000000007</v>
      </c>
      <c r="K394" s="38">
        <f>K395</f>
        <v>-3300</v>
      </c>
      <c r="L394" s="26">
        <f>L395+L421+L427</f>
        <v>5408.7</v>
      </c>
      <c r="M394" s="25">
        <f>M395+M421+M427</f>
        <v>146882.6</v>
      </c>
      <c r="N394" s="25">
        <f>N395+N421+N427</f>
        <v>-3974</v>
      </c>
      <c r="O394" s="25">
        <f>O395+O421+O427</f>
        <v>142908.6</v>
      </c>
      <c r="P394" s="17"/>
    </row>
    <row r="395" spans="1:16" ht="15.75" x14ac:dyDescent="0.2">
      <c r="A395" s="33" t="s">
        <v>481</v>
      </c>
      <c r="B395" s="34" t="s">
        <v>482</v>
      </c>
      <c r="C395" s="35" t="s">
        <v>477</v>
      </c>
      <c r="D395" s="36" t="s">
        <v>483</v>
      </c>
      <c r="E395" s="36" t="s">
        <v>11</v>
      </c>
      <c r="F395" s="37" t="s">
        <v>11</v>
      </c>
      <c r="G395" s="38">
        <f>G396</f>
        <v>111130.5</v>
      </c>
      <c r="H395" s="45">
        <f>H396+H404</f>
        <v>-674</v>
      </c>
      <c r="I395" s="38">
        <f>I396</f>
        <v>110456.5</v>
      </c>
      <c r="J395" s="39">
        <f>J396</f>
        <v>8708.7000000000007</v>
      </c>
      <c r="K395" s="45">
        <f>K396+K404</f>
        <v>-3300</v>
      </c>
      <c r="L395" s="39">
        <f>L396</f>
        <v>5408.7</v>
      </c>
      <c r="M395" s="38">
        <f>M396</f>
        <v>119839.2</v>
      </c>
      <c r="N395" s="38">
        <f>N396</f>
        <v>-3974</v>
      </c>
      <c r="O395" s="38">
        <f>O396</f>
        <v>115865.2</v>
      </c>
      <c r="P395" s="15"/>
    </row>
    <row r="396" spans="1:16" ht="31.5" x14ac:dyDescent="0.2">
      <c r="A396" s="40"/>
      <c r="B396" s="41" t="s">
        <v>484</v>
      </c>
      <c r="C396" s="42" t="s">
        <v>477</v>
      </c>
      <c r="D396" s="43" t="s">
        <v>483</v>
      </c>
      <c r="E396" s="43" t="s">
        <v>485</v>
      </c>
      <c r="F396" s="44" t="s">
        <v>11</v>
      </c>
      <c r="G396" s="45">
        <f>G397+G405</f>
        <v>111130.5</v>
      </c>
      <c r="H396" s="45">
        <f>H397+H412+H407+H414</f>
        <v>-674</v>
      </c>
      <c r="I396" s="45">
        <f>I397+I405</f>
        <v>110456.5</v>
      </c>
      <c r="J396" s="46">
        <f>J397+J405</f>
        <v>8708.7000000000007</v>
      </c>
      <c r="K396" s="45">
        <f>K397+K405</f>
        <v>-3300</v>
      </c>
      <c r="L396" s="46">
        <f>L397+L405</f>
        <v>5408.7</v>
      </c>
      <c r="M396" s="45">
        <f>M397+M405</f>
        <v>119839.2</v>
      </c>
      <c r="N396" s="45">
        <f>N397+N412+N407+N414</f>
        <v>-3974</v>
      </c>
      <c r="O396" s="45">
        <f>O397+O405</f>
        <v>115865.2</v>
      </c>
      <c r="P396" s="16"/>
    </row>
    <row r="397" spans="1:16" ht="15.75" x14ac:dyDescent="0.2">
      <c r="A397" s="40"/>
      <c r="B397" s="41" t="s">
        <v>486</v>
      </c>
      <c r="C397" s="42" t="s">
        <v>477</v>
      </c>
      <c r="D397" s="43" t="s">
        <v>483</v>
      </c>
      <c r="E397" s="43" t="s">
        <v>487</v>
      </c>
      <c r="F397" s="44" t="s">
        <v>11</v>
      </c>
      <c r="G397" s="45">
        <f>G398</f>
        <v>6334.3</v>
      </c>
      <c r="H397" s="45">
        <f>H398+H402</f>
        <v>0</v>
      </c>
      <c r="I397" s="45">
        <f>I398</f>
        <v>6334.3</v>
      </c>
      <c r="J397" s="46">
        <f>J398</f>
        <v>0</v>
      </c>
      <c r="K397" s="45">
        <f>K398+K400+K402</f>
        <v>0</v>
      </c>
      <c r="L397" s="46">
        <f>L398</f>
        <v>0</v>
      </c>
      <c r="M397" s="45">
        <f>M398</f>
        <v>6334.3</v>
      </c>
      <c r="N397" s="45">
        <f>N398</f>
        <v>0</v>
      </c>
      <c r="O397" s="45">
        <f>O398</f>
        <v>6334.3</v>
      </c>
    </row>
    <row r="398" spans="1:16" ht="15.75" x14ac:dyDescent="0.2">
      <c r="A398" s="40"/>
      <c r="B398" s="41" t="s">
        <v>488</v>
      </c>
      <c r="C398" s="42" t="s">
        <v>477</v>
      </c>
      <c r="D398" s="43" t="s">
        <v>483</v>
      </c>
      <c r="E398" s="43" t="s">
        <v>489</v>
      </c>
      <c r="F398" s="44" t="s">
        <v>11</v>
      </c>
      <c r="G398" s="45">
        <f>G399+G401+G403</f>
        <v>6334.3</v>
      </c>
      <c r="H398" s="45">
        <f>H399</f>
        <v>0</v>
      </c>
      <c r="I398" s="45">
        <f>I399+I401+I403</f>
        <v>6334.3</v>
      </c>
      <c r="J398" s="46">
        <f>J399+J401+J403</f>
        <v>0</v>
      </c>
      <c r="K398" s="45">
        <f>K399</f>
        <v>0</v>
      </c>
      <c r="L398" s="46">
        <f>L399+L401+L403</f>
        <v>0</v>
      </c>
      <c r="M398" s="45">
        <f>M399+M401+M403</f>
        <v>6334.3</v>
      </c>
      <c r="N398" s="45">
        <f>N399+N401+N403</f>
        <v>0</v>
      </c>
      <c r="O398" s="45">
        <f>O399+O401+O403</f>
        <v>6334.3</v>
      </c>
    </row>
    <row r="399" spans="1:16" ht="15.75" x14ac:dyDescent="0.2">
      <c r="A399" s="40"/>
      <c r="B399" s="41" t="s">
        <v>490</v>
      </c>
      <c r="C399" s="42" t="s">
        <v>477</v>
      </c>
      <c r="D399" s="43" t="s">
        <v>483</v>
      </c>
      <c r="E399" s="43" t="s">
        <v>491</v>
      </c>
      <c r="F399" s="44" t="s">
        <v>11</v>
      </c>
      <c r="G399" s="45">
        <f>G400</f>
        <v>6034.3</v>
      </c>
      <c r="H399" s="45">
        <f>H400</f>
        <v>0</v>
      </c>
      <c r="I399" s="45">
        <f>I400</f>
        <v>6034.3</v>
      </c>
      <c r="J399" s="46">
        <f>J400</f>
        <v>0</v>
      </c>
      <c r="K399" s="45"/>
      <c r="L399" s="46">
        <f>L400</f>
        <v>0</v>
      </c>
      <c r="M399" s="45">
        <f>M400</f>
        <v>6034.3</v>
      </c>
      <c r="N399" s="45">
        <f>N400</f>
        <v>0</v>
      </c>
      <c r="O399" s="45">
        <f>O400</f>
        <v>6034.3</v>
      </c>
    </row>
    <row r="400" spans="1:16" ht="31.5" x14ac:dyDescent="0.2">
      <c r="A400" s="40"/>
      <c r="B400" s="41" t="s">
        <v>40</v>
      </c>
      <c r="C400" s="42" t="s">
        <v>477</v>
      </c>
      <c r="D400" s="43" t="s">
        <v>483</v>
      </c>
      <c r="E400" s="43" t="s">
        <v>491</v>
      </c>
      <c r="F400" s="44" t="s">
        <v>41</v>
      </c>
      <c r="G400" s="45">
        <v>6034.3</v>
      </c>
      <c r="H400" s="45"/>
      <c r="I400" s="45">
        <f>SUM(G400+H400)</f>
        <v>6034.3</v>
      </c>
      <c r="J400" s="47">
        <v>0</v>
      </c>
      <c r="K400" s="45"/>
      <c r="L400" s="47">
        <v>0</v>
      </c>
      <c r="M400" s="45">
        <f>SUM(G400)</f>
        <v>6034.3</v>
      </c>
      <c r="N400" s="45">
        <f>SUM(H400)</f>
        <v>0</v>
      </c>
      <c r="O400" s="45">
        <f>SUM(M400+N400)</f>
        <v>6034.3</v>
      </c>
    </row>
    <row r="401" spans="1:16" ht="15.75" x14ac:dyDescent="0.2">
      <c r="A401" s="40"/>
      <c r="B401" s="41" t="s">
        <v>492</v>
      </c>
      <c r="C401" s="42" t="s">
        <v>477</v>
      </c>
      <c r="D401" s="43" t="s">
        <v>483</v>
      </c>
      <c r="E401" s="43" t="s">
        <v>493</v>
      </c>
      <c r="F401" s="44" t="s">
        <v>11</v>
      </c>
      <c r="G401" s="45">
        <f>G402</f>
        <v>300</v>
      </c>
      <c r="H401" s="45"/>
      <c r="I401" s="45">
        <f>I402</f>
        <v>300</v>
      </c>
      <c r="J401" s="46">
        <f>J402</f>
        <v>0</v>
      </c>
      <c r="K401" s="45"/>
      <c r="L401" s="46">
        <f>L402</f>
        <v>0</v>
      </c>
      <c r="M401" s="45">
        <f>M402</f>
        <v>300</v>
      </c>
      <c r="N401" s="45">
        <f>N402</f>
        <v>0</v>
      </c>
      <c r="O401" s="45">
        <f>O402</f>
        <v>300</v>
      </c>
    </row>
    <row r="402" spans="1:16" ht="31.5" x14ac:dyDescent="0.2">
      <c r="A402" s="40"/>
      <c r="B402" s="41" t="s">
        <v>40</v>
      </c>
      <c r="C402" s="42" t="s">
        <v>477</v>
      </c>
      <c r="D402" s="43" t="s">
        <v>483</v>
      </c>
      <c r="E402" s="43" t="s">
        <v>493</v>
      </c>
      <c r="F402" s="44" t="s">
        <v>41</v>
      </c>
      <c r="G402" s="45">
        <f>300000/1000</f>
        <v>300</v>
      </c>
      <c r="H402" s="45"/>
      <c r="I402" s="45">
        <f>300000/1000</f>
        <v>300</v>
      </c>
      <c r="J402" s="47">
        <v>0</v>
      </c>
      <c r="K402" s="45"/>
      <c r="L402" s="47">
        <v>0</v>
      </c>
      <c r="M402" s="45">
        <f>300000/1000</f>
        <v>300</v>
      </c>
      <c r="N402" s="45"/>
      <c r="O402" s="45">
        <f>300000/1000</f>
        <v>300</v>
      </c>
    </row>
    <row r="403" spans="1:16" ht="15.75" x14ac:dyDescent="0.2">
      <c r="A403" s="40"/>
      <c r="B403" s="41" t="s">
        <v>378</v>
      </c>
      <c r="C403" s="42" t="s">
        <v>477</v>
      </c>
      <c r="D403" s="43" t="s">
        <v>483</v>
      </c>
      <c r="E403" s="43" t="s">
        <v>494</v>
      </c>
      <c r="F403" s="44" t="s">
        <v>11</v>
      </c>
      <c r="G403" s="45">
        <f>G404</f>
        <v>0</v>
      </c>
      <c r="H403" s="45"/>
      <c r="I403" s="45">
        <f>I404</f>
        <v>0</v>
      </c>
      <c r="J403" s="46">
        <f>J404</f>
        <v>0</v>
      </c>
      <c r="K403" s="45"/>
      <c r="L403" s="46">
        <f>L404</f>
        <v>0</v>
      </c>
      <c r="M403" s="45">
        <f>M404</f>
        <v>0</v>
      </c>
      <c r="N403" s="45">
        <f>N404</f>
        <v>0</v>
      </c>
      <c r="O403" s="45">
        <f>O404</f>
        <v>0</v>
      </c>
    </row>
    <row r="404" spans="1:16" ht="31.5" x14ac:dyDescent="0.2">
      <c r="A404" s="40"/>
      <c r="B404" s="41" t="s">
        <v>40</v>
      </c>
      <c r="C404" s="42" t="s">
        <v>477</v>
      </c>
      <c r="D404" s="43" t="s">
        <v>483</v>
      </c>
      <c r="E404" s="43" t="s">
        <v>494</v>
      </c>
      <c r="F404" s="44" t="s">
        <v>41</v>
      </c>
      <c r="G404" s="45"/>
      <c r="H404" s="45"/>
      <c r="I404" s="45"/>
      <c r="J404" s="47">
        <v>0</v>
      </c>
      <c r="K404" s="45"/>
      <c r="L404" s="47">
        <v>0</v>
      </c>
      <c r="M404" s="45"/>
      <c r="N404" s="45"/>
      <c r="O404" s="45"/>
    </row>
    <row r="405" spans="1:16" ht="47.25" x14ac:dyDescent="0.2">
      <c r="A405" s="40"/>
      <c r="B405" s="41" t="s">
        <v>495</v>
      </c>
      <c r="C405" s="42" t="s">
        <v>477</v>
      </c>
      <c r="D405" s="43" t="s">
        <v>483</v>
      </c>
      <c r="E405" s="43" t="s">
        <v>496</v>
      </c>
      <c r="F405" s="44" t="s">
        <v>11</v>
      </c>
      <c r="G405" s="45">
        <f>G406</f>
        <v>104796.2</v>
      </c>
      <c r="H405" s="45">
        <f>H406+H411+H415+H418</f>
        <v>-674</v>
      </c>
      <c r="I405" s="45">
        <f>I406</f>
        <v>104122.2</v>
      </c>
      <c r="J405" s="46">
        <f>J406</f>
        <v>8708.7000000000007</v>
      </c>
      <c r="K405" s="45">
        <f>K406+K411+K415+K418</f>
        <v>-3300</v>
      </c>
      <c r="L405" s="46">
        <f>L406</f>
        <v>5408.7</v>
      </c>
      <c r="M405" s="45">
        <f>M406+M412</f>
        <v>113504.9</v>
      </c>
      <c r="N405" s="45">
        <f>N406</f>
        <v>-3974</v>
      </c>
      <c r="O405" s="80">
        <f>O406</f>
        <v>109530.9</v>
      </c>
      <c r="P405" s="16"/>
    </row>
    <row r="406" spans="1:16" ht="47.25" x14ac:dyDescent="0.2">
      <c r="A406" s="40"/>
      <c r="B406" s="41" t="s">
        <v>497</v>
      </c>
      <c r="C406" s="42" t="s">
        <v>477</v>
      </c>
      <c r="D406" s="43" t="s">
        <v>483</v>
      </c>
      <c r="E406" s="43" t="s">
        <v>498</v>
      </c>
      <c r="F406" s="44" t="s">
        <v>11</v>
      </c>
      <c r="G406" s="45">
        <f>G407+G414+G416+G419+G412</f>
        <v>104796.2</v>
      </c>
      <c r="H406" s="45">
        <f>H407+H408+H410+H412+H414</f>
        <v>-674</v>
      </c>
      <c r="I406" s="45">
        <f>I407+I414+I416+I419+I412</f>
        <v>104122.2</v>
      </c>
      <c r="J406" s="46">
        <f>J407+J414+J416+J419+J412</f>
        <v>8708.7000000000007</v>
      </c>
      <c r="K406" s="45">
        <f>K407+K408+K409+K410+K412</f>
        <v>-3300</v>
      </c>
      <c r="L406" s="46">
        <f>L407+L414+L416+L419+L412</f>
        <v>5408.7</v>
      </c>
      <c r="M406" s="45">
        <f>M407+M414+M416+M419</f>
        <v>108082</v>
      </c>
      <c r="N406" s="45">
        <f>N407+N408+N410+N412+N414</f>
        <v>-3974</v>
      </c>
      <c r="O406" s="45">
        <f>O407+O414+O416+O419+O412</f>
        <v>109530.9</v>
      </c>
      <c r="P406" s="16"/>
    </row>
    <row r="407" spans="1:16" ht="31.5" x14ac:dyDescent="0.2">
      <c r="A407" s="40"/>
      <c r="B407" s="41" t="s">
        <v>134</v>
      </c>
      <c r="C407" s="42" t="s">
        <v>477</v>
      </c>
      <c r="D407" s="43" t="s">
        <v>483</v>
      </c>
      <c r="E407" s="43" t="s">
        <v>499</v>
      </c>
      <c r="F407" s="44" t="s">
        <v>11</v>
      </c>
      <c r="G407" s="45">
        <f>G408+G409+G410+G411</f>
        <v>99978.700000000012</v>
      </c>
      <c r="H407" s="45">
        <f>SUM(H409)</f>
        <v>0</v>
      </c>
      <c r="I407" s="45">
        <f>I408+I409+I410+I411</f>
        <v>99978.700000000012</v>
      </c>
      <c r="J407" s="46">
        <f>J408+J409+J410+J411</f>
        <v>0</v>
      </c>
      <c r="K407" s="45"/>
      <c r="L407" s="46">
        <f>L408+L409+L410+L411</f>
        <v>0</v>
      </c>
      <c r="M407" s="45">
        <f>M408+M409+M410+M411</f>
        <v>99978.700000000012</v>
      </c>
      <c r="N407" s="45">
        <f>N408+N409+N410+N411</f>
        <v>0</v>
      </c>
      <c r="O407" s="45">
        <f>O408+O409+O410+O411</f>
        <v>99978.700000000012</v>
      </c>
    </row>
    <row r="408" spans="1:16" ht="78.75" x14ac:dyDescent="0.2">
      <c r="A408" s="40"/>
      <c r="B408" s="41" t="s">
        <v>61</v>
      </c>
      <c r="C408" s="42" t="s">
        <v>477</v>
      </c>
      <c r="D408" s="43" t="s">
        <v>483</v>
      </c>
      <c r="E408" s="43" t="s">
        <v>499</v>
      </c>
      <c r="F408" s="44" t="s">
        <v>62</v>
      </c>
      <c r="G408" s="45">
        <f>16503800/1000</f>
        <v>16503.8</v>
      </c>
      <c r="H408" s="45"/>
      <c r="I408" s="45">
        <f>16503800/1000</f>
        <v>16503.8</v>
      </c>
      <c r="J408" s="47">
        <v>0</v>
      </c>
      <c r="K408" s="45"/>
      <c r="L408" s="47">
        <v>0</v>
      </c>
      <c r="M408" s="45">
        <f>16503800/1000</f>
        <v>16503.8</v>
      </c>
      <c r="N408" s="45"/>
      <c r="O408" s="45">
        <f>16503800/1000</f>
        <v>16503.8</v>
      </c>
    </row>
    <row r="409" spans="1:16" ht="31.5" x14ac:dyDescent="0.2">
      <c r="A409" s="40"/>
      <c r="B409" s="41" t="s">
        <v>40</v>
      </c>
      <c r="C409" s="42" t="s">
        <v>477</v>
      </c>
      <c r="D409" s="43" t="s">
        <v>483</v>
      </c>
      <c r="E409" s="43" t="s">
        <v>499</v>
      </c>
      <c r="F409" s="44" t="s">
        <v>41</v>
      </c>
      <c r="G409" s="45">
        <v>6317.8</v>
      </c>
      <c r="H409" s="48"/>
      <c r="I409" s="45">
        <f>SUM(G409)</f>
        <v>6317.8</v>
      </c>
      <c r="J409" s="47">
        <v>0</v>
      </c>
      <c r="K409" s="48"/>
      <c r="L409" s="47">
        <v>0</v>
      </c>
      <c r="M409" s="45">
        <f>SUM(G409)</f>
        <v>6317.8</v>
      </c>
      <c r="N409" s="45">
        <f>SUM(H409)</f>
        <v>0</v>
      </c>
      <c r="O409" s="45">
        <f>SUM(I409)</f>
        <v>6317.8</v>
      </c>
    </row>
    <row r="410" spans="1:16" ht="39" customHeight="1" x14ac:dyDescent="0.2">
      <c r="A410" s="40"/>
      <c r="B410" s="41" t="s">
        <v>95</v>
      </c>
      <c r="C410" s="42" t="s">
        <v>477</v>
      </c>
      <c r="D410" s="43" t="s">
        <v>483</v>
      </c>
      <c r="E410" s="43" t="s">
        <v>499</v>
      </c>
      <c r="F410" s="44" t="s">
        <v>96</v>
      </c>
      <c r="G410" s="48">
        <f>75925300/1000+1213.2</f>
        <v>77138.5</v>
      </c>
      <c r="H410" s="45"/>
      <c r="I410" s="48">
        <f>75925300/1000+1213.2</f>
        <v>77138.5</v>
      </c>
      <c r="J410" s="47">
        <v>0</v>
      </c>
      <c r="K410" s="45"/>
      <c r="L410" s="47">
        <v>0</v>
      </c>
      <c r="M410" s="48">
        <f>75925300/1000+1213.2</f>
        <v>77138.5</v>
      </c>
      <c r="N410" s="48"/>
      <c r="O410" s="48">
        <f>75925300/1000+1213.2</f>
        <v>77138.5</v>
      </c>
    </row>
    <row r="411" spans="1:16" ht="15.75" x14ac:dyDescent="0.2">
      <c r="A411" s="40"/>
      <c r="B411" s="41" t="s">
        <v>338</v>
      </c>
      <c r="C411" s="42" t="s">
        <v>477</v>
      </c>
      <c r="D411" s="43" t="s">
        <v>483</v>
      </c>
      <c r="E411" s="43" t="s">
        <v>499</v>
      </c>
      <c r="F411" s="44" t="s">
        <v>71</v>
      </c>
      <c r="G411" s="45">
        <f>18600/1000</f>
        <v>18.600000000000001</v>
      </c>
      <c r="H411" s="45"/>
      <c r="I411" s="45">
        <f>18600/1000</f>
        <v>18.600000000000001</v>
      </c>
      <c r="J411" s="47">
        <v>0</v>
      </c>
      <c r="K411" s="45"/>
      <c r="L411" s="47">
        <v>0</v>
      </c>
      <c r="M411" s="45">
        <f>18600/1000</f>
        <v>18.600000000000001</v>
      </c>
      <c r="N411" s="45"/>
      <c r="O411" s="45">
        <f>18600/1000</f>
        <v>18.600000000000001</v>
      </c>
    </row>
    <row r="412" spans="1:16" ht="31.5" x14ac:dyDescent="0.2">
      <c r="A412" s="40"/>
      <c r="B412" s="41" t="s">
        <v>500</v>
      </c>
      <c r="C412" s="42">
        <v>993</v>
      </c>
      <c r="D412" s="43" t="s">
        <v>483</v>
      </c>
      <c r="E412" s="57" t="s">
        <v>501</v>
      </c>
      <c r="F412" s="44"/>
      <c r="G412" s="45">
        <f>SUM(F412)+G413</f>
        <v>2122.9</v>
      </c>
      <c r="H412" s="45">
        <f>SUM(H413)</f>
        <v>-674</v>
      </c>
      <c r="I412" s="45">
        <f>SUM(G412)+H412</f>
        <v>1448.9</v>
      </c>
      <c r="J412" s="47">
        <f>SUM(J413)</f>
        <v>3300</v>
      </c>
      <c r="K412" s="45">
        <f>SUM(K413)</f>
        <v>-3300</v>
      </c>
      <c r="L412" s="47">
        <f>SUM(J412)+K412</f>
        <v>0</v>
      </c>
      <c r="M412" s="45">
        <f>SUM(G412+J412)</f>
        <v>5422.9</v>
      </c>
      <c r="N412" s="45">
        <f>SUM(K412)+H412</f>
        <v>-3974</v>
      </c>
      <c r="O412" s="45">
        <f>SUM(I412)+L412</f>
        <v>1448.9</v>
      </c>
    </row>
    <row r="413" spans="1:16" ht="47.25" x14ac:dyDescent="0.2">
      <c r="A413" s="40"/>
      <c r="B413" s="41" t="s">
        <v>95</v>
      </c>
      <c r="C413" s="42">
        <v>993</v>
      </c>
      <c r="D413" s="43" t="s">
        <v>483</v>
      </c>
      <c r="E413" s="57" t="s">
        <v>501</v>
      </c>
      <c r="F413" s="44">
        <v>600</v>
      </c>
      <c r="G413" s="45">
        <v>2122.9</v>
      </c>
      <c r="H413" s="45">
        <f>-2122.9+558.9+890</f>
        <v>-674</v>
      </c>
      <c r="I413" s="45">
        <f>SUM(G413)+H413</f>
        <v>1448.9</v>
      </c>
      <c r="J413" s="47">
        <v>3300</v>
      </c>
      <c r="K413" s="45">
        <v>-3300</v>
      </c>
      <c r="L413" s="47">
        <f>SUM(J413)+K413</f>
        <v>0</v>
      </c>
      <c r="M413" s="45">
        <f>SUM(G413+J413)</f>
        <v>5422.9</v>
      </c>
      <c r="N413" s="45">
        <f>SUM(K413)+H413</f>
        <v>-3974</v>
      </c>
      <c r="O413" s="45">
        <f>SUM(I413)+L413</f>
        <v>1448.9</v>
      </c>
    </row>
    <row r="414" spans="1:16" ht="47.25" x14ac:dyDescent="0.2">
      <c r="A414" s="40"/>
      <c r="B414" s="41" t="s">
        <v>283</v>
      </c>
      <c r="C414" s="42" t="s">
        <v>477</v>
      </c>
      <c r="D414" s="43" t="s">
        <v>483</v>
      </c>
      <c r="E414" s="43" t="s">
        <v>502</v>
      </c>
      <c r="F414" s="44" t="s">
        <v>11</v>
      </c>
      <c r="G414" s="45">
        <f>G415</f>
        <v>1814</v>
      </c>
      <c r="H414" s="45">
        <f>SUM(H415)</f>
        <v>0</v>
      </c>
      <c r="I414" s="45">
        <f>SUM(G414)</f>
        <v>1814</v>
      </c>
      <c r="J414" s="46">
        <f>J415</f>
        <v>0</v>
      </c>
      <c r="K414" s="45"/>
      <c r="L414" s="46">
        <f>L415</f>
        <v>0</v>
      </c>
      <c r="M414" s="45">
        <f>M415</f>
        <v>1814</v>
      </c>
      <c r="N414" s="45">
        <f>N415</f>
        <v>0</v>
      </c>
      <c r="O414" s="45">
        <f>O415</f>
        <v>1814</v>
      </c>
    </row>
    <row r="415" spans="1:16" ht="36" customHeight="1" x14ac:dyDescent="0.2">
      <c r="A415" s="40"/>
      <c r="B415" s="41" t="s">
        <v>95</v>
      </c>
      <c r="C415" s="42" t="s">
        <v>477</v>
      </c>
      <c r="D415" s="43" t="s">
        <v>483</v>
      </c>
      <c r="E415" s="43" t="s">
        <v>502</v>
      </c>
      <c r="F415" s="44" t="s">
        <v>96</v>
      </c>
      <c r="G415" s="45">
        <v>1814</v>
      </c>
      <c r="H415" s="45"/>
      <c r="I415" s="45">
        <f>SUM(G415)</f>
        <v>1814</v>
      </c>
      <c r="J415" s="47"/>
      <c r="K415" s="45"/>
      <c r="L415" s="47"/>
      <c r="M415" s="45">
        <f>SUM(G415)</f>
        <v>1814</v>
      </c>
      <c r="N415" s="45">
        <f>SUM(H415)</f>
        <v>0</v>
      </c>
      <c r="O415" s="45">
        <f>SUM(M415)</f>
        <v>1814</v>
      </c>
    </row>
    <row r="416" spans="1:16" ht="31.5" x14ac:dyDescent="0.2">
      <c r="A416" s="40"/>
      <c r="B416" s="41" t="s">
        <v>503</v>
      </c>
      <c r="C416" s="42" t="s">
        <v>477</v>
      </c>
      <c r="D416" s="43" t="s">
        <v>483</v>
      </c>
      <c r="E416" s="43" t="s">
        <v>504</v>
      </c>
      <c r="F416" s="44" t="s">
        <v>11</v>
      </c>
      <c r="G416" s="45">
        <f>G417</f>
        <v>626.20000000000005</v>
      </c>
      <c r="H416" s="45"/>
      <c r="I416" s="45">
        <f>I417</f>
        <v>626.20000000000005</v>
      </c>
      <c r="J416" s="46">
        <f>J417</f>
        <v>3846.2</v>
      </c>
      <c r="K416" s="45"/>
      <c r="L416" s="46">
        <f>L417</f>
        <v>3846.2</v>
      </c>
      <c r="M416" s="45">
        <f>M417</f>
        <v>4472.3999999999996</v>
      </c>
      <c r="N416" s="45">
        <f>N417</f>
        <v>0</v>
      </c>
      <c r="O416" s="45">
        <f>O417</f>
        <v>4472.3999999999996</v>
      </c>
    </row>
    <row r="417" spans="1:15" ht="36" customHeight="1" x14ac:dyDescent="0.2">
      <c r="A417" s="40"/>
      <c r="B417" s="41" t="s">
        <v>95</v>
      </c>
      <c r="C417" s="42" t="s">
        <v>477</v>
      </c>
      <c r="D417" s="43" t="s">
        <v>483</v>
      </c>
      <c r="E417" s="43" t="s">
        <v>504</v>
      </c>
      <c r="F417" s="44" t="s">
        <v>96</v>
      </c>
      <c r="G417" s="45">
        <v>626.20000000000005</v>
      </c>
      <c r="H417" s="45"/>
      <c r="I417" s="45">
        <v>626.20000000000005</v>
      </c>
      <c r="J417" s="47">
        <v>3846.2</v>
      </c>
      <c r="K417" s="45"/>
      <c r="L417" s="47">
        <v>3846.2</v>
      </c>
      <c r="M417" s="45">
        <f>626.2+J417</f>
        <v>4472.3999999999996</v>
      </c>
      <c r="N417" s="45"/>
      <c r="O417" s="45">
        <f>626.2+L417</f>
        <v>4472.3999999999996</v>
      </c>
    </row>
    <row r="418" spans="1:15" ht="36" customHeight="1" x14ac:dyDescent="0.2">
      <c r="A418" s="40"/>
      <c r="B418" s="56" t="s">
        <v>505</v>
      </c>
      <c r="C418" s="42">
        <v>993</v>
      </c>
      <c r="D418" s="43" t="s">
        <v>483</v>
      </c>
      <c r="E418" s="43" t="s">
        <v>506</v>
      </c>
      <c r="F418" s="44"/>
      <c r="G418" s="45">
        <v>254.4</v>
      </c>
      <c r="H418" s="45"/>
      <c r="I418" s="45">
        <v>254.4</v>
      </c>
      <c r="J418" s="47">
        <v>1562.5</v>
      </c>
      <c r="K418" s="45"/>
      <c r="L418" s="47">
        <v>1562.5</v>
      </c>
      <c r="M418" s="45">
        <f>254.4+J418</f>
        <v>1816.9</v>
      </c>
      <c r="N418" s="45"/>
      <c r="O418" s="45">
        <f>254.4+L418</f>
        <v>1816.9</v>
      </c>
    </row>
    <row r="419" spans="1:15" ht="36" customHeight="1" x14ac:dyDescent="0.2">
      <c r="A419" s="40"/>
      <c r="B419" s="56" t="s">
        <v>507</v>
      </c>
      <c r="C419" s="42">
        <v>993</v>
      </c>
      <c r="D419" s="43" t="s">
        <v>483</v>
      </c>
      <c r="E419" s="43" t="s">
        <v>508</v>
      </c>
      <c r="F419" s="44"/>
      <c r="G419" s="45">
        <v>254.4</v>
      </c>
      <c r="H419" s="45"/>
      <c r="I419" s="45">
        <v>254.4</v>
      </c>
      <c r="J419" s="47">
        <v>1562.5</v>
      </c>
      <c r="K419" s="45"/>
      <c r="L419" s="47">
        <v>1562.5</v>
      </c>
      <c r="M419" s="45">
        <f>254.4+J419</f>
        <v>1816.9</v>
      </c>
      <c r="N419" s="45"/>
      <c r="O419" s="45">
        <f>254.4+L419</f>
        <v>1816.9</v>
      </c>
    </row>
    <row r="420" spans="1:15" ht="36" customHeight="1" x14ac:dyDescent="0.2">
      <c r="A420" s="40"/>
      <c r="B420" s="41" t="s">
        <v>95</v>
      </c>
      <c r="C420" s="42">
        <v>993</v>
      </c>
      <c r="D420" s="43" t="s">
        <v>483</v>
      </c>
      <c r="E420" s="43" t="s">
        <v>508</v>
      </c>
      <c r="F420" s="44">
        <v>600</v>
      </c>
      <c r="G420" s="45">
        <v>254.4</v>
      </c>
      <c r="H420" s="38"/>
      <c r="I420" s="45">
        <v>254.4</v>
      </c>
      <c r="J420" s="47">
        <v>1562.5</v>
      </c>
      <c r="K420" s="38"/>
      <c r="L420" s="47">
        <v>1562.5</v>
      </c>
      <c r="M420" s="45">
        <f>254.4+J420</f>
        <v>1816.9</v>
      </c>
      <c r="N420" s="45"/>
      <c r="O420" s="45">
        <f>254.4+L420</f>
        <v>1816.9</v>
      </c>
    </row>
    <row r="421" spans="1:15" ht="15.75" x14ac:dyDescent="0.2">
      <c r="A421" s="33" t="s">
        <v>509</v>
      </c>
      <c r="B421" s="34" t="s">
        <v>510</v>
      </c>
      <c r="C421" s="35" t="s">
        <v>477</v>
      </c>
      <c r="D421" s="36" t="s">
        <v>511</v>
      </c>
      <c r="E421" s="36" t="s">
        <v>11</v>
      </c>
      <c r="F421" s="37" t="s">
        <v>11</v>
      </c>
      <c r="G421" s="38">
        <f t="shared" ref="G421:O425" si="64">G422</f>
        <v>10735.7</v>
      </c>
      <c r="H421" s="45">
        <f t="shared" si="64"/>
        <v>0</v>
      </c>
      <c r="I421" s="38">
        <f t="shared" si="64"/>
        <v>10735.7</v>
      </c>
      <c r="J421" s="39">
        <f t="shared" si="64"/>
        <v>0</v>
      </c>
      <c r="K421" s="45">
        <f>K422</f>
        <v>0</v>
      </c>
      <c r="L421" s="39">
        <f t="shared" si="64"/>
        <v>0</v>
      </c>
      <c r="M421" s="38">
        <f t="shared" si="64"/>
        <v>10735.7</v>
      </c>
      <c r="N421" s="38">
        <f t="shared" si="64"/>
        <v>0</v>
      </c>
      <c r="O421" s="38">
        <f t="shared" si="64"/>
        <v>10735.7</v>
      </c>
    </row>
    <row r="422" spans="1:15" ht="31.5" x14ac:dyDescent="0.2">
      <c r="A422" s="40"/>
      <c r="B422" s="41" t="s">
        <v>484</v>
      </c>
      <c r="C422" s="42" t="s">
        <v>477</v>
      </c>
      <c r="D422" s="43" t="s">
        <v>511</v>
      </c>
      <c r="E422" s="43" t="s">
        <v>485</v>
      </c>
      <c r="F422" s="44" t="s">
        <v>11</v>
      </c>
      <c r="G422" s="45">
        <f t="shared" si="64"/>
        <v>10735.7</v>
      </c>
      <c r="H422" s="45">
        <f t="shared" si="64"/>
        <v>0</v>
      </c>
      <c r="I422" s="45">
        <f t="shared" si="64"/>
        <v>10735.7</v>
      </c>
      <c r="J422" s="46">
        <f t="shared" si="64"/>
        <v>0</v>
      </c>
      <c r="K422" s="45">
        <f>K423</f>
        <v>0</v>
      </c>
      <c r="L422" s="46">
        <f t="shared" si="64"/>
        <v>0</v>
      </c>
      <c r="M422" s="45">
        <f t="shared" si="64"/>
        <v>10735.7</v>
      </c>
      <c r="N422" s="45">
        <f t="shared" si="64"/>
        <v>0</v>
      </c>
      <c r="O422" s="45">
        <f t="shared" si="64"/>
        <v>10735.7</v>
      </c>
    </row>
    <row r="423" spans="1:15" ht="47.25" x14ac:dyDescent="0.2">
      <c r="A423" s="40"/>
      <c r="B423" s="41" t="s">
        <v>495</v>
      </c>
      <c r="C423" s="42" t="s">
        <v>477</v>
      </c>
      <c r="D423" s="43" t="s">
        <v>511</v>
      </c>
      <c r="E423" s="43" t="s">
        <v>496</v>
      </c>
      <c r="F423" s="44" t="s">
        <v>11</v>
      </c>
      <c r="G423" s="45">
        <f t="shared" si="64"/>
        <v>10735.7</v>
      </c>
      <c r="H423" s="45">
        <f t="shared" si="64"/>
        <v>0</v>
      </c>
      <c r="I423" s="45">
        <f t="shared" si="64"/>
        <v>10735.7</v>
      </c>
      <c r="J423" s="46">
        <f t="shared" si="64"/>
        <v>0</v>
      </c>
      <c r="K423" s="45">
        <f>K424</f>
        <v>0</v>
      </c>
      <c r="L423" s="46">
        <f t="shared" si="64"/>
        <v>0</v>
      </c>
      <c r="M423" s="45">
        <f t="shared" si="64"/>
        <v>10735.7</v>
      </c>
      <c r="N423" s="45">
        <f t="shared" si="64"/>
        <v>0</v>
      </c>
      <c r="O423" s="45">
        <f t="shared" si="64"/>
        <v>10735.7</v>
      </c>
    </row>
    <row r="424" spans="1:15" ht="47.25" x14ac:dyDescent="0.2">
      <c r="A424" s="40"/>
      <c r="B424" s="41" t="s">
        <v>497</v>
      </c>
      <c r="C424" s="42" t="s">
        <v>477</v>
      </c>
      <c r="D424" s="43" t="s">
        <v>511</v>
      </c>
      <c r="E424" s="43" t="s">
        <v>498</v>
      </c>
      <c r="F424" s="44" t="s">
        <v>11</v>
      </c>
      <c r="G424" s="45">
        <f t="shared" si="64"/>
        <v>10735.7</v>
      </c>
      <c r="H424" s="45">
        <f t="shared" si="64"/>
        <v>0</v>
      </c>
      <c r="I424" s="45">
        <f t="shared" si="64"/>
        <v>10735.7</v>
      </c>
      <c r="J424" s="46">
        <f t="shared" si="64"/>
        <v>0</v>
      </c>
      <c r="K424" s="45">
        <f>K425</f>
        <v>0</v>
      </c>
      <c r="L424" s="46">
        <f t="shared" si="64"/>
        <v>0</v>
      </c>
      <c r="M424" s="45">
        <f t="shared" si="64"/>
        <v>10735.7</v>
      </c>
      <c r="N424" s="45">
        <f t="shared" si="64"/>
        <v>0</v>
      </c>
      <c r="O424" s="45">
        <f t="shared" si="64"/>
        <v>10735.7</v>
      </c>
    </row>
    <row r="425" spans="1:15" ht="31.5" x14ac:dyDescent="0.2">
      <c r="A425" s="40"/>
      <c r="B425" s="41" t="s">
        <v>134</v>
      </c>
      <c r="C425" s="42" t="s">
        <v>477</v>
      </c>
      <c r="D425" s="43" t="s">
        <v>511</v>
      </c>
      <c r="E425" s="43" t="s">
        <v>499</v>
      </c>
      <c r="F425" s="44" t="s">
        <v>11</v>
      </c>
      <c r="G425" s="45">
        <f>G426</f>
        <v>10735.7</v>
      </c>
      <c r="H425" s="45"/>
      <c r="I425" s="45">
        <f>I426</f>
        <v>10735.7</v>
      </c>
      <c r="J425" s="46">
        <f t="shared" si="64"/>
        <v>0</v>
      </c>
      <c r="K425" s="45"/>
      <c r="L425" s="46">
        <f t="shared" si="64"/>
        <v>0</v>
      </c>
      <c r="M425" s="45">
        <f t="shared" si="64"/>
        <v>10735.7</v>
      </c>
      <c r="N425" s="45">
        <f t="shared" si="64"/>
        <v>0</v>
      </c>
      <c r="O425" s="45">
        <f t="shared" si="64"/>
        <v>10735.7</v>
      </c>
    </row>
    <row r="426" spans="1:15" ht="36.6" customHeight="1" x14ac:dyDescent="0.2">
      <c r="A426" s="40"/>
      <c r="B426" s="41" t="s">
        <v>95</v>
      </c>
      <c r="C426" s="42" t="s">
        <v>477</v>
      </c>
      <c r="D426" s="43" t="s">
        <v>511</v>
      </c>
      <c r="E426" s="43" t="s">
        <v>499</v>
      </c>
      <c r="F426" s="44" t="s">
        <v>96</v>
      </c>
      <c r="G426" s="45">
        <f>10735700/1000</f>
        <v>10735.7</v>
      </c>
      <c r="H426" s="38"/>
      <c r="I426" s="45">
        <f>10735700/1000</f>
        <v>10735.7</v>
      </c>
      <c r="J426" s="47">
        <v>0</v>
      </c>
      <c r="K426" s="38"/>
      <c r="L426" s="47">
        <v>0</v>
      </c>
      <c r="M426" s="45">
        <f>10735700/1000</f>
        <v>10735.7</v>
      </c>
      <c r="N426" s="45"/>
      <c r="O426" s="45">
        <f>10735700/1000</f>
        <v>10735.7</v>
      </c>
    </row>
    <row r="427" spans="1:15" ht="31.5" x14ac:dyDescent="0.2">
      <c r="A427" s="33" t="s">
        <v>512</v>
      </c>
      <c r="B427" s="34" t="s">
        <v>513</v>
      </c>
      <c r="C427" s="35" t="s">
        <v>477</v>
      </c>
      <c r="D427" s="36" t="s">
        <v>514</v>
      </c>
      <c r="E427" s="36" t="s">
        <v>11</v>
      </c>
      <c r="F427" s="37" t="s">
        <v>11</v>
      </c>
      <c r="G427" s="38">
        <f>G428</f>
        <v>16307.699999999999</v>
      </c>
      <c r="H427" s="45">
        <f>H428+H438</f>
        <v>0</v>
      </c>
      <c r="I427" s="38">
        <f>I428</f>
        <v>16307.699999999999</v>
      </c>
      <c r="J427" s="39">
        <f>J428</f>
        <v>0</v>
      </c>
      <c r="K427" s="45">
        <f>K428+K438</f>
        <v>0</v>
      </c>
      <c r="L427" s="39">
        <f>L428</f>
        <v>0</v>
      </c>
      <c r="M427" s="38">
        <f>M428</f>
        <v>16307.699999999999</v>
      </c>
      <c r="N427" s="38">
        <f>N428</f>
        <v>0</v>
      </c>
      <c r="O427" s="38">
        <f>O428</f>
        <v>16307.699999999999</v>
      </c>
    </row>
    <row r="428" spans="1:15" ht="31.5" x14ac:dyDescent="0.2">
      <c r="A428" s="40"/>
      <c r="B428" s="41" t="s">
        <v>484</v>
      </c>
      <c r="C428" s="42" t="s">
        <v>477</v>
      </c>
      <c r="D428" s="43" t="s">
        <v>514</v>
      </c>
      <c r="E428" s="43" t="s">
        <v>485</v>
      </c>
      <c r="F428" s="44" t="s">
        <v>11</v>
      </c>
      <c r="G428" s="45">
        <f>G429+G439</f>
        <v>16307.699999999999</v>
      </c>
      <c r="H428" s="45">
        <f>H429+H433</f>
        <v>0</v>
      </c>
      <c r="I428" s="45">
        <f>I429+I439</f>
        <v>16307.699999999999</v>
      </c>
      <c r="J428" s="46">
        <f>J429+J439</f>
        <v>0</v>
      </c>
      <c r="K428" s="45">
        <f>K429+K433</f>
        <v>0</v>
      </c>
      <c r="L428" s="46">
        <f>L429+L439</f>
        <v>0</v>
      </c>
      <c r="M428" s="45">
        <f>M429+M439</f>
        <v>16307.699999999999</v>
      </c>
      <c r="N428" s="45">
        <f>N429+N439</f>
        <v>0</v>
      </c>
      <c r="O428" s="45">
        <f>O429+O439</f>
        <v>16307.699999999999</v>
      </c>
    </row>
    <row r="429" spans="1:15" ht="47.25" x14ac:dyDescent="0.2">
      <c r="A429" s="40"/>
      <c r="B429" s="41" t="s">
        <v>495</v>
      </c>
      <c r="C429" s="42" t="s">
        <v>477</v>
      </c>
      <c r="D429" s="43" t="s">
        <v>514</v>
      </c>
      <c r="E429" s="43" t="s">
        <v>496</v>
      </c>
      <c r="F429" s="44" t="s">
        <v>11</v>
      </c>
      <c r="G429" s="45">
        <f>G430+G434</f>
        <v>14441.8</v>
      </c>
      <c r="H429" s="45">
        <f>H430+H434</f>
        <v>0</v>
      </c>
      <c r="I429" s="45">
        <f>I430+I434</f>
        <v>14441.8</v>
      </c>
      <c r="J429" s="46">
        <f>J430+J434</f>
        <v>0</v>
      </c>
      <c r="K429" s="45">
        <f>K430</f>
        <v>0</v>
      </c>
      <c r="L429" s="46">
        <f>L430+L434</f>
        <v>0</v>
      </c>
      <c r="M429" s="45">
        <f>M430+M434</f>
        <v>14441.8</v>
      </c>
      <c r="N429" s="45">
        <f>N430+N434</f>
        <v>0</v>
      </c>
      <c r="O429" s="45">
        <f>O430+O434</f>
        <v>14441.8</v>
      </c>
    </row>
    <row r="430" spans="1:15" ht="47.25" x14ac:dyDescent="0.2">
      <c r="A430" s="40"/>
      <c r="B430" s="41" t="s">
        <v>497</v>
      </c>
      <c r="C430" s="42" t="s">
        <v>477</v>
      </c>
      <c r="D430" s="43" t="s">
        <v>514</v>
      </c>
      <c r="E430" s="43" t="s">
        <v>498</v>
      </c>
      <c r="F430" s="44" t="s">
        <v>11</v>
      </c>
      <c r="G430" s="45">
        <f>G431</f>
        <v>4730.5999999999995</v>
      </c>
      <c r="H430" s="45">
        <f>H431+H432</f>
        <v>0</v>
      </c>
      <c r="I430" s="45">
        <f>I431</f>
        <v>4730.5999999999995</v>
      </c>
      <c r="J430" s="46">
        <f>J431</f>
        <v>0</v>
      </c>
      <c r="K430" s="45">
        <f>K431+K432</f>
        <v>0</v>
      </c>
      <c r="L430" s="46">
        <f>L431</f>
        <v>0</v>
      </c>
      <c r="M430" s="45">
        <f>M431</f>
        <v>4730.5999999999995</v>
      </c>
      <c r="N430" s="45">
        <f>N431</f>
        <v>0</v>
      </c>
      <c r="O430" s="45">
        <f>O431</f>
        <v>4730.5999999999995</v>
      </c>
    </row>
    <row r="431" spans="1:15" ht="31.5" x14ac:dyDescent="0.2">
      <c r="A431" s="40"/>
      <c r="B431" s="41" t="s">
        <v>134</v>
      </c>
      <c r="C431" s="42" t="s">
        <v>477</v>
      </c>
      <c r="D431" s="43" t="s">
        <v>514</v>
      </c>
      <c r="E431" s="43" t="s">
        <v>499</v>
      </c>
      <c r="F431" s="44" t="s">
        <v>11</v>
      </c>
      <c r="G431" s="45">
        <f>G432+G433</f>
        <v>4730.5999999999995</v>
      </c>
      <c r="H431" s="45">
        <f>SUM(H433)</f>
        <v>0</v>
      </c>
      <c r="I431" s="45">
        <f>I432+I433</f>
        <v>4730.5999999999995</v>
      </c>
      <c r="J431" s="46">
        <f>J432+J433</f>
        <v>0</v>
      </c>
      <c r="K431" s="45"/>
      <c r="L431" s="46">
        <f>L432+L433</f>
        <v>0</v>
      </c>
      <c r="M431" s="45">
        <f>M432+M433</f>
        <v>4730.5999999999995</v>
      </c>
      <c r="N431" s="45">
        <f>N432+N433</f>
        <v>0</v>
      </c>
      <c r="O431" s="45">
        <f>O432+O433</f>
        <v>4730.5999999999995</v>
      </c>
    </row>
    <row r="432" spans="1:15" ht="78.75" x14ac:dyDescent="0.2">
      <c r="A432" s="40"/>
      <c r="B432" s="41" t="s">
        <v>61</v>
      </c>
      <c r="C432" s="42" t="s">
        <v>477</v>
      </c>
      <c r="D432" s="43" t="s">
        <v>514</v>
      </c>
      <c r="E432" s="43" t="s">
        <v>499</v>
      </c>
      <c r="F432" s="44" t="s">
        <v>62</v>
      </c>
      <c r="G432" s="45">
        <f>3786600/1000+351.1</f>
        <v>4137.7</v>
      </c>
      <c r="H432" s="45"/>
      <c r="I432" s="45">
        <f>3786600/1000+351.1</f>
        <v>4137.7</v>
      </c>
      <c r="J432" s="47"/>
      <c r="K432" s="45"/>
      <c r="L432" s="47"/>
      <c r="M432" s="45">
        <f>3786600/1000+351.1</f>
        <v>4137.7</v>
      </c>
      <c r="N432" s="45"/>
      <c r="O432" s="45">
        <f>3786600/1000+351.1</f>
        <v>4137.7</v>
      </c>
    </row>
    <row r="433" spans="1:16" ht="31.5" x14ac:dyDescent="0.2">
      <c r="A433" s="40"/>
      <c r="B433" s="41" t="s">
        <v>40</v>
      </c>
      <c r="C433" s="42" t="s">
        <v>477</v>
      </c>
      <c r="D433" s="43" t="s">
        <v>514</v>
      </c>
      <c r="E433" s="43" t="s">
        <v>499</v>
      </c>
      <c r="F433" s="44" t="s">
        <v>41</v>
      </c>
      <c r="G433" s="45">
        <v>592.9</v>
      </c>
      <c r="H433" s="45"/>
      <c r="I433" s="45">
        <f>SUM(G433+H433)</f>
        <v>592.9</v>
      </c>
      <c r="J433" s="47"/>
      <c r="K433" s="45"/>
      <c r="L433" s="47"/>
      <c r="M433" s="45">
        <f>SUM(G433)</f>
        <v>592.9</v>
      </c>
      <c r="N433" s="45">
        <f>SUM(H433)</f>
        <v>0</v>
      </c>
      <c r="O433" s="45">
        <f>SUM(M433+N433)</f>
        <v>592.9</v>
      </c>
    </row>
    <row r="434" spans="1:16" ht="47.25" x14ac:dyDescent="0.2">
      <c r="A434" s="40"/>
      <c r="B434" s="41" t="s">
        <v>515</v>
      </c>
      <c r="C434" s="42" t="s">
        <v>477</v>
      </c>
      <c r="D434" s="43" t="s">
        <v>514</v>
      </c>
      <c r="E434" s="43" t="s">
        <v>516</v>
      </c>
      <c r="F434" s="44" t="s">
        <v>11</v>
      </c>
      <c r="G434" s="45">
        <f>G435</f>
        <v>9711.2000000000007</v>
      </c>
      <c r="H434" s="45">
        <f>H435</f>
        <v>0</v>
      </c>
      <c r="I434" s="45">
        <f>I435</f>
        <v>9711.2000000000007</v>
      </c>
      <c r="J434" s="46">
        <f>J435</f>
        <v>0</v>
      </c>
      <c r="K434" s="45">
        <f>K435+K436+K437</f>
        <v>0</v>
      </c>
      <c r="L434" s="46">
        <f>L435</f>
        <v>0</v>
      </c>
      <c r="M434" s="45">
        <f>M435</f>
        <v>9711.2000000000007</v>
      </c>
      <c r="N434" s="45">
        <f>N435</f>
        <v>0</v>
      </c>
      <c r="O434" s="45">
        <f>O435</f>
        <v>9711.2000000000007</v>
      </c>
    </row>
    <row r="435" spans="1:16" ht="31.5" x14ac:dyDescent="0.2">
      <c r="A435" s="40"/>
      <c r="B435" s="41" t="s">
        <v>134</v>
      </c>
      <c r="C435" s="42" t="s">
        <v>477</v>
      </c>
      <c r="D435" s="43" t="s">
        <v>514</v>
      </c>
      <c r="E435" s="43" t="s">
        <v>517</v>
      </c>
      <c r="F435" s="44" t="s">
        <v>11</v>
      </c>
      <c r="G435" s="45">
        <f>G436+G437+G438</f>
        <v>9711.2000000000007</v>
      </c>
      <c r="H435" s="45">
        <f>SUM(H436+H437)</f>
        <v>0</v>
      </c>
      <c r="I435" s="45">
        <f>I436+I437+I438</f>
        <v>9711.2000000000007</v>
      </c>
      <c r="J435" s="46">
        <f>J436+J437+J438</f>
        <v>0</v>
      </c>
      <c r="K435" s="45"/>
      <c r="L435" s="46">
        <f>L436+L437+L438</f>
        <v>0</v>
      </c>
      <c r="M435" s="45">
        <f>M436+M437+M438</f>
        <v>9711.2000000000007</v>
      </c>
      <c r="N435" s="45">
        <f>N436+N437+N438</f>
        <v>0</v>
      </c>
      <c r="O435" s="45">
        <f>O436+O437+O438</f>
        <v>9711.2000000000007</v>
      </c>
    </row>
    <row r="436" spans="1:16" ht="78.75" x14ac:dyDescent="0.2">
      <c r="A436" s="40"/>
      <c r="B436" s="41" t="s">
        <v>61</v>
      </c>
      <c r="C436" s="42" t="s">
        <v>477</v>
      </c>
      <c r="D436" s="43" t="s">
        <v>514</v>
      </c>
      <c r="E436" s="43" t="s">
        <v>517</v>
      </c>
      <c r="F436" s="44" t="s">
        <v>62</v>
      </c>
      <c r="G436" s="45">
        <v>8283.2000000000007</v>
      </c>
      <c r="H436" s="45"/>
      <c r="I436" s="45">
        <f>SUM(G436)</f>
        <v>8283.2000000000007</v>
      </c>
      <c r="J436" s="47">
        <v>0</v>
      </c>
      <c r="K436" s="45"/>
      <c r="L436" s="47">
        <v>0</v>
      </c>
      <c r="M436" s="45">
        <f t="shared" ref="M436:O437" si="65">SUM(G436)</f>
        <v>8283.2000000000007</v>
      </c>
      <c r="N436" s="45">
        <f t="shared" si="65"/>
        <v>0</v>
      </c>
      <c r="O436" s="45">
        <f t="shared" si="65"/>
        <v>8283.2000000000007</v>
      </c>
    </row>
    <row r="437" spans="1:16" ht="31.5" x14ac:dyDescent="0.2">
      <c r="A437" s="40"/>
      <c r="B437" s="41" t="s">
        <v>40</v>
      </c>
      <c r="C437" s="42" t="s">
        <v>477</v>
      </c>
      <c r="D437" s="43" t="s">
        <v>514</v>
      </c>
      <c r="E437" s="43" t="s">
        <v>517</v>
      </c>
      <c r="F437" s="44" t="s">
        <v>41</v>
      </c>
      <c r="G437" s="45">
        <v>1426.9</v>
      </c>
      <c r="H437" s="45"/>
      <c r="I437" s="45">
        <f>SUM(G437)</f>
        <v>1426.9</v>
      </c>
      <c r="J437" s="47">
        <v>0</v>
      </c>
      <c r="K437" s="45"/>
      <c r="L437" s="47">
        <v>0</v>
      </c>
      <c r="M437" s="45">
        <f t="shared" si="65"/>
        <v>1426.9</v>
      </c>
      <c r="N437" s="45">
        <f t="shared" si="65"/>
        <v>0</v>
      </c>
      <c r="O437" s="45">
        <f t="shared" si="65"/>
        <v>1426.9</v>
      </c>
    </row>
    <row r="438" spans="1:16" ht="15.75" x14ac:dyDescent="0.2">
      <c r="A438" s="40"/>
      <c r="B438" s="41" t="s">
        <v>70</v>
      </c>
      <c r="C438" s="42" t="s">
        <v>477</v>
      </c>
      <c r="D438" s="43" t="s">
        <v>514</v>
      </c>
      <c r="E438" s="43" t="s">
        <v>517</v>
      </c>
      <c r="F438" s="44" t="s">
        <v>71</v>
      </c>
      <c r="G438" s="45">
        <f>1100/1000</f>
        <v>1.1000000000000001</v>
      </c>
      <c r="H438" s="45"/>
      <c r="I438" s="45">
        <f>1100/1000</f>
        <v>1.1000000000000001</v>
      </c>
      <c r="J438" s="47">
        <v>0</v>
      </c>
      <c r="K438" s="45"/>
      <c r="L438" s="47">
        <v>0</v>
      </c>
      <c r="M438" s="45">
        <f>1100/1000</f>
        <v>1.1000000000000001</v>
      </c>
      <c r="N438" s="45"/>
      <c r="O438" s="45">
        <f>1100/1000</f>
        <v>1.1000000000000001</v>
      </c>
    </row>
    <row r="439" spans="1:16" ht="31.5" x14ac:dyDescent="0.2">
      <c r="A439" s="40"/>
      <c r="B439" s="41" t="s">
        <v>518</v>
      </c>
      <c r="C439" s="42" t="s">
        <v>477</v>
      </c>
      <c r="D439" s="43" t="s">
        <v>514</v>
      </c>
      <c r="E439" s="43" t="s">
        <v>519</v>
      </c>
      <c r="F439" s="44" t="s">
        <v>11</v>
      </c>
      <c r="G439" s="45">
        <f t="shared" ref="G439:O440" si="66">G440</f>
        <v>1865.9</v>
      </c>
      <c r="H439" s="45">
        <f t="shared" si="66"/>
        <v>0</v>
      </c>
      <c r="I439" s="45">
        <f t="shared" si="66"/>
        <v>1865.9</v>
      </c>
      <c r="J439" s="46">
        <f t="shared" si="66"/>
        <v>0</v>
      </c>
      <c r="K439" s="45">
        <f t="shared" si="66"/>
        <v>0</v>
      </c>
      <c r="L439" s="46">
        <f t="shared" si="66"/>
        <v>0</v>
      </c>
      <c r="M439" s="45">
        <f t="shared" si="66"/>
        <v>1865.9</v>
      </c>
      <c r="N439" s="45">
        <f t="shared" si="66"/>
        <v>0</v>
      </c>
      <c r="O439" s="45">
        <f t="shared" si="66"/>
        <v>1865.9</v>
      </c>
    </row>
    <row r="440" spans="1:16" ht="31.5" x14ac:dyDescent="0.2">
      <c r="A440" s="40"/>
      <c r="B440" s="41" t="s">
        <v>520</v>
      </c>
      <c r="C440" s="42" t="s">
        <v>477</v>
      </c>
      <c r="D440" s="43" t="s">
        <v>514</v>
      </c>
      <c r="E440" s="43" t="s">
        <v>521</v>
      </c>
      <c r="F440" s="44" t="s">
        <v>11</v>
      </c>
      <c r="G440" s="45">
        <f t="shared" si="66"/>
        <v>1865.9</v>
      </c>
      <c r="H440" s="45">
        <f>H441+H442</f>
        <v>0</v>
      </c>
      <c r="I440" s="45">
        <f t="shared" si="66"/>
        <v>1865.9</v>
      </c>
      <c r="J440" s="46">
        <f t="shared" si="66"/>
        <v>0</v>
      </c>
      <c r="K440" s="45">
        <f>K441+K442</f>
        <v>0</v>
      </c>
      <c r="L440" s="46">
        <f t="shared" si="66"/>
        <v>0</v>
      </c>
      <c r="M440" s="45">
        <f t="shared" si="66"/>
        <v>1865.9</v>
      </c>
      <c r="N440" s="45">
        <f t="shared" si="66"/>
        <v>0</v>
      </c>
      <c r="O440" s="45">
        <f t="shared" si="66"/>
        <v>1865.9</v>
      </c>
    </row>
    <row r="441" spans="1:16" ht="31.5" x14ac:dyDescent="0.2">
      <c r="A441" s="40"/>
      <c r="B441" s="41" t="s">
        <v>38</v>
      </c>
      <c r="C441" s="42" t="s">
        <v>477</v>
      </c>
      <c r="D441" s="43" t="s">
        <v>514</v>
      </c>
      <c r="E441" s="43" t="s">
        <v>522</v>
      </c>
      <c r="F441" s="44" t="s">
        <v>11</v>
      </c>
      <c r="G441" s="45">
        <f>G442+G443</f>
        <v>1865.9</v>
      </c>
      <c r="H441" s="45"/>
      <c r="I441" s="45">
        <f>I442+I443</f>
        <v>1865.9</v>
      </c>
      <c r="J441" s="46">
        <f>J442+J443</f>
        <v>0</v>
      </c>
      <c r="K441" s="45"/>
      <c r="L441" s="46">
        <f>L442+L443</f>
        <v>0</v>
      </c>
      <c r="M441" s="45">
        <f>M442+M443</f>
        <v>1865.9</v>
      </c>
      <c r="N441" s="45">
        <f>N442+N443</f>
        <v>0</v>
      </c>
      <c r="O441" s="45">
        <f>O442+O443</f>
        <v>1865.9</v>
      </c>
    </row>
    <row r="442" spans="1:16" ht="78.75" x14ac:dyDescent="0.2">
      <c r="A442" s="40"/>
      <c r="B442" s="41" t="s">
        <v>61</v>
      </c>
      <c r="C442" s="42" t="s">
        <v>477</v>
      </c>
      <c r="D442" s="43" t="s">
        <v>514</v>
      </c>
      <c r="E442" s="43" t="s">
        <v>522</v>
      </c>
      <c r="F442" s="44" t="s">
        <v>62</v>
      </c>
      <c r="G442" s="45">
        <f>1855900/1000</f>
        <v>1855.9</v>
      </c>
      <c r="H442" s="45"/>
      <c r="I442" s="45">
        <f>1855900/1000</f>
        <v>1855.9</v>
      </c>
      <c r="J442" s="47">
        <v>0</v>
      </c>
      <c r="K442" s="45"/>
      <c r="L442" s="47">
        <v>0</v>
      </c>
      <c r="M442" s="45">
        <f>1855900/1000</f>
        <v>1855.9</v>
      </c>
      <c r="N442" s="45"/>
      <c r="O442" s="45">
        <f>1855900/1000</f>
        <v>1855.9</v>
      </c>
    </row>
    <row r="443" spans="1:16" ht="31.5" x14ac:dyDescent="0.2">
      <c r="A443" s="40"/>
      <c r="B443" s="41" t="s">
        <v>40</v>
      </c>
      <c r="C443" s="42" t="s">
        <v>477</v>
      </c>
      <c r="D443" s="43" t="s">
        <v>514</v>
      </c>
      <c r="E443" s="43" t="s">
        <v>522</v>
      </c>
      <c r="F443" s="44" t="s">
        <v>41</v>
      </c>
      <c r="G443" s="45">
        <f>10000/1000</f>
        <v>10</v>
      </c>
      <c r="H443" s="25"/>
      <c r="I443" s="45">
        <f>10000/1000</f>
        <v>10</v>
      </c>
      <c r="J443" s="47">
        <v>0</v>
      </c>
      <c r="K443" s="25"/>
      <c r="L443" s="47">
        <v>0</v>
      </c>
      <c r="M443" s="45">
        <f>10000/1000</f>
        <v>10</v>
      </c>
      <c r="N443" s="45"/>
      <c r="O443" s="45">
        <f>10000/1000</f>
        <v>10</v>
      </c>
    </row>
    <row r="444" spans="1:16" ht="47.25" x14ac:dyDescent="0.2">
      <c r="A444" s="20" t="s">
        <v>523</v>
      </c>
      <c r="B444" s="21" t="s">
        <v>524</v>
      </c>
      <c r="C444" s="22" t="s">
        <v>525</v>
      </c>
      <c r="D444" s="23" t="s">
        <v>11</v>
      </c>
      <c r="E444" s="23" t="s">
        <v>11</v>
      </c>
      <c r="F444" s="24" t="s">
        <v>11</v>
      </c>
      <c r="G444" s="25">
        <f>G445+G457</f>
        <v>15410</v>
      </c>
      <c r="H444" s="25">
        <f>H445</f>
        <v>0</v>
      </c>
      <c r="I444" s="25">
        <f>I445+I457</f>
        <v>15410</v>
      </c>
      <c r="J444" s="26">
        <f>J445+J457</f>
        <v>0</v>
      </c>
      <c r="K444" s="25">
        <f>K445</f>
        <v>0</v>
      </c>
      <c r="L444" s="26">
        <f>L445+L457</f>
        <v>0</v>
      </c>
      <c r="M444" s="25">
        <f>M445+M457</f>
        <v>15410</v>
      </c>
      <c r="N444" s="25">
        <f>N445+N457</f>
        <v>0</v>
      </c>
      <c r="O444" s="25">
        <f>O445+O457</f>
        <v>15410</v>
      </c>
      <c r="P444" s="19"/>
    </row>
    <row r="445" spans="1:16" ht="15.75" x14ac:dyDescent="0.2">
      <c r="A445" s="20" t="s">
        <v>526</v>
      </c>
      <c r="B445" s="21" t="s">
        <v>30</v>
      </c>
      <c r="C445" s="22" t="s">
        <v>525</v>
      </c>
      <c r="D445" s="23" t="s">
        <v>31</v>
      </c>
      <c r="E445" s="23" t="s">
        <v>11</v>
      </c>
      <c r="F445" s="24" t="s">
        <v>11</v>
      </c>
      <c r="G445" s="25">
        <f>G446</f>
        <v>5065.8999999999996</v>
      </c>
      <c r="H445" s="38">
        <f>H446</f>
        <v>0</v>
      </c>
      <c r="I445" s="25">
        <f>I446</f>
        <v>5065.8999999999996</v>
      </c>
      <c r="J445" s="26">
        <f t="shared" ref="J445:O447" si="67">J446</f>
        <v>0</v>
      </c>
      <c r="K445" s="38">
        <f>K446</f>
        <v>0</v>
      </c>
      <c r="L445" s="26">
        <f t="shared" si="67"/>
        <v>0</v>
      </c>
      <c r="M445" s="25">
        <f t="shared" si="67"/>
        <v>5065.8999999999996</v>
      </c>
      <c r="N445" s="25">
        <f t="shared" si="67"/>
        <v>0</v>
      </c>
      <c r="O445" s="25">
        <f t="shared" si="67"/>
        <v>5065.8999999999996</v>
      </c>
    </row>
    <row r="446" spans="1:16" ht="15.75" x14ac:dyDescent="0.2">
      <c r="A446" s="33" t="s">
        <v>527</v>
      </c>
      <c r="B446" s="34" t="s">
        <v>85</v>
      </c>
      <c r="C446" s="35" t="s">
        <v>525</v>
      </c>
      <c r="D446" s="36" t="s">
        <v>86</v>
      </c>
      <c r="E446" s="36" t="s">
        <v>11</v>
      </c>
      <c r="F446" s="37" t="s">
        <v>11</v>
      </c>
      <c r="G446" s="38">
        <f>G447</f>
        <v>5065.8999999999996</v>
      </c>
      <c r="H446" s="45">
        <f>H447</f>
        <v>0</v>
      </c>
      <c r="I446" s="38">
        <f>I447</f>
        <v>5065.8999999999996</v>
      </c>
      <c r="J446" s="39">
        <f t="shared" si="67"/>
        <v>0</v>
      </c>
      <c r="K446" s="45">
        <f>K447</f>
        <v>0</v>
      </c>
      <c r="L446" s="39">
        <f t="shared" si="67"/>
        <v>0</v>
      </c>
      <c r="M446" s="38">
        <f t="shared" si="67"/>
        <v>5065.8999999999996</v>
      </c>
      <c r="N446" s="38">
        <f t="shared" si="67"/>
        <v>0</v>
      </c>
      <c r="O446" s="38">
        <f t="shared" si="67"/>
        <v>5065.8999999999996</v>
      </c>
    </row>
    <row r="447" spans="1:16" ht="31.5" x14ac:dyDescent="0.2">
      <c r="A447" s="40"/>
      <c r="B447" s="41" t="s">
        <v>128</v>
      </c>
      <c r="C447" s="42" t="s">
        <v>525</v>
      </c>
      <c r="D447" s="43" t="s">
        <v>86</v>
      </c>
      <c r="E447" s="43" t="s">
        <v>129</v>
      </c>
      <c r="F447" s="44" t="s">
        <v>11</v>
      </c>
      <c r="G447" s="45">
        <f>G448</f>
        <v>5065.8999999999996</v>
      </c>
      <c r="H447" s="45">
        <f>H448+H452</f>
        <v>0</v>
      </c>
      <c r="I447" s="45">
        <f>I448</f>
        <v>5065.8999999999996</v>
      </c>
      <c r="J447" s="46">
        <f t="shared" si="67"/>
        <v>0</v>
      </c>
      <c r="K447" s="45">
        <f>K448+K452</f>
        <v>0</v>
      </c>
      <c r="L447" s="46">
        <f t="shared" si="67"/>
        <v>0</v>
      </c>
      <c r="M447" s="45">
        <f t="shared" si="67"/>
        <v>5065.8999999999996</v>
      </c>
      <c r="N447" s="45">
        <f t="shared" si="67"/>
        <v>0</v>
      </c>
      <c r="O447" s="45">
        <f t="shared" si="67"/>
        <v>5065.8999999999996</v>
      </c>
    </row>
    <row r="448" spans="1:16" ht="31.5" x14ac:dyDescent="0.2">
      <c r="A448" s="40"/>
      <c r="B448" s="41" t="s">
        <v>528</v>
      </c>
      <c r="C448" s="42" t="s">
        <v>525</v>
      </c>
      <c r="D448" s="43" t="s">
        <v>86</v>
      </c>
      <c r="E448" s="43" t="s">
        <v>529</v>
      </c>
      <c r="F448" s="44" t="s">
        <v>11</v>
      </c>
      <c r="G448" s="45">
        <f>G449+G453</f>
        <v>5065.8999999999996</v>
      </c>
      <c r="H448" s="45">
        <f>H449</f>
        <v>0</v>
      </c>
      <c r="I448" s="45">
        <f>I449+I453</f>
        <v>5065.8999999999996</v>
      </c>
      <c r="J448" s="46">
        <f>J449+J453</f>
        <v>0</v>
      </c>
      <c r="K448" s="45">
        <f>K449</f>
        <v>0</v>
      </c>
      <c r="L448" s="46">
        <f>L449+L453</f>
        <v>0</v>
      </c>
      <c r="M448" s="45">
        <f>M449+M453</f>
        <v>5065.8999999999996</v>
      </c>
      <c r="N448" s="45">
        <f>N449+N453</f>
        <v>0</v>
      </c>
      <c r="O448" s="45">
        <f>O449+O453</f>
        <v>5065.8999999999996</v>
      </c>
    </row>
    <row r="449" spans="1:15" ht="47.25" x14ac:dyDescent="0.2">
      <c r="A449" s="40"/>
      <c r="B449" s="41" t="s">
        <v>530</v>
      </c>
      <c r="C449" s="42" t="s">
        <v>525</v>
      </c>
      <c r="D449" s="43" t="s">
        <v>86</v>
      </c>
      <c r="E449" s="43" t="s">
        <v>531</v>
      </c>
      <c r="F449" s="44" t="s">
        <v>11</v>
      </c>
      <c r="G449" s="45">
        <f>G450</f>
        <v>4150.8999999999996</v>
      </c>
      <c r="H449" s="45"/>
      <c r="I449" s="45">
        <f>I450</f>
        <v>4150.8999999999996</v>
      </c>
      <c r="J449" s="46">
        <f>J450</f>
        <v>0</v>
      </c>
      <c r="K449" s="45"/>
      <c r="L449" s="46">
        <f>L450</f>
        <v>0</v>
      </c>
      <c r="M449" s="45">
        <f>M450</f>
        <v>4150.8999999999996</v>
      </c>
      <c r="N449" s="45">
        <f>N450</f>
        <v>0</v>
      </c>
      <c r="O449" s="45">
        <f>O450</f>
        <v>4150.8999999999996</v>
      </c>
    </row>
    <row r="450" spans="1:15" ht="31.5" x14ac:dyDescent="0.2">
      <c r="A450" s="40"/>
      <c r="B450" s="41" t="s">
        <v>38</v>
      </c>
      <c r="C450" s="42" t="s">
        <v>525</v>
      </c>
      <c r="D450" s="43" t="s">
        <v>86</v>
      </c>
      <c r="E450" s="43" t="s">
        <v>532</v>
      </c>
      <c r="F450" s="44" t="s">
        <v>11</v>
      </c>
      <c r="G450" s="45">
        <f>G451+G452</f>
        <v>4150.8999999999996</v>
      </c>
      <c r="H450" s="45"/>
      <c r="I450" s="45">
        <f>I451+I452</f>
        <v>4150.8999999999996</v>
      </c>
      <c r="J450" s="46">
        <f>J451+J452</f>
        <v>0</v>
      </c>
      <c r="K450" s="45"/>
      <c r="L450" s="46">
        <f>L451+L452</f>
        <v>0</v>
      </c>
      <c r="M450" s="45">
        <f>M451+M452</f>
        <v>4150.8999999999996</v>
      </c>
      <c r="N450" s="45">
        <f>N451+N452</f>
        <v>0</v>
      </c>
      <c r="O450" s="45">
        <f>O451+O452</f>
        <v>4150.8999999999996</v>
      </c>
    </row>
    <row r="451" spans="1:15" ht="78.75" x14ac:dyDescent="0.2">
      <c r="A451" s="40"/>
      <c r="B451" s="41" t="s">
        <v>61</v>
      </c>
      <c r="C451" s="42" t="s">
        <v>525</v>
      </c>
      <c r="D451" s="43" t="s">
        <v>86</v>
      </c>
      <c r="E451" s="43" t="s">
        <v>532</v>
      </c>
      <c r="F451" s="44" t="s">
        <v>62</v>
      </c>
      <c r="G451" s="45">
        <v>4140.8999999999996</v>
      </c>
      <c r="H451" s="45">
        <v>10</v>
      </c>
      <c r="I451" s="45">
        <v>4140.8999999999996</v>
      </c>
      <c r="J451" s="47">
        <v>0</v>
      </c>
      <c r="K451" s="45">
        <v>10</v>
      </c>
      <c r="L451" s="47">
        <v>0</v>
      </c>
      <c r="M451" s="45">
        <v>4140.8999999999996</v>
      </c>
      <c r="N451" s="45"/>
      <c r="O451" s="45">
        <v>4140.8999999999996</v>
      </c>
    </row>
    <row r="452" spans="1:15" ht="31.5" x14ac:dyDescent="0.2">
      <c r="A452" s="40"/>
      <c r="B452" s="41" t="s">
        <v>40</v>
      </c>
      <c r="C452" s="42" t="s">
        <v>525</v>
      </c>
      <c r="D452" s="43" t="s">
        <v>86</v>
      </c>
      <c r="E452" s="43" t="s">
        <v>532</v>
      </c>
      <c r="F452" s="44" t="s">
        <v>41</v>
      </c>
      <c r="G452" s="45">
        <v>10</v>
      </c>
      <c r="H452" s="45">
        <f>H453</f>
        <v>0</v>
      </c>
      <c r="I452" s="45">
        <v>10</v>
      </c>
      <c r="J452" s="47">
        <v>0</v>
      </c>
      <c r="K452" s="45">
        <f>K453</f>
        <v>0</v>
      </c>
      <c r="L452" s="47">
        <v>0</v>
      </c>
      <c r="M452" s="45">
        <v>10</v>
      </c>
      <c r="N452" s="45"/>
      <c r="O452" s="45">
        <v>10</v>
      </c>
    </row>
    <row r="453" spans="1:15" ht="47.25" x14ac:dyDescent="0.2">
      <c r="A453" s="40"/>
      <c r="B453" s="41" t="s">
        <v>533</v>
      </c>
      <c r="C453" s="42" t="s">
        <v>525</v>
      </c>
      <c r="D453" s="43" t="s">
        <v>86</v>
      </c>
      <c r="E453" s="43" t="s">
        <v>534</v>
      </c>
      <c r="F453" s="44" t="s">
        <v>11</v>
      </c>
      <c r="G453" s="45">
        <f>G454</f>
        <v>915</v>
      </c>
      <c r="H453" s="45">
        <f>H454+H455</f>
        <v>0</v>
      </c>
      <c r="I453" s="45">
        <f>I454</f>
        <v>915</v>
      </c>
      <c r="J453" s="46">
        <f>J454</f>
        <v>0</v>
      </c>
      <c r="K453" s="45">
        <f>K454+K455</f>
        <v>0</v>
      </c>
      <c r="L453" s="46">
        <f>L454</f>
        <v>0</v>
      </c>
      <c r="M453" s="45">
        <f>M454</f>
        <v>915</v>
      </c>
      <c r="N453" s="45">
        <f>N454</f>
        <v>0</v>
      </c>
      <c r="O453" s="45">
        <f>O454</f>
        <v>915</v>
      </c>
    </row>
    <row r="454" spans="1:15" ht="47.25" x14ac:dyDescent="0.2">
      <c r="A454" s="40"/>
      <c r="B454" s="41" t="s">
        <v>535</v>
      </c>
      <c r="C454" s="42" t="s">
        <v>525</v>
      </c>
      <c r="D454" s="43" t="s">
        <v>86</v>
      </c>
      <c r="E454" s="43" t="s">
        <v>536</v>
      </c>
      <c r="F454" s="44" t="s">
        <v>11</v>
      </c>
      <c r="G454" s="45">
        <f>G455+G456</f>
        <v>915</v>
      </c>
      <c r="H454" s="45"/>
      <c r="I454" s="45">
        <f>I455+I456</f>
        <v>915</v>
      </c>
      <c r="J454" s="46">
        <f>J455+J456</f>
        <v>0</v>
      </c>
      <c r="K454" s="45"/>
      <c r="L454" s="46">
        <f>L455+L456</f>
        <v>0</v>
      </c>
      <c r="M454" s="45">
        <f>M455+M456</f>
        <v>915</v>
      </c>
      <c r="N454" s="45">
        <f>N455+N456</f>
        <v>0</v>
      </c>
      <c r="O454" s="45">
        <f>O455+O456</f>
        <v>915</v>
      </c>
    </row>
    <row r="455" spans="1:15" ht="31.5" x14ac:dyDescent="0.2">
      <c r="A455" s="40"/>
      <c r="B455" s="41" t="s">
        <v>40</v>
      </c>
      <c r="C455" s="42" t="s">
        <v>525</v>
      </c>
      <c r="D455" s="43" t="s">
        <v>86</v>
      </c>
      <c r="E455" s="43" t="s">
        <v>536</v>
      </c>
      <c r="F455" s="44" t="s">
        <v>41</v>
      </c>
      <c r="G455" s="45">
        <f>900000/1000</f>
        <v>900</v>
      </c>
      <c r="H455" s="45"/>
      <c r="I455" s="45">
        <f>900000/1000</f>
        <v>900</v>
      </c>
      <c r="J455" s="47">
        <v>0</v>
      </c>
      <c r="K455" s="45"/>
      <c r="L455" s="47">
        <v>0</v>
      </c>
      <c r="M455" s="45">
        <f>900000/1000</f>
        <v>900</v>
      </c>
      <c r="N455" s="45"/>
      <c r="O455" s="45">
        <f>900000/1000</f>
        <v>900</v>
      </c>
    </row>
    <row r="456" spans="1:15" ht="15.75" x14ac:dyDescent="0.2">
      <c r="A456" s="40"/>
      <c r="B456" s="41" t="s">
        <v>70</v>
      </c>
      <c r="C456" s="42" t="s">
        <v>525</v>
      </c>
      <c r="D456" s="43" t="s">
        <v>86</v>
      </c>
      <c r="E456" s="43" t="s">
        <v>536</v>
      </c>
      <c r="F456" s="44" t="s">
        <v>71</v>
      </c>
      <c r="G456" s="45">
        <f>15000/1000</f>
        <v>15</v>
      </c>
      <c r="H456" s="25">
        <f t="shared" ref="G456:O462" si="68">H457</f>
        <v>0</v>
      </c>
      <c r="I456" s="45">
        <f>15000/1000</f>
        <v>15</v>
      </c>
      <c r="J456" s="47">
        <v>0</v>
      </c>
      <c r="K456" s="25">
        <f t="shared" si="68"/>
        <v>0</v>
      </c>
      <c r="L456" s="47">
        <v>0</v>
      </c>
      <c r="M456" s="45">
        <f>15000/1000</f>
        <v>15</v>
      </c>
      <c r="N456" s="45"/>
      <c r="O456" s="45">
        <f>15000/1000</f>
        <v>15</v>
      </c>
    </row>
    <row r="457" spans="1:15" ht="15.75" x14ac:dyDescent="0.2">
      <c r="A457" s="20" t="s">
        <v>537</v>
      </c>
      <c r="B457" s="21" t="s">
        <v>213</v>
      </c>
      <c r="C457" s="22" t="s">
        <v>525</v>
      </c>
      <c r="D457" s="23" t="s">
        <v>214</v>
      </c>
      <c r="E457" s="23" t="s">
        <v>11</v>
      </c>
      <c r="F457" s="24" t="s">
        <v>11</v>
      </c>
      <c r="G457" s="25">
        <f t="shared" si="68"/>
        <v>10344.1</v>
      </c>
      <c r="H457" s="38">
        <f t="shared" si="68"/>
        <v>0</v>
      </c>
      <c r="I457" s="25">
        <f t="shared" si="68"/>
        <v>10344.1</v>
      </c>
      <c r="J457" s="26">
        <f t="shared" si="68"/>
        <v>0</v>
      </c>
      <c r="K457" s="38">
        <f t="shared" si="68"/>
        <v>0</v>
      </c>
      <c r="L457" s="26">
        <f t="shared" si="68"/>
        <v>0</v>
      </c>
      <c r="M457" s="25">
        <f t="shared" si="68"/>
        <v>10344.1</v>
      </c>
      <c r="N457" s="25">
        <f t="shared" si="68"/>
        <v>0</v>
      </c>
      <c r="O457" s="25">
        <f t="shared" si="68"/>
        <v>10344.1</v>
      </c>
    </row>
    <row r="458" spans="1:15" ht="26.45" customHeight="1" x14ac:dyDescent="0.2">
      <c r="A458" s="33" t="s">
        <v>538</v>
      </c>
      <c r="B458" s="34" t="s">
        <v>261</v>
      </c>
      <c r="C458" s="35" t="s">
        <v>525</v>
      </c>
      <c r="D458" s="36" t="s">
        <v>262</v>
      </c>
      <c r="E458" s="36" t="s">
        <v>11</v>
      </c>
      <c r="F458" s="37" t="s">
        <v>11</v>
      </c>
      <c r="G458" s="38">
        <f t="shared" si="68"/>
        <v>10344.1</v>
      </c>
      <c r="H458" s="45">
        <f t="shared" si="68"/>
        <v>0</v>
      </c>
      <c r="I458" s="38">
        <f t="shared" si="68"/>
        <v>10344.1</v>
      </c>
      <c r="J458" s="39">
        <f t="shared" si="68"/>
        <v>0</v>
      </c>
      <c r="K458" s="45">
        <f t="shared" si="68"/>
        <v>0</v>
      </c>
      <c r="L458" s="39">
        <f t="shared" si="68"/>
        <v>0</v>
      </c>
      <c r="M458" s="38">
        <f t="shared" si="68"/>
        <v>10344.1</v>
      </c>
      <c r="N458" s="38">
        <f t="shared" si="68"/>
        <v>0</v>
      </c>
      <c r="O458" s="38">
        <f t="shared" si="68"/>
        <v>10344.1</v>
      </c>
    </row>
    <row r="459" spans="1:15" ht="31.5" x14ac:dyDescent="0.2">
      <c r="A459" s="40"/>
      <c r="B459" s="41" t="s">
        <v>128</v>
      </c>
      <c r="C459" s="42" t="s">
        <v>525</v>
      </c>
      <c r="D459" s="43" t="s">
        <v>262</v>
      </c>
      <c r="E459" s="43" t="s">
        <v>129</v>
      </c>
      <c r="F459" s="44" t="s">
        <v>11</v>
      </c>
      <c r="G459" s="45">
        <f t="shared" si="68"/>
        <v>10344.1</v>
      </c>
      <c r="H459" s="45">
        <f t="shared" si="68"/>
        <v>0</v>
      </c>
      <c r="I459" s="45">
        <f t="shared" si="68"/>
        <v>10344.1</v>
      </c>
      <c r="J459" s="46">
        <f t="shared" si="68"/>
        <v>0</v>
      </c>
      <c r="K459" s="45">
        <f t="shared" si="68"/>
        <v>0</v>
      </c>
      <c r="L459" s="46">
        <f t="shared" si="68"/>
        <v>0</v>
      </c>
      <c r="M459" s="45">
        <f t="shared" si="68"/>
        <v>10344.1</v>
      </c>
      <c r="N459" s="45">
        <f t="shared" si="68"/>
        <v>0</v>
      </c>
      <c r="O459" s="45">
        <f t="shared" si="68"/>
        <v>10344.1</v>
      </c>
    </row>
    <row r="460" spans="1:15" ht="31.5" x14ac:dyDescent="0.2">
      <c r="A460" s="40"/>
      <c r="B460" s="41" t="s">
        <v>528</v>
      </c>
      <c r="C460" s="42" t="s">
        <v>525</v>
      </c>
      <c r="D460" s="43" t="s">
        <v>262</v>
      </c>
      <c r="E460" s="43" t="s">
        <v>529</v>
      </c>
      <c r="F460" s="44" t="s">
        <v>11</v>
      </c>
      <c r="G460" s="45">
        <f t="shared" si="68"/>
        <v>10344.1</v>
      </c>
      <c r="H460" s="45">
        <f t="shared" si="68"/>
        <v>0</v>
      </c>
      <c r="I460" s="45">
        <f t="shared" si="68"/>
        <v>10344.1</v>
      </c>
      <c r="J460" s="46">
        <f t="shared" si="68"/>
        <v>0</v>
      </c>
      <c r="K460" s="45">
        <f t="shared" si="68"/>
        <v>0</v>
      </c>
      <c r="L460" s="46">
        <f t="shared" si="68"/>
        <v>0</v>
      </c>
      <c r="M460" s="45">
        <f t="shared" si="68"/>
        <v>10344.1</v>
      </c>
      <c r="N460" s="45">
        <f t="shared" si="68"/>
        <v>0</v>
      </c>
      <c r="O460" s="45">
        <f t="shared" si="68"/>
        <v>10344.1</v>
      </c>
    </row>
    <row r="461" spans="1:15" ht="47.25" x14ac:dyDescent="0.2">
      <c r="A461" s="40"/>
      <c r="B461" s="41" t="s">
        <v>539</v>
      </c>
      <c r="C461" s="42" t="s">
        <v>525</v>
      </c>
      <c r="D461" s="43" t="s">
        <v>262</v>
      </c>
      <c r="E461" s="43" t="s">
        <v>540</v>
      </c>
      <c r="F461" s="44" t="s">
        <v>11</v>
      </c>
      <c r="G461" s="45">
        <f t="shared" si="68"/>
        <v>10344.1</v>
      </c>
      <c r="H461" s="45">
        <f t="shared" si="68"/>
        <v>0</v>
      </c>
      <c r="I461" s="45">
        <f t="shared" si="68"/>
        <v>10344.1</v>
      </c>
      <c r="J461" s="46">
        <f t="shared" si="68"/>
        <v>0</v>
      </c>
      <c r="K461" s="45">
        <f t="shared" si="68"/>
        <v>0</v>
      </c>
      <c r="L461" s="46">
        <f t="shared" si="68"/>
        <v>0</v>
      </c>
      <c r="M461" s="45">
        <f t="shared" si="68"/>
        <v>10344.1</v>
      </c>
      <c r="N461" s="45">
        <f t="shared" si="68"/>
        <v>0</v>
      </c>
      <c r="O461" s="45">
        <f t="shared" si="68"/>
        <v>10344.1</v>
      </c>
    </row>
    <row r="462" spans="1:15" ht="32.25" thickBot="1" x14ac:dyDescent="0.25">
      <c r="A462" s="40"/>
      <c r="B462" s="41" t="s">
        <v>134</v>
      </c>
      <c r="C462" s="42" t="s">
        <v>525</v>
      </c>
      <c r="D462" s="43" t="s">
        <v>262</v>
      </c>
      <c r="E462" s="43" t="s">
        <v>541</v>
      </c>
      <c r="F462" s="44" t="s">
        <v>11</v>
      </c>
      <c r="G462" s="45">
        <f t="shared" si="68"/>
        <v>10344.1</v>
      </c>
      <c r="H462" s="54"/>
      <c r="I462" s="45">
        <f t="shared" si="68"/>
        <v>10344.1</v>
      </c>
      <c r="J462" s="46">
        <f t="shared" si="68"/>
        <v>0</v>
      </c>
      <c r="K462" s="54"/>
      <c r="L462" s="46">
        <f t="shared" si="68"/>
        <v>0</v>
      </c>
      <c r="M462" s="45">
        <f t="shared" si="68"/>
        <v>10344.1</v>
      </c>
      <c r="N462" s="45">
        <f t="shared" si="68"/>
        <v>0</v>
      </c>
      <c r="O462" s="45">
        <f t="shared" si="68"/>
        <v>10344.1</v>
      </c>
    </row>
    <row r="463" spans="1:15" ht="48" thickBot="1" x14ac:dyDescent="0.25">
      <c r="A463" s="49"/>
      <c r="B463" s="50" t="s">
        <v>95</v>
      </c>
      <c r="C463" s="51" t="s">
        <v>525</v>
      </c>
      <c r="D463" s="52" t="s">
        <v>262</v>
      </c>
      <c r="E463" s="52" t="s">
        <v>541</v>
      </c>
      <c r="F463" s="53" t="s">
        <v>96</v>
      </c>
      <c r="G463" s="54">
        <v>10344.1</v>
      </c>
      <c r="H463" s="63"/>
      <c r="I463" s="54">
        <v>10344.1</v>
      </c>
      <c r="J463" s="55">
        <v>0</v>
      </c>
      <c r="K463" s="63"/>
      <c r="L463" s="55">
        <v>0</v>
      </c>
      <c r="M463" s="54">
        <v>10344.1</v>
      </c>
      <c r="N463" s="54"/>
      <c r="O463" s="54">
        <v>10344.1</v>
      </c>
    </row>
    <row r="465" spans="2:15" x14ac:dyDescent="0.2">
      <c r="B465" s="302" t="s">
        <v>542</v>
      </c>
      <c r="C465" s="266"/>
      <c r="D465" s="266"/>
      <c r="E465" s="266"/>
      <c r="F465" s="266"/>
      <c r="G465" s="266"/>
      <c r="H465" s="266"/>
      <c r="I465" s="266"/>
      <c r="J465" s="266"/>
      <c r="K465" s="266"/>
      <c r="L465" s="266"/>
      <c r="M465" s="266"/>
      <c r="N465" s="266"/>
      <c r="O465" s="266"/>
    </row>
    <row r="466" spans="2:15" x14ac:dyDescent="0.2">
      <c r="B466" s="266"/>
      <c r="C466" s="266"/>
      <c r="D466" s="266"/>
      <c r="E466" s="266"/>
      <c r="F466" s="266"/>
      <c r="G466" s="266"/>
      <c r="H466" s="266"/>
      <c r="I466" s="266"/>
      <c r="J466" s="266"/>
      <c r="K466" s="266"/>
      <c r="L466" s="266"/>
      <c r="M466" s="266"/>
      <c r="N466" s="266"/>
      <c r="O466" s="266"/>
    </row>
    <row r="467" spans="2:15" x14ac:dyDescent="0.2">
      <c r="B467" s="266"/>
      <c r="C467" s="266"/>
      <c r="D467" s="266"/>
      <c r="E467" s="266"/>
      <c r="F467" s="266"/>
      <c r="G467" s="266"/>
      <c r="H467" s="266"/>
      <c r="I467" s="266"/>
      <c r="J467" s="266"/>
      <c r="K467" s="266"/>
      <c r="L467" s="266"/>
      <c r="M467" s="266"/>
      <c r="N467" s="266"/>
      <c r="O467" s="266"/>
    </row>
  </sheetData>
  <mergeCells count="21">
    <mergeCell ref="J6:O6"/>
    <mergeCell ref="J1:O1"/>
    <mergeCell ref="J2:O2"/>
    <mergeCell ref="J3:O3"/>
    <mergeCell ref="J4:O4"/>
    <mergeCell ref="J5:O5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C19:F19"/>
    <mergeCell ref="G19:O19"/>
    <mergeCell ref="B465:O467"/>
    <mergeCell ref="B15:G15"/>
    <mergeCell ref="B16:G16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66"/>
  <sheetViews>
    <sheetView topLeftCell="A17" zoomScale="60" zoomScaleNormal="60" workbookViewId="0">
      <pane xSplit="6" ySplit="3" topLeftCell="G21" activePane="bottomRight" state="frozen"/>
      <selection activeCell="A17" sqref="A17"/>
      <selection pane="topRight" activeCell="G17" sqref="G17"/>
      <selection pane="bottomLeft" activeCell="A20" sqref="A20"/>
      <selection pane="bottomRight" activeCell="K33" sqref="K33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4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2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2"/>
      <c r="I15" s="2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61"/>
      <c r="I16" s="61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4" t="s">
        <v>16</v>
      </c>
      <c r="D18" s="4" t="s">
        <v>17</v>
      </c>
      <c r="E18" s="4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4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>G21+G33+G392+G443</f>
        <v>612273.19999999995</v>
      </c>
      <c r="H20" s="25">
        <f>H21+H33+H392+H443+AH5+H385</f>
        <v>16669.499999999996</v>
      </c>
      <c r="I20" s="31">
        <f>I21+I33+I392+I443</f>
        <v>628942.69999999995</v>
      </c>
      <c r="J20" s="32">
        <f>J21+J33+J392+J443</f>
        <v>2447246.8000000007</v>
      </c>
      <c r="K20" s="25">
        <f>SUM(K33+K21+K392+K443)</f>
        <v>6849.2999999999993</v>
      </c>
      <c r="L20" s="32">
        <f>L21+L33+L392+L443</f>
        <v>2501441.7000000007</v>
      </c>
      <c r="M20" s="31">
        <f>M21+M33+M392+M443</f>
        <v>3059520</v>
      </c>
      <c r="N20" s="31">
        <f>N21+N33+N392+N443</f>
        <v>70864.399999999994</v>
      </c>
      <c r="O20" s="31">
        <f>O21+O33+O392+O443</f>
        <v>3130384.4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76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O26" si="0">J24</f>
        <v>0</v>
      </c>
      <c r="K23" s="45">
        <f>K24</f>
        <v>0</v>
      </c>
      <c r="L23" s="39">
        <f t="shared" si="0"/>
        <v>0</v>
      </c>
      <c r="M23" s="38">
        <f t="shared" si="0"/>
        <v>8.1</v>
      </c>
      <c r="N23" s="38">
        <f t="shared" si="0"/>
        <v>0</v>
      </c>
      <c r="O23" s="38">
        <f t="shared" si="0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0"/>
        <v>0</v>
      </c>
      <c r="K24" s="45">
        <f>K25</f>
        <v>0</v>
      </c>
      <c r="L24" s="46">
        <f t="shared" si="0"/>
        <v>0</v>
      </c>
      <c r="M24" s="45">
        <f t="shared" si="0"/>
        <v>8.1</v>
      </c>
      <c r="N24" s="45">
        <f t="shared" si="0"/>
        <v>0</v>
      </c>
      <c r="O24" s="45">
        <f t="shared" si="0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0"/>
        <v>0</v>
      </c>
      <c r="K25" s="45">
        <f>K26</f>
        <v>0</v>
      </c>
      <c r="L25" s="46">
        <f t="shared" si="0"/>
        <v>0</v>
      </c>
      <c r="M25" s="45">
        <f t="shared" si="0"/>
        <v>8.1</v>
      </c>
      <c r="N25" s="45">
        <f t="shared" si="0"/>
        <v>0</v>
      </c>
      <c r="O25" s="45">
        <f t="shared" si="0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0"/>
        <v>0</v>
      </c>
      <c r="K26" s="45"/>
      <c r="L26" s="46">
        <f t="shared" si="0"/>
        <v>0</v>
      </c>
      <c r="M26" s="45">
        <f t="shared" si="0"/>
        <v>8.1</v>
      </c>
      <c r="N26" s="45">
        <f t="shared" si="0"/>
        <v>0</v>
      </c>
      <c r="O26" s="45">
        <f t="shared" si="0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O31" si="1">G29</f>
        <v>1387.5</v>
      </c>
      <c r="H28" s="45">
        <f t="shared" si="1"/>
        <v>0</v>
      </c>
      <c r="I28" s="38">
        <f t="shared" si="1"/>
        <v>1387.5</v>
      </c>
      <c r="J28" s="39">
        <f t="shared" si="1"/>
        <v>0</v>
      </c>
      <c r="K28" s="45">
        <f>K29</f>
        <v>0</v>
      </c>
      <c r="L28" s="39">
        <f t="shared" si="1"/>
        <v>0</v>
      </c>
      <c r="M28" s="38">
        <f t="shared" si="1"/>
        <v>1387.5</v>
      </c>
      <c r="N28" s="38">
        <f t="shared" si="1"/>
        <v>0</v>
      </c>
      <c r="O28" s="38">
        <f t="shared" si="1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1"/>
        <v>1387.5</v>
      </c>
      <c r="H29" s="45">
        <f t="shared" si="1"/>
        <v>0</v>
      </c>
      <c r="I29" s="45">
        <f t="shared" si="1"/>
        <v>1387.5</v>
      </c>
      <c r="J29" s="46">
        <f t="shared" si="1"/>
        <v>0</v>
      </c>
      <c r="K29" s="45">
        <f>K30</f>
        <v>0</v>
      </c>
      <c r="L29" s="46">
        <f t="shared" si="1"/>
        <v>0</v>
      </c>
      <c r="M29" s="45">
        <f t="shared" si="1"/>
        <v>1387.5</v>
      </c>
      <c r="N29" s="45">
        <f t="shared" si="1"/>
        <v>0</v>
      </c>
      <c r="O29" s="45">
        <f t="shared" si="1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1"/>
        <v>1387.5</v>
      </c>
      <c r="H30" s="45">
        <f t="shared" si="1"/>
        <v>0</v>
      </c>
      <c r="I30" s="45">
        <f t="shared" si="1"/>
        <v>1387.5</v>
      </c>
      <c r="J30" s="46">
        <f t="shared" si="1"/>
        <v>0</v>
      </c>
      <c r="K30" s="45">
        <f>K31</f>
        <v>0</v>
      </c>
      <c r="L30" s="46">
        <f t="shared" si="1"/>
        <v>0</v>
      </c>
      <c r="M30" s="45">
        <f t="shared" si="1"/>
        <v>1387.5</v>
      </c>
      <c r="N30" s="45">
        <f t="shared" si="1"/>
        <v>0</v>
      </c>
      <c r="O30" s="45">
        <f t="shared" si="1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1"/>
        <v>0</v>
      </c>
      <c r="K31" s="45"/>
      <c r="L31" s="46">
        <f t="shared" si="1"/>
        <v>0</v>
      </c>
      <c r="M31" s="45">
        <f t="shared" si="1"/>
        <v>1387.5</v>
      </c>
      <c r="N31" s="45">
        <f t="shared" si="1"/>
        <v>0</v>
      </c>
      <c r="O31" s="45">
        <f t="shared" si="1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G34+G108+G155+G228+G327+G349+G374+G385</f>
        <v>457293.7</v>
      </c>
      <c r="H33" s="25">
        <f>H34+H39+H53+H58+H75+H155+H228+H327+H108</f>
        <v>24303.799999999996</v>
      </c>
      <c r="I33" s="25">
        <f>I34+I108+I155+I228+I327+I349+I374+I385</f>
        <v>474637.19999999995</v>
      </c>
      <c r="J33" s="26">
        <f>J34+J108+J155+J228+J327+J349+J374+J385</f>
        <v>2438538.1000000006</v>
      </c>
      <c r="K33" s="25">
        <f>K34+K39+K53+K58+K75+K155+K228+K327+K108</f>
        <v>10149.299999999999</v>
      </c>
      <c r="L33" s="26">
        <f>L34+L108+L155+L228+L327+L349+L374+L385</f>
        <v>2496033.0000000005</v>
      </c>
      <c r="M33" s="25">
        <f>M34+M108+M155+M228+M327+M349+M374+M385</f>
        <v>2895831.8</v>
      </c>
      <c r="N33" s="25">
        <f>N34+N108+N155+N228+N327+N349+N374+N385</f>
        <v>74838.399999999994</v>
      </c>
      <c r="O33" s="76">
        <f>O34+O108+O155+O228+O327+O349+O374+O385</f>
        <v>2970670.1999999997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89982.1</v>
      </c>
      <c r="H34" s="38">
        <f>H35+H59+H40</f>
        <v>887.80000000000007</v>
      </c>
      <c r="I34" s="25">
        <f>I35+I40+I54+I59</f>
        <v>92027.5</v>
      </c>
      <c r="J34" s="26">
        <f>J35+J40+J54+J59</f>
        <v>768.1</v>
      </c>
      <c r="K34" s="38">
        <f>K35</f>
        <v>0</v>
      </c>
      <c r="L34" s="26">
        <f>L35+L40+L54+L59</f>
        <v>768.1</v>
      </c>
      <c r="M34" s="25">
        <f>M35+M40+M54+M59</f>
        <v>90750.200000000012</v>
      </c>
      <c r="N34" s="25">
        <f>N35+N40+N54+N59</f>
        <v>2045.3999999999999</v>
      </c>
      <c r="O34" s="25">
        <f>O35+O40+O54+O59</f>
        <v>92795.6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 t="shared" ref="G35:O38" si="2">G36</f>
        <v>2021.3</v>
      </c>
      <c r="H35" s="45">
        <f t="shared" si="2"/>
        <v>0</v>
      </c>
      <c r="I35" s="38">
        <f t="shared" si="2"/>
        <v>2021.3</v>
      </c>
      <c r="J35" s="39">
        <f t="shared" si="2"/>
        <v>0</v>
      </c>
      <c r="K35" s="45">
        <f>K36</f>
        <v>0</v>
      </c>
      <c r="L35" s="39">
        <f t="shared" si="2"/>
        <v>0</v>
      </c>
      <c r="M35" s="38">
        <f t="shared" si="2"/>
        <v>2021.3</v>
      </c>
      <c r="N35" s="38">
        <f t="shared" si="2"/>
        <v>0</v>
      </c>
      <c r="O35" s="38">
        <f t="shared" si="2"/>
        <v>2021.3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 t="shared" si="2"/>
        <v>2021.3</v>
      </c>
      <c r="H36" s="45">
        <f t="shared" si="2"/>
        <v>0</v>
      </c>
      <c r="I36" s="45">
        <f t="shared" si="2"/>
        <v>2021.3</v>
      </c>
      <c r="J36" s="46">
        <f t="shared" si="2"/>
        <v>0</v>
      </c>
      <c r="K36" s="45">
        <f>K37</f>
        <v>0</v>
      </c>
      <c r="L36" s="46">
        <f t="shared" si="2"/>
        <v>0</v>
      </c>
      <c r="M36" s="45">
        <f t="shared" si="2"/>
        <v>2021.3</v>
      </c>
      <c r="N36" s="45">
        <f t="shared" si="2"/>
        <v>0</v>
      </c>
      <c r="O36" s="45">
        <f t="shared" si="2"/>
        <v>2021.3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 t="shared" si="2"/>
        <v>2021.3</v>
      </c>
      <c r="H37" s="45">
        <f t="shared" si="2"/>
        <v>0</v>
      </c>
      <c r="I37" s="45">
        <f t="shared" si="2"/>
        <v>2021.3</v>
      </c>
      <c r="J37" s="46">
        <f t="shared" si="2"/>
        <v>0</v>
      </c>
      <c r="K37" s="45">
        <f>K38</f>
        <v>0</v>
      </c>
      <c r="L37" s="46">
        <f t="shared" si="2"/>
        <v>0</v>
      </c>
      <c r="M37" s="45">
        <f t="shared" si="2"/>
        <v>2021.3</v>
      </c>
      <c r="N37" s="45">
        <f t="shared" si="2"/>
        <v>0</v>
      </c>
      <c r="O37" s="45">
        <f t="shared" si="2"/>
        <v>2021.3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45"/>
      <c r="I38" s="45">
        <f>I39</f>
        <v>2021.3</v>
      </c>
      <c r="J38" s="46">
        <f t="shared" si="2"/>
        <v>0</v>
      </c>
      <c r="K38" s="45"/>
      <c r="L38" s="46">
        <f t="shared" si="2"/>
        <v>0</v>
      </c>
      <c r="M38" s="45">
        <f t="shared" si="2"/>
        <v>2021.3</v>
      </c>
      <c r="N38" s="45">
        <f t="shared" si="2"/>
        <v>0</v>
      </c>
      <c r="O38" s="45">
        <f t="shared" si="2"/>
        <v>2021.3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/>
      <c r="I39" s="45">
        <v>2021.3</v>
      </c>
      <c r="J39" s="47">
        <v>0</v>
      </c>
      <c r="K39" s="38"/>
      <c r="L39" s="47">
        <v>0</v>
      </c>
      <c r="M39" s="45">
        <v>2021.3</v>
      </c>
      <c r="N39" s="45"/>
      <c r="O39" s="45">
        <v>2021.3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30614.5</v>
      </c>
      <c r="H40" s="45">
        <f>H41+H46</f>
        <v>368.6</v>
      </c>
      <c r="I40" s="38">
        <f>I41</f>
        <v>30983.1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31382.6</v>
      </c>
      <c r="N40" s="38">
        <f>N41</f>
        <v>368.6</v>
      </c>
      <c r="O40" s="38">
        <f>O41</f>
        <v>31751.199999999997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30614.5</v>
      </c>
      <c r="H41" s="45">
        <f>H42</f>
        <v>368.6</v>
      </c>
      <c r="I41" s="45">
        <f>I42+I47</f>
        <v>30983.1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31382.6</v>
      </c>
      <c r="N41" s="45">
        <f>N42+N47</f>
        <v>368.6</v>
      </c>
      <c r="O41" s="45">
        <f>O42+O47</f>
        <v>31751.199999999997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30614.5</v>
      </c>
      <c r="H42" s="45">
        <f>H43</f>
        <v>368.6</v>
      </c>
      <c r="I42" s="45">
        <f>I43</f>
        <v>30983.1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30614.5</v>
      </c>
      <c r="N42" s="45">
        <f>N43</f>
        <v>368.6</v>
      </c>
      <c r="O42" s="45">
        <f>O43</f>
        <v>30983.1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30614.5</v>
      </c>
      <c r="H43" s="45">
        <f>SUM(H44)</f>
        <v>368.6</v>
      </c>
      <c r="I43" s="45">
        <f>I44+I45+I46</f>
        <v>30983.1</v>
      </c>
      <c r="J43" s="46">
        <f>J44+J45+J46</f>
        <v>0</v>
      </c>
      <c r="K43" s="45"/>
      <c r="L43" s="46">
        <f>L44+L45+L46</f>
        <v>0</v>
      </c>
      <c r="M43" s="45">
        <f>M44+M45+M46</f>
        <v>30614.5</v>
      </c>
      <c r="N43" s="45">
        <f>N44+N45+N46</f>
        <v>368.6</v>
      </c>
      <c r="O43" s="45">
        <f>O44+O45+O46</f>
        <v>30983.1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30283.1</v>
      </c>
      <c r="H44" s="45">
        <f>239.1+129.5</f>
        <v>368.6</v>
      </c>
      <c r="I44" s="45">
        <f>30283.1+H44</f>
        <v>30651.699999999997</v>
      </c>
      <c r="J44" s="47">
        <v>0</v>
      </c>
      <c r="K44" s="45"/>
      <c r="L44" s="47">
        <v>0</v>
      </c>
      <c r="M44" s="45">
        <v>30283.1</v>
      </c>
      <c r="N44" s="45">
        <f>SUM(H44)</f>
        <v>368.6</v>
      </c>
      <c r="O44" s="45">
        <f>SUM(N44)+M44</f>
        <v>30651.699999999997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v>291.39999999999998</v>
      </c>
      <c r="J45" s="47">
        <v>0</v>
      </c>
      <c r="K45" s="45"/>
      <c r="L45" s="47">
        <v>0</v>
      </c>
      <c r="M45" s="45">
        <v>291.39999999999998</v>
      </c>
      <c r="N45" s="45"/>
      <c r="O45" s="45"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f>H51</f>
        <v>0</v>
      </c>
      <c r="I46" s="45">
        <v>40</v>
      </c>
      <c r="J46" s="47">
        <v>0</v>
      </c>
      <c r="K46" s="45">
        <f>K51</f>
        <v>0</v>
      </c>
      <c r="L46" s="47">
        <v>0</v>
      </c>
      <c r="M46" s="45">
        <v>40</v>
      </c>
      <c r="N46" s="45"/>
      <c r="O46" s="45">
        <v>40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3">H52</f>
        <v>0</v>
      </c>
      <c r="I51" s="45"/>
      <c r="J51" s="47"/>
      <c r="K51" s="45">
        <f t="shared" si="3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3"/>
        <v>0</v>
      </c>
      <c r="H52" s="45">
        <v>0</v>
      </c>
      <c r="I52" s="45">
        <f t="shared" si="3"/>
        <v>0</v>
      </c>
      <c r="J52" s="47">
        <f t="shared" si="3"/>
        <v>12.4</v>
      </c>
      <c r="K52" s="45">
        <v>0</v>
      </c>
      <c r="L52" s="47">
        <f t="shared" si="3"/>
        <v>12.4</v>
      </c>
      <c r="M52" s="45">
        <f t="shared" si="3"/>
        <v>12.4</v>
      </c>
      <c r="N52" s="45">
        <f t="shared" si="3"/>
        <v>0</v>
      </c>
      <c r="O52" s="45">
        <f t="shared" si="3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O57" si="4">G55</f>
        <v>1000</v>
      </c>
      <c r="H54" s="45">
        <f t="shared" si="4"/>
        <v>1963.1999999999998</v>
      </c>
      <c r="I54" s="38">
        <f t="shared" si="4"/>
        <v>2157.5999999999995</v>
      </c>
      <c r="J54" s="39">
        <f t="shared" si="4"/>
        <v>0</v>
      </c>
      <c r="K54" s="45">
        <f>K55</f>
        <v>0</v>
      </c>
      <c r="L54" s="39">
        <f t="shared" si="4"/>
        <v>0</v>
      </c>
      <c r="M54" s="38">
        <f t="shared" si="4"/>
        <v>1000</v>
      </c>
      <c r="N54" s="38">
        <f t="shared" si="4"/>
        <v>1157.5999999999997</v>
      </c>
      <c r="O54" s="38">
        <f t="shared" si="4"/>
        <v>2157.5999999999995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4"/>
        <v>1000</v>
      </c>
      <c r="H55" s="45">
        <f t="shared" si="4"/>
        <v>1963.1999999999998</v>
      </c>
      <c r="I55" s="45">
        <f t="shared" si="4"/>
        <v>2157.5999999999995</v>
      </c>
      <c r="J55" s="46">
        <f t="shared" si="4"/>
        <v>0</v>
      </c>
      <c r="K55" s="45">
        <f>K56</f>
        <v>0</v>
      </c>
      <c r="L55" s="46">
        <f t="shared" si="4"/>
        <v>0</v>
      </c>
      <c r="M55" s="45">
        <f t="shared" si="4"/>
        <v>1000</v>
      </c>
      <c r="N55" s="45">
        <f t="shared" si="4"/>
        <v>1157.5999999999997</v>
      </c>
      <c r="O55" s="45">
        <f t="shared" si="4"/>
        <v>2157.5999999999995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4"/>
        <v>1000</v>
      </c>
      <c r="H56" s="45">
        <f t="shared" si="4"/>
        <v>1963.1999999999998</v>
      </c>
      <c r="I56" s="45">
        <f t="shared" si="4"/>
        <v>2157.5999999999995</v>
      </c>
      <c r="J56" s="46">
        <f t="shared" si="4"/>
        <v>0</v>
      </c>
      <c r="K56" s="45">
        <f>K57</f>
        <v>0</v>
      </c>
      <c r="L56" s="46">
        <f t="shared" si="4"/>
        <v>0</v>
      </c>
      <c r="M56" s="45">
        <f t="shared" si="4"/>
        <v>1000</v>
      </c>
      <c r="N56" s="45">
        <f t="shared" si="4"/>
        <v>1157.5999999999997</v>
      </c>
      <c r="O56" s="45">
        <f t="shared" si="4"/>
        <v>2157.5999999999995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1000</v>
      </c>
      <c r="H57" s="38">
        <f>619.3+3063.7+0.1-1719.9</f>
        <v>1963.1999999999998</v>
      </c>
      <c r="I57" s="45">
        <f>I58</f>
        <v>2157.5999999999995</v>
      </c>
      <c r="J57" s="46">
        <f t="shared" si="4"/>
        <v>0</v>
      </c>
      <c r="K57" s="45"/>
      <c r="L57" s="46">
        <f t="shared" si="4"/>
        <v>0</v>
      </c>
      <c r="M57" s="45">
        <f t="shared" si="4"/>
        <v>1000</v>
      </c>
      <c r="N57" s="45">
        <f t="shared" si="4"/>
        <v>1157.5999999999997</v>
      </c>
      <c r="O57" s="45">
        <f t="shared" si="4"/>
        <v>2157.5999999999995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1000</v>
      </c>
      <c r="H58" s="38">
        <f>619.3+3063.7+0.1-1719.9-538.9-266.7</f>
        <v>1157.5999999999997</v>
      </c>
      <c r="I58" s="45">
        <f>1000+H58</f>
        <v>2157.5999999999995</v>
      </c>
      <c r="J58" s="47">
        <v>0</v>
      </c>
      <c r="K58" s="38"/>
      <c r="L58" s="47">
        <v>0</v>
      </c>
      <c r="M58" s="45">
        <v>1000</v>
      </c>
      <c r="N58" s="45">
        <f>SUM(H58)</f>
        <v>1157.5999999999997</v>
      </c>
      <c r="O58" s="45">
        <f>1000+N58</f>
        <v>2157.5999999999995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G60+G65+G70+G86+G104</f>
        <v>56346.3</v>
      </c>
      <c r="H59" s="45">
        <f>H60+H105+H86</f>
        <v>519.20000000000005</v>
      </c>
      <c r="I59" s="38">
        <f>I60+I65+I70+I86+I104</f>
        <v>56865.5</v>
      </c>
      <c r="J59" s="39">
        <f>J60+J65+J70+J86+J104</f>
        <v>0</v>
      </c>
      <c r="K59" s="45">
        <f>K60</f>
        <v>0</v>
      </c>
      <c r="L59" s="39">
        <f>L60+L65+L70+L86+L104</f>
        <v>0</v>
      </c>
      <c r="M59" s="38">
        <f>M60+M65+M70+M86+M104</f>
        <v>56346.3</v>
      </c>
      <c r="N59" s="38">
        <f>N60+N65+N70+N86+N104</f>
        <v>519.20000000000005</v>
      </c>
      <c r="O59" s="38">
        <f>O60+O65+O70+O86+O104</f>
        <v>56865.5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 t="shared" ref="G60:O63" si="5">G61</f>
        <v>80</v>
      </c>
      <c r="H60" s="45">
        <f t="shared" si="5"/>
        <v>0</v>
      </c>
      <c r="I60" s="45">
        <f t="shared" si="5"/>
        <v>80</v>
      </c>
      <c r="J60" s="46">
        <f t="shared" si="5"/>
        <v>0</v>
      </c>
      <c r="K60" s="45">
        <f>K61</f>
        <v>0</v>
      </c>
      <c r="L60" s="46">
        <f t="shared" si="5"/>
        <v>0</v>
      </c>
      <c r="M60" s="45">
        <f t="shared" si="5"/>
        <v>80</v>
      </c>
      <c r="N60" s="45">
        <f t="shared" si="5"/>
        <v>0</v>
      </c>
      <c r="O60" s="45">
        <f t="shared" si="5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 t="shared" si="5"/>
        <v>80</v>
      </c>
      <c r="H61" s="45">
        <f t="shared" si="5"/>
        <v>0</v>
      </c>
      <c r="I61" s="45">
        <f t="shared" si="5"/>
        <v>80</v>
      </c>
      <c r="J61" s="46">
        <f t="shared" si="5"/>
        <v>0</v>
      </c>
      <c r="K61" s="45">
        <f>K62</f>
        <v>0</v>
      </c>
      <c r="L61" s="46">
        <f t="shared" si="5"/>
        <v>0</v>
      </c>
      <c r="M61" s="45">
        <f t="shared" si="5"/>
        <v>80</v>
      </c>
      <c r="N61" s="45">
        <f t="shared" si="5"/>
        <v>0</v>
      </c>
      <c r="O61" s="45">
        <f t="shared" si="5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 t="shared" si="5"/>
        <v>80</v>
      </c>
      <c r="H62" s="45">
        <f t="shared" si="5"/>
        <v>0</v>
      </c>
      <c r="I62" s="45">
        <f t="shared" si="5"/>
        <v>80</v>
      </c>
      <c r="J62" s="46">
        <f t="shared" si="5"/>
        <v>0</v>
      </c>
      <c r="K62" s="45">
        <f>K63</f>
        <v>0</v>
      </c>
      <c r="L62" s="46">
        <f t="shared" si="5"/>
        <v>0</v>
      </c>
      <c r="M62" s="45">
        <f t="shared" si="5"/>
        <v>80</v>
      </c>
      <c r="N62" s="45">
        <f t="shared" si="5"/>
        <v>0</v>
      </c>
      <c r="O62" s="45">
        <f t="shared" si="5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5"/>
        <v>0</v>
      </c>
      <c r="K63" s="45"/>
      <c r="L63" s="46">
        <f t="shared" si="5"/>
        <v>0</v>
      </c>
      <c r="M63" s="45">
        <f t="shared" si="5"/>
        <v>80</v>
      </c>
      <c r="N63" s="45">
        <f t="shared" si="5"/>
        <v>0</v>
      </c>
      <c r="O63" s="45">
        <f t="shared" si="5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O68" si="6">G66</f>
        <v>3500</v>
      </c>
      <c r="H65" s="45">
        <f t="shared" si="6"/>
        <v>0</v>
      </c>
      <c r="I65" s="45">
        <f t="shared" si="6"/>
        <v>3500</v>
      </c>
      <c r="J65" s="46">
        <f t="shared" si="6"/>
        <v>0</v>
      </c>
      <c r="K65" s="45">
        <f>K66</f>
        <v>0</v>
      </c>
      <c r="L65" s="46">
        <f t="shared" si="6"/>
        <v>0</v>
      </c>
      <c r="M65" s="45">
        <f t="shared" si="6"/>
        <v>3500</v>
      </c>
      <c r="N65" s="45">
        <f t="shared" si="6"/>
        <v>0</v>
      </c>
      <c r="O65" s="45">
        <f t="shared" si="6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6"/>
        <v>3500</v>
      </c>
      <c r="H66" s="45">
        <f t="shared" si="6"/>
        <v>0</v>
      </c>
      <c r="I66" s="45">
        <f t="shared" si="6"/>
        <v>3500</v>
      </c>
      <c r="J66" s="46">
        <f t="shared" si="6"/>
        <v>0</v>
      </c>
      <c r="K66" s="45">
        <f>K67</f>
        <v>0</v>
      </c>
      <c r="L66" s="46">
        <f t="shared" si="6"/>
        <v>0</v>
      </c>
      <c r="M66" s="45">
        <f t="shared" si="6"/>
        <v>3500</v>
      </c>
      <c r="N66" s="45">
        <f t="shared" si="6"/>
        <v>0</v>
      </c>
      <c r="O66" s="45">
        <f t="shared" si="6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6"/>
        <v>3500</v>
      </c>
      <c r="H67" s="45">
        <f t="shared" si="6"/>
        <v>0</v>
      </c>
      <c r="I67" s="45">
        <f t="shared" si="6"/>
        <v>3500</v>
      </c>
      <c r="J67" s="46">
        <f t="shared" si="6"/>
        <v>0</v>
      </c>
      <c r="K67" s="45">
        <f>K68</f>
        <v>0</v>
      </c>
      <c r="L67" s="46">
        <f t="shared" si="6"/>
        <v>0</v>
      </c>
      <c r="M67" s="45">
        <f t="shared" si="6"/>
        <v>3500</v>
      </c>
      <c r="N67" s="45">
        <f t="shared" si="6"/>
        <v>0</v>
      </c>
      <c r="O67" s="45">
        <f t="shared" si="6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6"/>
        <v>0</v>
      </c>
      <c r="K68" s="45"/>
      <c r="L68" s="46">
        <f t="shared" si="6"/>
        <v>0</v>
      </c>
      <c r="M68" s="45">
        <f t="shared" si="6"/>
        <v>3500</v>
      </c>
      <c r="N68" s="45">
        <f t="shared" si="6"/>
        <v>0</v>
      </c>
      <c r="O68" s="45">
        <f t="shared" si="6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</f>
        <v>0</v>
      </c>
      <c r="I70" s="45">
        <f>I71+I77+I81</f>
        <v>5172</v>
      </c>
      <c r="J70" s="46">
        <f>J71+J77+J81</f>
        <v>0</v>
      </c>
      <c r="K70" s="45">
        <f>K71</f>
        <v>0</v>
      </c>
      <c r="L70" s="46">
        <f>L71+L77+L81</f>
        <v>0</v>
      </c>
      <c r="M70" s="45">
        <f>M71+M77+M81</f>
        <v>5172</v>
      </c>
      <c r="N70" s="45">
        <f>N71+N77+N81</f>
        <v>0</v>
      </c>
      <c r="O70" s="45">
        <f>O71+O77+O81</f>
        <v>5172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/>
      <c r="I75" s="45">
        <f>I76</f>
        <v>10</v>
      </c>
      <c r="J75" s="46">
        <f>J76</f>
        <v>0</v>
      </c>
      <c r="K75" s="45"/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O79" si="7">G78</f>
        <v>150</v>
      </c>
      <c r="H77" s="45">
        <f t="shared" si="7"/>
        <v>0</v>
      </c>
      <c r="I77" s="45">
        <f t="shared" si="7"/>
        <v>150</v>
      </c>
      <c r="J77" s="46">
        <f t="shared" si="7"/>
        <v>0</v>
      </c>
      <c r="K77" s="45">
        <f>K78</f>
        <v>0</v>
      </c>
      <c r="L77" s="46">
        <f t="shared" si="7"/>
        <v>0</v>
      </c>
      <c r="M77" s="45">
        <f t="shared" si="7"/>
        <v>150</v>
      </c>
      <c r="N77" s="45">
        <f t="shared" si="7"/>
        <v>0</v>
      </c>
      <c r="O77" s="45">
        <f t="shared" si="7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7"/>
        <v>150</v>
      </c>
      <c r="H78" s="45">
        <f t="shared" si="7"/>
        <v>0</v>
      </c>
      <c r="I78" s="45">
        <f t="shared" si="7"/>
        <v>150</v>
      </c>
      <c r="J78" s="46">
        <f t="shared" si="7"/>
        <v>0</v>
      </c>
      <c r="K78" s="45">
        <f>K79</f>
        <v>0</v>
      </c>
      <c r="L78" s="46">
        <f t="shared" si="7"/>
        <v>0</v>
      </c>
      <c r="M78" s="45">
        <f t="shared" si="7"/>
        <v>150</v>
      </c>
      <c r="N78" s="45">
        <f t="shared" si="7"/>
        <v>0</v>
      </c>
      <c r="O78" s="45">
        <f t="shared" si="7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7"/>
        <v>0</v>
      </c>
      <c r="K79" s="45"/>
      <c r="L79" s="46">
        <f t="shared" si="7"/>
        <v>0</v>
      </c>
      <c r="M79" s="45">
        <f t="shared" si="7"/>
        <v>150</v>
      </c>
      <c r="N79" s="45">
        <f t="shared" si="7"/>
        <v>0</v>
      </c>
      <c r="O79" s="45">
        <f t="shared" si="7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8">G82</f>
        <v>2600</v>
      </c>
      <c r="H81" s="45">
        <f t="shared" si="8"/>
        <v>0</v>
      </c>
      <c r="I81" s="45">
        <f t="shared" si="8"/>
        <v>2600</v>
      </c>
      <c r="J81" s="46">
        <f t="shared" si="8"/>
        <v>0</v>
      </c>
      <c r="K81" s="45">
        <f t="shared" si="8"/>
        <v>0</v>
      </c>
      <c r="L81" s="46">
        <f t="shared" si="8"/>
        <v>0</v>
      </c>
      <c r="M81" s="45">
        <f t="shared" si="8"/>
        <v>2600</v>
      </c>
      <c r="N81" s="45">
        <f t="shared" si="8"/>
        <v>0</v>
      </c>
      <c r="O81" s="45">
        <f t="shared" si="8"/>
        <v>2600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8"/>
        <v>2600</v>
      </c>
      <c r="H82" s="45">
        <f>H83+H84</f>
        <v>0</v>
      </c>
      <c r="I82" s="45">
        <f t="shared" si="8"/>
        <v>2600</v>
      </c>
      <c r="J82" s="46">
        <f t="shared" si="8"/>
        <v>0</v>
      </c>
      <c r="K82" s="45">
        <f>K83+K84</f>
        <v>0</v>
      </c>
      <c r="L82" s="46">
        <f t="shared" si="8"/>
        <v>0</v>
      </c>
      <c r="M82" s="45">
        <f t="shared" si="8"/>
        <v>2600</v>
      </c>
      <c r="N82" s="45">
        <f t="shared" si="8"/>
        <v>0</v>
      </c>
      <c r="O82" s="45">
        <f t="shared" si="8"/>
        <v>2600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2600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0</v>
      </c>
      <c r="O83" s="45">
        <f>O84+O85</f>
        <v>2600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/>
      <c r="I84" s="45">
        <v>2536.8000000000002</v>
      </c>
      <c r="J84" s="47">
        <v>0</v>
      </c>
      <c r="K84" s="45"/>
      <c r="L84" s="47">
        <v>0</v>
      </c>
      <c r="M84" s="45">
        <v>2536.8000000000002</v>
      </c>
      <c r="N84" s="45"/>
      <c r="O84" s="45">
        <v>2536.8000000000002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31.5" x14ac:dyDescent="0.2">
      <c r="A86" s="40"/>
      <c r="B86" s="41" t="s">
        <v>128</v>
      </c>
      <c r="C86" s="42" t="s">
        <v>51</v>
      </c>
      <c r="D86" s="43" t="s">
        <v>86</v>
      </c>
      <c r="E86" s="43" t="s">
        <v>129</v>
      </c>
      <c r="F86" s="44" t="s">
        <v>11</v>
      </c>
      <c r="G86" s="45">
        <f>G87+G100</f>
        <v>47548.4</v>
      </c>
      <c r="H86" s="45">
        <f>H87+H92+H97</f>
        <v>0</v>
      </c>
      <c r="I86" s="45">
        <f>I87+I100</f>
        <v>47548.4</v>
      </c>
      <c r="J86" s="46">
        <f>J87+J100</f>
        <v>0</v>
      </c>
      <c r="K86" s="45">
        <f>K87+K92</f>
        <v>0</v>
      </c>
      <c r="L86" s="46">
        <f>L87+L100</f>
        <v>0</v>
      </c>
      <c r="M86" s="45">
        <f>M87+M100</f>
        <v>47548.4</v>
      </c>
      <c r="N86" s="45">
        <f>N87+N100</f>
        <v>0</v>
      </c>
      <c r="O86" s="45">
        <f>O87+O100</f>
        <v>47548.4</v>
      </c>
      <c r="P86" s="16"/>
    </row>
    <row r="87" spans="1:16" ht="15.75" x14ac:dyDescent="0.2">
      <c r="A87" s="40"/>
      <c r="B87" s="41" t="s">
        <v>130</v>
      </c>
      <c r="C87" s="42" t="s">
        <v>51</v>
      </c>
      <c r="D87" s="43" t="s">
        <v>86</v>
      </c>
      <c r="E87" s="43" t="s">
        <v>131</v>
      </c>
      <c r="F87" s="44" t="s">
        <v>11</v>
      </c>
      <c r="G87" s="45">
        <f>G88+G93</f>
        <v>47348.4</v>
      </c>
      <c r="H87" s="45">
        <f>H88</f>
        <v>0</v>
      </c>
      <c r="I87" s="45">
        <f>I88+I93</f>
        <v>47348.4</v>
      </c>
      <c r="J87" s="46">
        <f>J88+J93</f>
        <v>0</v>
      </c>
      <c r="K87" s="45">
        <f>K88</f>
        <v>0</v>
      </c>
      <c r="L87" s="46">
        <f>L88+L93</f>
        <v>0</v>
      </c>
      <c r="M87" s="45">
        <f>M88+M93</f>
        <v>47348.4</v>
      </c>
      <c r="N87" s="45">
        <f>N88+N93</f>
        <v>0</v>
      </c>
      <c r="O87" s="45">
        <f>O88+O93</f>
        <v>47348.4</v>
      </c>
      <c r="P87" s="16"/>
    </row>
    <row r="88" spans="1:16" ht="15.75" x14ac:dyDescent="0.2">
      <c r="A88" s="40"/>
      <c r="B88" s="41" t="s">
        <v>132</v>
      </c>
      <c r="C88" s="42" t="s">
        <v>51</v>
      </c>
      <c r="D88" s="43" t="s">
        <v>86</v>
      </c>
      <c r="E88" s="43" t="s">
        <v>133</v>
      </c>
      <c r="F88" s="44" t="s">
        <v>11</v>
      </c>
      <c r="G88" s="45">
        <f>G89</f>
        <v>36467.9</v>
      </c>
      <c r="H88" s="45">
        <f>H89+H90+H91</f>
        <v>0</v>
      </c>
      <c r="I88" s="45">
        <f>I89</f>
        <v>36467.9</v>
      </c>
      <c r="J88" s="46">
        <f>J89</f>
        <v>0</v>
      </c>
      <c r="K88" s="45">
        <f>K89+K90+K91</f>
        <v>0</v>
      </c>
      <c r="L88" s="46">
        <f>L89</f>
        <v>0</v>
      </c>
      <c r="M88" s="45">
        <f>M89</f>
        <v>36467.9</v>
      </c>
      <c r="N88" s="45">
        <f>N89</f>
        <v>0</v>
      </c>
      <c r="O88" s="45">
        <f>O89</f>
        <v>36467.9</v>
      </c>
    </row>
    <row r="89" spans="1:16" ht="31.5" x14ac:dyDescent="0.2">
      <c r="A89" s="40"/>
      <c r="B89" s="41" t="s">
        <v>134</v>
      </c>
      <c r="C89" s="42" t="s">
        <v>51</v>
      </c>
      <c r="D89" s="43" t="s">
        <v>86</v>
      </c>
      <c r="E89" s="43" t="s">
        <v>135</v>
      </c>
      <c r="F89" s="44" t="s">
        <v>11</v>
      </c>
      <c r="G89" s="45">
        <f>G90+G91+G92</f>
        <v>36467.9</v>
      </c>
      <c r="H89" s="45"/>
      <c r="I89" s="45">
        <f>I90+I91+I92</f>
        <v>36467.9</v>
      </c>
      <c r="J89" s="46">
        <f>J90+J91+J92</f>
        <v>0</v>
      </c>
      <c r="K89" s="45"/>
      <c r="L89" s="46">
        <f>L90+L91+L92</f>
        <v>0</v>
      </c>
      <c r="M89" s="45">
        <f>M90+M91+M92</f>
        <v>36467.9</v>
      </c>
      <c r="N89" s="45">
        <f>N90+N91+N92</f>
        <v>0</v>
      </c>
      <c r="O89" s="45">
        <f>O90+O91+O92</f>
        <v>36467.9</v>
      </c>
      <c r="P89" s="16"/>
    </row>
    <row r="90" spans="1:16" ht="78.75" x14ac:dyDescent="0.2">
      <c r="A90" s="40"/>
      <c r="B90" s="41" t="s">
        <v>61</v>
      </c>
      <c r="C90" s="42" t="s">
        <v>51</v>
      </c>
      <c r="D90" s="43" t="s">
        <v>86</v>
      </c>
      <c r="E90" s="43" t="s">
        <v>135</v>
      </c>
      <c r="F90" s="44" t="s">
        <v>62</v>
      </c>
      <c r="G90" s="45">
        <v>25539</v>
      </c>
      <c r="H90" s="45"/>
      <c r="I90" s="45">
        <f>SUM(G90)</f>
        <v>25539</v>
      </c>
      <c r="J90" s="47">
        <v>0</v>
      </c>
      <c r="K90" s="45"/>
      <c r="L90" s="47">
        <v>0</v>
      </c>
      <c r="M90" s="45">
        <f t="shared" ref="M90:O91" si="9">SUM(G90)</f>
        <v>25539</v>
      </c>
      <c r="N90" s="45">
        <f t="shared" si="9"/>
        <v>0</v>
      </c>
      <c r="O90" s="45">
        <f t="shared" si="9"/>
        <v>25539</v>
      </c>
    </row>
    <row r="91" spans="1:16" ht="31.5" x14ac:dyDescent="0.2">
      <c r="A91" s="40"/>
      <c r="B91" s="41" t="s">
        <v>40</v>
      </c>
      <c r="C91" s="42" t="s">
        <v>51</v>
      </c>
      <c r="D91" s="43" t="s">
        <v>86</v>
      </c>
      <c r="E91" s="43" t="s">
        <v>135</v>
      </c>
      <c r="F91" s="44" t="s">
        <v>41</v>
      </c>
      <c r="G91" s="45">
        <v>10851.5</v>
      </c>
      <c r="H91" s="45"/>
      <c r="I91" s="45">
        <f>SUM(G91)</f>
        <v>10851.5</v>
      </c>
      <c r="J91" s="47">
        <v>0</v>
      </c>
      <c r="K91" s="45"/>
      <c r="L91" s="47">
        <v>0</v>
      </c>
      <c r="M91" s="45">
        <f t="shared" si="9"/>
        <v>10851.5</v>
      </c>
      <c r="N91" s="45">
        <f t="shared" si="9"/>
        <v>0</v>
      </c>
      <c r="O91" s="45">
        <f t="shared" si="9"/>
        <v>10851.5</v>
      </c>
    </row>
    <row r="92" spans="1:16" ht="15.75" x14ac:dyDescent="0.2">
      <c r="A92" s="40"/>
      <c r="B92" s="41" t="s">
        <v>70</v>
      </c>
      <c r="C92" s="42" t="s">
        <v>51</v>
      </c>
      <c r="D92" s="43" t="s">
        <v>86</v>
      </c>
      <c r="E92" s="43" t="s">
        <v>135</v>
      </c>
      <c r="F92" s="44" t="s">
        <v>71</v>
      </c>
      <c r="G92" s="45">
        <v>77.400000000000006</v>
      </c>
      <c r="H92" s="45"/>
      <c r="I92" s="45">
        <v>77.400000000000006</v>
      </c>
      <c r="J92" s="47">
        <v>0</v>
      </c>
      <c r="K92" s="45"/>
      <c r="L92" s="47">
        <v>0</v>
      </c>
      <c r="M92" s="45">
        <v>77.400000000000006</v>
      </c>
      <c r="N92" s="45"/>
      <c r="O92" s="45">
        <v>77.400000000000006</v>
      </c>
    </row>
    <row r="93" spans="1:16" ht="31.5" x14ac:dyDescent="0.2">
      <c r="A93" s="40"/>
      <c r="B93" s="41" t="s">
        <v>136</v>
      </c>
      <c r="C93" s="42" t="s">
        <v>51</v>
      </c>
      <c r="D93" s="43" t="s">
        <v>86</v>
      </c>
      <c r="E93" s="43" t="s">
        <v>137</v>
      </c>
      <c r="F93" s="44" t="s">
        <v>11</v>
      </c>
      <c r="G93" s="45">
        <f>G94+G97</f>
        <v>10880.5</v>
      </c>
      <c r="H93" s="45">
        <f>SUM(H97)</f>
        <v>0</v>
      </c>
      <c r="I93" s="45">
        <f>I94+I97</f>
        <v>10880.5</v>
      </c>
      <c r="J93" s="46">
        <f>J94+J97</f>
        <v>0</v>
      </c>
      <c r="K93" s="45">
        <f>K94+K95</f>
        <v>0</v>
      </c>
      <c r="L93" s="46">
        <f>L94+L97</f>
        <v>0</v>
      </c>
      <c r="M93" s="45">
        <f>M94+M97</f>
        <v>10880.5</v>
      </c>
      <c r="N93" s="45">
        <f>N94+N97</f>
        <v>0</v>
      </c>
      <c r="O93" s="45">
        <f>O94+O97</f>
        <v>10880.5</v>
      </c>
      <c r="P93" s="16"/>
    </row>
    <row r="94" spans="1:16" ht="31.5" x14ac:dyDescent="0.2">
      <c r="A94" s="40"/>
      <c r="B94" s="41" t="s">
        <v>134</v>
      </c>
      <c r="C94" s="42" t="s">
        <v>51</v>
      </c>
      <c r="D94" s="43" t="s">
        <v>86</v>
      </c>
      <c r="E94" s="43" t="s">
        <v>138</v>
      </c>
      <c r="F94" s="44" t="s">
        <v>11</v>
      </c>
      <c r="G94" s="45">
        <f>G95+G96</f>
        <v>9205.9</v>
      </c>
      <c r="H94" s="45"/>
      <c r="I94" s="45">
        <f>I95+I96</f>
        <v>9205.9</v>
      </c>
      <c r="J94" s="46">
        <f>J95+J96</f>
        <v>0</v>
      </c>
      <c r="K94" s="45"/>
      <c r="L94" s="46">
        <f>L95+L96</f>
        <v>0</v>
      </c>
      <c r="M94" s="45">
        <f>M95+M96</f>
        <v>9205.9</v>
      </c>
      <c r="N94" s="45">
        <f>N95+N96</f>
        <v>0</v>
      </c>
      <c r="O94" s="45">
        <f>O95+O96</f>
        <v>9205.9</v>
      </c>
    </row>
    <row r="95" spans="1:16" ht="78.75" x14ac:dyDescent="0.2">
      <c r="A95" s="40"/>
      <c r="B95" s="41" t="s">
        <v>61</v>
      </c>
      <c r="C95" s="42" t="s">
        <v>51</v>
      </c>
      <c r="D95" s="43" t="s">
        <v>86</v>
      </c>
      <c r="E95" s="43" t="s">
        <v>138</v>
      </c>
      <c r="F95" s="44" t="s">
        <v>62</v>
      </c>
      <c r="G95" s="45">
        <v>8505.9</v>
      </c>
      <c r="H95" s="45"/>
      <c r="I95" s="45">
        <v>8505.9</v>
      </c>
      <c r="J95" s="47">
        <v>0</v>
      </c>
      <c r="K95" s="45"/>
      <c r="L95" s="47">
        <v>0</v>
      </c>
      <c r="M95" s="45">
        <v>8505.9</v>
      </c>
      <c r="N95" s="45"/>
      <c r="O95" s="45">
        <v>8505.9</v>
      </c>
    </row>
    <row r="96" spans="1:16" ht="31.5" x14ac:dyDescent="0.2">
      <c r="A96" s="40"/>
      <c r="B96" s="41" t="s">
        <v>40</v>
      </c>
      <c r="C96" s="42" t="s">
        <v>51</v>
      </c>
      <c r="D96" s="43" t="s">
        <v>86</v>
      </c>
      <c r="E96" s="43" t="s">
        <v>138</v>
      </c>
      <c r="F96" s="44" t="s">
        <v>41</v>
      </c>
      <c r="G96" s="45">
        <v>700</v>
      </c>
      <c r="H96" s="45"/>
      <c r="I96" s="45">
        <v>700</v>
      </c>
      <c r="J96" s="47">
        <v>0</v>
      </c>
      <c r="K96" s="45"/>
      <c r="L96" s="47">
        <v>0</v>
      </c>
      <c r="M96" s="45">
        <v>700</v>
      </c>
      <c r="N96" s="45"/>
      <c r="O96" s="45">
        <v>700</v>
      </c>
    </row>
    <row r="97" spans="1:16" ht="47.25" x14ac:dyDescent="0.2">
      <c r="A97" s="40"/>
      <c r="B97" s="41" t="s">
        <v>139</v>
      </c>
      <c r="C97" s="42" t="s">
        <v>51</v>
      </c>
      <c r="D97" s="43" t="s">
        <v>86</v>
      </c>
      <c r="E97" s="43" t="s">
        <v>140</v>
      </c>
      <c r="F97" s="44" t="s">
        <v>11</v>
      </c>
      <c r="G97" s="45">
        <f>G98+G99</f>
        <v>1674.6</v>
      </c>
      <c r="H97" s="45">
        <f>SUM(H98)</f>
        <v>0</v>
      </c>
      <c r="I97" s="45">
        <f>I98+I99</f>
        <v>1674.6</v>
      </c>
      <c r="J97" s="46">
        <f>J98+J99</f>
        <v>0</v>
      </c>
      <c r="K97" s="45"/>
      <c r="L97" s="46">
        <f>L98+L99</f>
        <v>0</v>
      </c>
      <c r="M97" s="45">
        <f>M98+M99</f>
        <v>1674.6</v>
      </c>
      <c r="N97" s="45">
        <f>N98+N99</f>
        <v>0</v>
      </c>
      <c r="O97" s="45">
        <f>O98+O99</f>
        <v>1674.6</v>
      </c>
    </row>
    <row r="98" spans="1:16" ht="31.5" x14ac:dyDescent="0.2">
      <c r="A98" s="40"/>
      <c r="B98" s="41" t="s">
        <v>40</v>
      </c>
      <c r="C98" s="42" t="s">
        <v>51</v>
      </c>
      <c r="D98" s="43" t="s">
        <v>86</v>
      </c>
      <c r="E98" s="43" t="s">
        <v>140</v>
      </c>
      <c r="F98" s="44" t="s">
        <v>41</v>
      </c>
      <c r="G98" s="45">
        <v>855</v>
      </c>
      <c r="H98" s="45"/>
      <c r="I98" s="45">
        <f>SUM(G98)</f>
        <v>855</v>
      </c>
      <c r="J98" s="47">
        <v>0</v>
      </c>
      <c r="K98" s="45"/>
      <c r="L98" s="47">
        <v>0</v>
      </c>
      <c r="M98" s="45">
        <f>SUM(G98)</f>
        <v>855</v>
      </c>
      <c r="N98" s="45">
        <f>SUM(H98)</f>
        <v>0</v>
      </c>
      <c r="O98" s="45">
        <f>SUM(I98)</f>
        <v>855</v>
      </c>
    </row>
    <row r="99" spans="1:16" ht="15.75" x14ac:dyDescent="0.2">
      <c r="A99" s="40"/>
      <c r="B99" s="41" t="s">
        <v>70</v>
      </c>
      <c r="C99" s="42" t="s">
        <v>51</v>
      </c>
      <c r="D99" s="43" t="s">
        <v>86</v>
      </c>
      <c r="E99" s="43" t="s">
        <v>140</v>
      </c>
      <c r="F99" s="44" t="s">
        <v>71</v>
      </c>
      <c r="G99" s="45">
        <f>74.4+745.2</f>
        <v>819.6</v>
      </c>
      <c r="H99" s="45"/>
      <c r="I99" s="45">
        <f>74.4+745.2</f>
        <v>819.6</v>
      </c>
      <c r="J99" s="47">
        <v>0</v>
      </c>
      <c r="K99" s="45"/>
      <c r="L99" s="47">
        <v>0</v>
      </c>
      <c r="M99" s="45">
        <f>74.4+745.2</f>
        <v>819.6</v>
      </c>
      <c r="N99" s="45"/>
      <c r="O99" s="45">
        <f>74.4+745.2</f>
        <v>819.6</v>
      </c>
    </row>
    <row r="100" spans="1:16" ht="15.75" x14ac:dyDescent="0.2">
      <c r="A100" s="40"/>
      <c r="B100" s="41" t="s">
        <v>141</v>
      </c>
      <c r="C100" s="42" t="s">
        <v>51</v>
      </c>
      <c r="D100" s="43" t="s">
        <v>86</v>
      </c>
      <c r="E100" s="43" t="s">
        <v>142</v>
      </c>
      <c r="F100" s="44" t="s">
        <v>11</v>
      </c>
      <c r="G100" s="45">
        <f t="shared" ref="G100:O102" si="10">G101</f>
        <v>200</v>
      </c>
      <c r="H100" s="45">
        <f t="shared" si="10"/>
        <v>0</v>
      </c>
      <c r="I100" s="45">
        <f t="shared" si="10"/>
        <v>200</v>
      </c>
      <c r="J100" s="46">
        <f t="shared" si="10"/>
        <v>0</v>
      </c>
      <c r="K100" s="45">
        <f>K101</f>
        <v>0</v>
      </c>
      <c r="L100" s="46">
        <f t="shared" si="10"/>
        <v>0</v>
      </c>
      <c r="M100" s="45">
        <f t="shared" si="10"/>
        <v>200</v>
      </c>
      <c r="N100" s="45">
        <f t="shared" si="10"/>
        <v>0</v>
      </c>
      <c r="O100" s="45">
        <f t="shared" si="10"/>
        <v>200</v>
      </c>
    </row>
    <row r="101" spans="1:16" ht="47.25" x14ac:dyDescent="0.2">
      <c r="A101" s="40"/>
      <c r="B101" s="41" t="s">
        <v>143</v>
      </c>
      <c r="C101" s="42" t="s">
        <v>51</v>
      </c>
      <c r="D101" s="43" t="s">
        <v>86</v>
      </c>
      <c r="E101" s="43" t="s">
        <v>144</v>
      </c>
      <c r="F101" s="44" t="s">
        <v>11</v>
      </c>
      <c r="G101" s="45">
        <f t="shared" si="10"/>
        <v>200</v>
      </c>
      <c r="H101" s="45">
        <f t="shared" si="10"/>
        <v>0</v>
      </c>
      <c r="I101" s="45">
        <f t="shared" si="10"/>
        <v>200</v>
      </c>
      <c r="J101" s="46">
        <f t="shared" si="10"/>
        <v>0</v>
      </c>
      <c r="K101" s="45">
        <f>K102</f>
        <v>0</v>
      </c>
      <c r="L101" s="46">
        <f t="shared" si="10"/>
        <v>0</v>
      </c>
      <c r="M101" s="45">
        <f t="shared" si="10"/>
        <v>200</v>
      </c>
      <c r="N101" s="45">
        <f t="shared" si="10"/>
        <v>0</v>
      </c>
      <c r="O101" s="45">
        <f t="shared" si="10"/>
        <v>200</v>
      </c>
    </row>
    <row r="102" spans="1:16" ht="31.5" x14ac:dyDescent="0.2">
      <c r="A102" s="40"/>
      <c r="B102" s="41" t="s">
        <v>145</v>
      </c>
      <c r="C102" s="42" t="s">
        <v>51</v>
      </c>
      <c r="D102" s="43" t="s">
        <v>86</v>
      </c>
      <c r="E102" s="43" t="s">
        <v>146</v>
      </c>
      <c r="F102" s="44" t="s">
        <v>11</v>
      </c>
      <c r="G102" s="45">
        <f>G103</f>
        <v>200</v>
      </c>
      <c r="H102" s="45"/>
      <c r="I102" s="45">
        <f>I103</f>
        <v>200</v>
      </c>
      <c r="J102" s="46">
        <f t="shared" si="10"/>
        <v>0</v>
      </c>
      <c r="K102" s="45"/>
      <c r="L102" s="46">
        <f t="shared" si="10"/>
        <v>0</v>
      </c>
      <c r="M102" s="45">
        <f t="shared" si="10"/>
        <v>200</v>
      </c>
      <c r="N102" s="45">
        <f t="shared" si="10"/>
        <v>0</v>
      </c>
      <c r="O102" s="45">
        <f t="shared" si="10"/>
        <v>200</v>
      </c>
    </row>
    <row r="103" spans="1:16" ht="31.5" x14ac:dyDescent="0.2">
      <c r="A103" s="40"/>
      <c r="B103" s="41" t="s">
        <v>40</v>
      </c>
      <c r="C103" s="42" t="s">
        <v>51</v>
      </c>
      <c r="D103" s="43" t="s">
        <v>86</v>
      </c>
      <c r="E103" s="43" t="s">
        <v>146</v>
      </c>
      <c r="F103" s="44" t="s">
        <v>41</v>
      </c>
      <c r="G103" s="45">
        <v>200</v>
      </c>
      <c r="H103" s="45"/>
      <c r="I103" s="45">
        <v>200</v>
      </c>
      <c r="J103" s="47">
        <v>0</v>
      </c>
      <c r="K103" s="45">
        <f>K104</f>
        <v>0</v>
      </c>
      <c r="L103" s="47">
        <v>0</v>
      </c>
      <c r="M103" s="45">
        <v>200</v>
      </c>
      <c r="N103" s="45"/>
      <c r="O103" s="45">
        <v>200</v>
      </c>
    </row>
    <row r="104" spans="1:16" ht="1.5" customHeight="1" x14ac:dyDescent="0.2">
      <c r="A104" s="40"/>
      <c r="B104" s="41" t="s">
        <v>147</v>
      </c>
      <c r="C104" s="42" t="s">
        <v>51</v>
      </c>
      <c r="D104" s="43" t="s">
        <v>86</v>
      </c>
      <c r="E104" s="43" t="s">
        <v>148</v>
      </c>
      <c r="F104" s="44" t="s">
        <v>11</v>
      </c>
      <c r="G104" s="45">
        <f t="shared" ref="G104:O106" si="11">G105</f>
        <v>45.9</v>
      </c>
      <c r="H104" s="45">
        <f t="shared" si="11"/>
        <v>519.20000000000005</v>
      </c>
      <c r="I104" s="45">
        <f t="shared" si="11"/>
        <v>565.1</v>
      </c>
      <c r="J104" s="46">
        <f t="shared" si="11"/>
        <v>0</v>
      </c>
      <c r="K104" s="45">
        <f>K105</f>
        <v>0</v>
      </c>
      <c r="L104" s="46">
        <f t="shared" si="11"/>
        <v>0</v>
      </c>
      <c r="M104" s="45">
        <f t="shared" si="11"/>
        <v>45.9</v>
      </c>
      <c r="N104" s="45">
        <f t="shared" si="11"/>
        <v>519.20000000000005</v>
      </c>
      <c r="O104" s="45">
        <f t="shared" si="11"/>
        <v>565.1</v>
      </c>
    </row>
    <row r="105" spans="1:16" ht="31.5" x14ac:dyDescent="0.2">
      <c r="A105" s="40"/>
      <c r="B105" s="41" t="s">
        <v>149</v>
      </c>
      <c r="C105" s="42" t="s">
        <v>51</v>
      </c>
      <c r="D105" s="43" t="s">
        <v>86</v>
      </c>
      <c r="E105" s="43" t="s">
        <v>150</v>
      </c>
      <c r="F105" s="44" t="s">
        <v>11</v>
      </c>
      <c r="G105" s="45">
        <f t="shared" si="11"/>
        <v>45.9</v>
      </c>
      <c r="H105" s="45">
        <f t="shared" si="11"/>
        <v>519.20000000000005</v>
      </c>
      <c r="I105" s="45">
        <f t="shared" si="11"/>
        <v>565.1</v>
      </c>
      <c r="J105" s="46">
        <f t="shared" si="11"/>
        <v>0</v>
      </c>
      <c r="K105" s="45">
        <f>K106</f>
        <v>0</v>
      </c>
      <c r="L105" s="46">
        <f t="shared" si="11"/>
        <v>0</v>
      </c>
      <c r="M105" s="45">
        <f t="shared" si="11"/>
        <v>45.9</v>
      </c>
      <c r="N105" s="45">
        <f t="shared" si="11"/>
        <v>519.20000000000005</v>
      </c>
      <c r="O105" s="45">
        <f t="shared" si="11"/>
        <v>565.1</v>
      </c>
    </row>
    <row r="106" spans="1:16" ht="31.5" x14ac:dyDescent="0.2">
      <c r="A106" s="40"/>
      <c r="B106" s="41" t="s">
        <v>151</v>
      </c>
      <c r="C106" s="42" t="s">
        <v>51</v>
      </c>
      <c r="D106" s="43" t="s">
        <v>86</v>
      </c>
      <c r="E106" s="43" t="s">
        <v>152</v>
      </c>
      <c r="F106" s="44" t="s">
        <v>11</v>
      </c>
      <c r="G106" s="45">
        <f>G107</f>
        <v>45.9</v>
      </c>
      <c r="H106" s="45">
        <f>SUM(H107)</f>
        <v>519.20000000000005</v>
      </c>
      <c r="I106" s="45">
        <f>I107</f>
        <v>565.1</v>
      </c>
      <c r="J106" s="46">
        <f t="shared" si="11"/>
        <v>0</v>
      </c>
      <c r="K106" s="45"/>
      <c r="L106" s="46">
        <f t="shared" si="11"/>
        <v>0</v>
      </c>
      <c r="M106" s="45">
        <f t="shared" si="11"/>
        <v>45.9</v>
      </c>
      <c r="N106" s="45">
        <f t="shared" si="11"/>
        <v>519.20000000000005</v>
      </c>
      <c r="O106" s="45">
        <f t="shared" si="11"/>
        <v>565.1</v>
      </c>
    </row>
    <row r="107" spans="1:16" ht="22.5" customHeight="1" x14ac:dyDescent="0.2">
      <c r="A107" s="40"/>
      <c r="B107" s="41" t="s">
        <v>70</v>
      </c>
      <c r="C107" s="42" t="s">
        <v>51</v>
      </c>
      <c r="D107" s="43" t="s">
        <v>86</v>
      </c>
      <c r="E107" s="43" t="s">
        <v>152</v>
      </c>
      <c r="F107" s="44" t="s">
        <v>71</v>
      </c>
      <c r="G107" s="45">
        <v>45.9</v>
      </c>
      <c r="H107" s="45">
        <f>55+224.2+240</f>
        <v>519.20000000000005</v>
      </c>
      <c r="I107" s="45">
        <f>38.6+7.3+H107</f>
        <v>565.1</v>
      </c>
      <c r="J107" s="47">
        <v>0</v>
      </c>
      <c r="K107" s="25">
        <f>K108+K138</f>
        <v>0</v>
      </c>
      <c r="L107" s="47">
        <v>0</v>
      </c>
      <c r="M107" s="45">
        <f>SUM(G107)</f>
        <v>45.9</v>
      </c>
      <c r="N107" s="45">
        <f>SUM(H107)</f>
        <v>519.20000000000005</v>
      </c>
      <c r="O107" s="45">
        <f>SUM(I107)</f>
        <v>565.1</v>
      </c>
    </row>
    <row r="108" spans="1:16" ht="31.5" x14ac:dyDescent="0.2">
      <c r="A108" s="20" t="s">
        <v>153</v>
      </c>
      <c r="B108" s="21" t="s">
        <v>154</v>
      </c>
      <c r="C108" s="22" t="s">
        <v>51</v>
      </c>
      <c r="D108" s="23" t="s">
        <v>155</v>
      </c>
      <c r="E108" s="23" t="s">
        <v>11</v>
      </c>
      <c r="F108" s="24" t="s">
        <v>11</v>
      </c>
      <c r="G108" s="25">
        <f>G109+G139</f>
        <v>39640</v>
      </c>
      <c r="H108" s="38">
        <f>H109+H139</f>
        <v>3589.1000000000004</v>
      </c>
      <c r="I108" s="25">
        <f>I109+I139</f>
        <v>43229.100000000006</v>
      </c>
      <c r="J108" s="26">
        <f>J109+J139</f>
        <v>0</v>
      </c>
      <c r="K108" s="38">
        <f>K109</f>
        <v>0</v>
      </c>
      <c r="L108" s="26">
        <f>L109+L139</f>
        <v>0</v>
      </c>
      <c r="M108" s="25">
        <f>M109+M139</f>
        <v>39640</v>
      </c>
      <c r="N108" s="25">
        <f>N109+N139</f>
        <v>3589.1000000000004</v>
      </c>
      <c r="O108" s="25">
        <f>O109+O139</f>
        <v>43229.100000000006</v>
      </c>
      <c r="P108" s="17"/>
    </row>
    <row r="109" spans="1:16" ht="63" x14ac:dyDescent="0.2">
      <c r="A109" s="33" t="s">
        <v>156</v>
      </c>
      <c r="B109" s="34" t="s">
        <v>157</v>
      </c>
      <c r="C109" s="35" t="s">
        <v>51</v>
      </c>
      <c r="D109" s="36" t="s">
        <v>158</v>
      </c>
      <c r="E109" s="36" t="s">
        <v>11</v>
      </c>
      <c r="F109" s="37" t="s">
        <v>11</v>
      </c>
      <c r="G109" s="38">
        <f>G110</f>
        <v>34163.699999999997</v>
      </c>
      <c r="H109" s="45">
        <f>H110+H126+H127</f>
        <v>3022.1000000000004</v>
      </c>
      <c r="I109" s="38">
        <f>I110+I127</f>
        <v>37185.800000000003</v>
      </c>
      <c r="J109" s="39">
        <f>J110</f>
        <v>0</v>
      </c>
      <c r="K109" s="45">
        <f>K110+K126+K134</f>
        <v>0</v>
      </c>
      <c r="L109" s="39">
        <f>L110</f>
        <v>0</v>
      </c>
      <c r="M109" s="38">
        <f>M110</f>
        <v>34163.699999999997</v>
      </c>
      <c r="N109" s="38">
        <f>SUM(H109)</f>
        <v>3022.1000000000004</v>
      </c>
      <c r="O109" s="38">
        <f>O110+O127</f>
        <v>37185.800000000003</v>
      </c>
    </row>
    <row r="110" spans="1:16" ht="31.5" x14ac:dyDescent="0.2">
      <c r="A110" s="40"/>
      <c r="B110" s="41" t="s">
        <v>159</v>
      </c>
      <c r="C110" s="42" t="s">
        <v>51</v>
      </c>
      <c r="D110" s="43" t="s">
        <v>158</v>
      </c>
      <c r="E110" s="43" t="s">
        <v>160</v>
      </c>
      <c r="F110" s="44" t="s">
        <v>11</v>
      </c>
      <c r="G110" s="45">
        <f>G111+G131+G135</f>
        <v>34163.699999999997</v>
      </c>
      <c r="H110" s="45">
        <f>H111+H120+H123+H131</f>
        <v>2258.8000000000002</v>
      </c>
      <c r="I110" s="45">
        <f>I111+I131+I135</f>
        <v>36422.5</v>
      </c>
      <c r="J110" s="46">
        <f>J111+J131+J135</f>
        <v>0</v>
      </c>
      <c r="K110" s="45">
        <f>K111+K120+K123</f>
        <v>0</v>
      </c>
      <c r="L110" s="46">
        <f>L111+L131+L135</f>
        <v>0</v>
      </c>
      <c r="M110" s="45">
        <f>M111+M131+M135</f>
        <v>34163.699999999997</v>
      </c>
      <c r="N110" s="45">
        <f>N111+N131+N135</f>
        <v>2258.8000000000002</v>
      </c>
      <c r="O110" s="45">
        <f>O111+O131+O135</f>
        <v>36422.5</v>
      </c>
      <c r="P110" s="16"/>
    </row>
    <row r="111" spans="1:16" ht="63" x14ac:dyDescent="0.2">
      <c r="A111" s="40"/>
      <c r="B111" s="41" t="s">
        <v>161</v>
      </c>
      <c r="C111" s="42" t="s">
        <v>51</v>
      </c>
      <c r="D111" s="43" t="s">
        <v>158</v>
      </c>
      <c r="E111" s="43" t="s">
        <v>162</v>
      </c>
      <c r="F111" s="44" t="s">
        <v>11</v>
      </c>
      <c r="G111" s="45">
        <f>G112+G121+G124</f>
        <v>30402.799999999999</v>
      </c>
      <c r="H111" s="45">
        <f>H112</f>
        <v>2258.8000000000002</v>
      </c>
      <c r="I111" s="45">
        <f>I112+I121+I124</f>
        <v>32661.599999999999</v>
      </c>
      <c r="J111" s="46">
        <f>J112+J121+J124</f>
        <v>0</v>
      </c>
      <c r="K111" s="45">
        <f>K112+K116+K118</f>
        <v>0</v>
      </c>
      <c r="L111" s="46">
        <f>L112+L121+L124</f>
        <v>0</v>
      </c>
      <c r="M111" s="45">
        <f>M112+M121+M124</f>
        <v>30402.799999999999</v>
      </c>
      <c r="N111" s="45">
        <f>N112+N121+N124</f>
        <v>2258.8000000000002</v>
      </c>
      <c r="O111" s="45">
        <f>O112+O121+O124</f>
        <v>32661.599999999999</v>
      </c>
      <c r="P111" s="16"/>
    </row>
    <row r="112" spans="1:16" ht="63" x14ac:dyDescent="0.2">
      <c r="A112" s="40"/>
      <c r="B112" s="41" t="s">
        <v>163</v>
      </c>
      <c r="C112" s="42" t="s">
        <v>51</v>
      </c>
      <c r="D112" s="43" t="s">
        <v>158</v>
      </c>
      <c r="E112" s="43" t="s">
        <v>164</v>
      </c>
      <c r="F112" s="44" t="s">
        <v>11</v>
      </c>
      <c r="G112" s="45">
        <f>G113+G117+G119</f>
        <v>15302.1</v>
      </c>
      <c r="H112" s="45">
        <f>SUM(H113+H117)</f>
        <v>2258.8000000000002</v>
      </c>
      <c r="I112" s="45">
        <f>I113+I117+I119</f>
        <v>17560.900000000001</v>
      </c>
      <c r="J112" s="46">
        <f>J113+J117+J119</f>
        <v>0</v>
      </c>
      <c r="K112" s="45">
        <f>K113+K114+K115</f>
        <v>0</v>
      </c>
      <c r="L112" s="46">
        <f>L113+L117+L119</f>
        <v>0</v>
      </c>
      <c r="M112" s="45">
        <f>M113+M117+M119</f>
        <v>15302.1</v>
      </c>
      <c r="N112" s="45">
        <f>N113+N117+N119</f>
        <v>2258.8000000000002</v>
      </c>
      <c r="O112" s="45">
        <f>O113+O117+O119</f>
        <v>17560.900000000001</v>
      </c>
      <c r="P112" s="16"/>
    </row>
    <row r="113" spans="1:15" ht="31.5" x14ac:dyDescent="0.2">
      <c r="A113" s="40"/>
      <c r="B113" s="41" t="s">
        <v>134</v>
      </c>
      <c r="C113" s="42" t="s">
        <v>51</v>
      </c>
      <c r="D113" s="43" t="s">
        <v>158</v>
      </c>
      <c r="E113" s="43" t="s">
        <v>165</v>
      </c>
      <c r="F113" s="44" t="s">
        <v>11</v>
      </c>
      <c r="G113" s="45">
        <f>G114+G115+G116</f>
        <v>10737.1</v>
      </c>
      <c r="H113" s="45">
        <f>SUM(H114+H115)</f>
        <v>0</v>
      </c>
      <c r="I113" s="45">
        <f>I114+I115+I116</f>
        <v>10737.1</v>
      </c>
      <c r="J113" s="46">
        <f>J114+J115+J116</f>
        <v>0</v>
      </c>
      <c r="K113" s="45"/>
      <c r="L113" s="46">
        <f>L114+L115+L116</f>
        <v>0</v>
      </c>
      <c r="M113" s="45">
        <f>SUM(G113)</f>
        <v>10737.1</v>
      </c>
      <c r="N113" s="45">
        <f>N114+N115+N116</f>
        <v>0</v>
      </c>
      <c r="O113" s="45">
        <f>SUM(I113)</f>
        <v>10737.1</v>
      </c>
    </row>
    <row r="114" spans="1:15" ht="78.75" x14ac:dyDescent="0.2">
      <c r="A114" s="40"/>
      <c r="B114" s="41" t="s">
        <v>61</v>
      </c>
      <c r="C114" s="42" t="s">
        <v>51</v>
      </c>
      <c r="D114" s="43" t="s">
        <v>158</v>
      </c>
      <c r="E114" s="43" t="s">
        <v>165</v>
      </c>
      <c r="F114" s="44" t="s">
        <v>62</v>
      </c>
      <c r="G114" s="45">
        <v>9374.7000000000007</v>
      </c>
      <c r="H114" s="45"/>
      <c r="I114" s="45">
        <f>SUM(G114)</f>
        <v>9374.7000000000007</v>
      </c>
      <c r="J114" s="47">
        <v>0</v>
      </c>
      <c r="K114" s="45"/>
      <c r="L114" s="47">
        <v>0</v>
      </c>
      <c r="M114" s="45">
        <f>SUM(G114)</f>
        <v>9374.7000000000007</v>
      </c>
      <c r="N114" s="45">
        <f>SUM(H114)</f>
        <v>0</v>
      </c>
      <c r="O114" s="45">
        <f>SUM(I114)</f>
        <v>9374.7000000000007</v>
      </c>
    </row>
    <row r="115" spans="1:15" ht="31.5" x14ac:dyDescent="0.2">
      <c r="A115" s="40"/>
      <c r="B115" s="41" t="s">
        <v>40</v>
      </c>
      <c r="C115" s="42" t="s">
        <v>51</v>
      </c>
      <c r="D115" s="43" t="s">
        <v>158</v>
      </c>
      <c r="E115" s="43" t="s">
        <v>165</v>
      </c>
      <c r="F115" s="44" t="s">
        <v>41</v>
      </c>
      <c r="G115" s="45">
        <v>1339.4</v>
      </c>
      <c r="H115" s="45"/>
      <c r="I115" s="45">
        <f>SUM(G115)</f>
        <v>1339.4</v>
      </c>
      <c r="J115" s="47">
        <v>0</v>
      </c>
      <c r="K115" s="45"/>
      <c r="L115" s="47">
        <v>0</v>
      </c>
      <c r="M115" s="45">
        <f>SUM(G115)</f>
        <v>1339.4</v>
      </c>
      <c r="N115" s="45">
        <f>SUM(H115)</f>
        <v>0</v>
      </c>
      <c r="O115" s="45">
        <f>SUM(I115)</f>
        <v>1339.4</v>
      </c>
    </row>
    <row r="116" spans="1:15" ht="15.75" x14ac:dyDescent="0.2">
      <c r="A116" s="40"/>
      <c r="B116" s="41" t="s">
        <v>70</v>
      </c>
      <c r="C116" s="42" t="s">
        <v>51</v>
      </c>
      <c r="D116" s="43" t="s">
        <v>158</v>
      </c>
      <c r="E116" s="43" t="s">
        <v>165</v>
      </c>
      <c r="F116" s="44" t="s">
        <v>71</v>
      </c>
      <c r="G116" s="45">
        <v>23</v>
      </c>
      <c r="H116" s="45"/>
      <c r="I116" s="45">
        <v>23</v>
      </c>
      <c r="J116" s="47">
        <v>0</v>
      </c>
      <c r="K116" s="45"/>
      <c r="L116" s="47">
        <v>0</v>
      </c>
      <c r="M116" s="45">
        <v>23</v>
      </c>
      <c r="N116" s="45"/>
      <c r="O116" s="45">
        <v>23</v>
      </c>
    </row>
    <row r="117" spans="1:15" ht="63" x14ac:dyDescent="0.2">
      <c r="A117" s="40"/>
      <c r="B117" s="41" t="s">
        <v>166</v>
      </c>
      <c r="C117" s="42" t="s">
        <v>51</v>
      </c>
      <c r="D117" s="43" t="s">
        <v>158</v>
      </c>
      <c r="E117" s="43" t="s">
        <v>167</v>
      </c>
      <c r="F117" s="44" t="s">
        <v>11</v>
      </c>
      <c r="G117" s="45">
        <f>G118</f>
        <v>3565</v>
      </c>
      <c r="H117" s="48">
        <f>SUM(H118)</f>
        <v>2258.8000000000002</v>
      </c>
      <c r="I117" s="45">
        <f>I118</f>
        <v>5823.8</v>
      </c>
      <c r="J117" s="46">
        <f>J118</f>
        <v>0</v>
      </c>
      <c r="K117" s="48"/>
      <c r="L117" s="46">
        <f>L118</f>
        <v>0</v>
      </c>
      <c r="M117" s="45">
        <f>M118</f>
        <v>3565</v>
      </c>
      <c r="N117" s="45">
        <f>N118</f>
        <v>2258.8000000000002</v>
      </c>
      <c r="O117" s="45">
        <f>O118</f>
        <v>5823.8</v>
      </c>
    </row>
    <row r="118" spans="1:15" ht="31.5" x14ac:dyDescent="0.2">
      <c r="A118" s="40"/>
      <c r="B118" s="41" t="s">
        <v>40</v>
      </c>
      <c r="C118" s="42" t="s">
        <v>51</v>
      </c>
      <c r="D118" s="43" t="s">
        <v>158</v>
      </c>
      <c r="E118" s="43" t="s">
        <v>167</v>
      </c>
      <c r="F118" s="44" t="s">
        <v>41</v>
      </c>
      <c r="G118" s="48">
        <v>3565</v>
      </c>
      <c r="H118" s="45">
        <f>1719.9+538.9</f>
        <v>2258.8000000000002</v>
      </c>
      <c r="I118" s="48">
        <f>SUM(G118)+H118</f>
        <v>5823.8</v>
      </c>
      <c r="J118" s="47"/>
      <c r="K118" s="45"/>
      <c r="L118" s="47"/>
      <c r="M118" s="48">
        <f>SUM(G118)</f>
        <v>3565</v>
      </c>
      <c r="N118" s="48">
        <f>SUM(H118)</f>
        <v>2258.8000000000002</v>
      </c>
      <c r="O118" s="48">
        <f>SUM(M118)+N118</f>
        <v>5823.8</v>
      </c>
    </row>
    <row r="119" spans="1:15" ht="63" x14ac:dyDescent="0.2">
      <c r="A119" s="40"/>
      <c r="B119" s="41" t="s">
        <v>168</v>
      </c>
      <c r="C119" s="42" t="s">
        <v>51</v>
      </c>
      <c r="D119" s="43" t="s">
        <v>158</v>
      </c>
      <c r="E119" s="43" t="s">
        <v>169</v>
      </c>
      <c r="F119" s="44" t="s">
        <v>11</v>
      </c>
      <c r="G119" s="45">
        <f>G120</f>
        <v>1000</v>
      </c>
      <c r="H119" s="45"/>
      <c r="I119" s="45">
        <f>I120</f>
        <v>1000</v>
      </c>
      <c r="J119" s="46">
        <f>J120</f>
        <v>0</v>
      </c>
      <c r="K119" s="45"/>
      <c r="L119" s="46">
        <f>L120</f>
        <v>0</v>
      </c>
      <c r="M119" s="45">
        <f>M120</f>
        <v>1000</v>
      </c>
      <c r="N119" s="45">
        <f>N120</f>
        <v>0</v>
      </c>
      <c r="O119" s="45">
        <f>O120</f>
        <v>1000</v>
      </c>
    </row>
    <row r="120" spans="1:15" ht="31.5" x14ac:dyDescent="0.2">
      <c r="A120" s="40"/>
      <c r="B120" s="41" t="s">
        <v>40</v>
      </c>
      <c r="C120" s="42" t="s">
        <v>51</v>
      </c>
      <c r="D120" s="43" t="s">
        <v>158</v>
      </c>
      <c r="E120" s="43" t="s">
        <v>169</v>
      </c>
      <c r="F120" s="44" t="s">
        <v>41</v>
      </c>
      <c r="G120" s="45">
        <v>1000</v>
      </c>
      <c r="H120" s="45"/>
      <c r="I120" s="45">
        <v>1000</v>
      </c>
      <c r="J120" s="47"/>
      <c r="K120" s="45"/>
      <c r="L120" s="47"/>
      <c r="M120" s="45">
        <v>1000</v>
      </c>
      <c r="N120" s="45"/>
      <c r="O120" s="45">
        <v>1000</v>
      </c>
    </row>
    <row r="121" spans="1:15" ht="37.9" customHeight="1" x14ac:dyDescent="0.2">
      <c r="A121" s="40"/>
      <c r="B121" s="41" t="s">
        <v>170</v>
      </c>
      <c r="C121" s="42" t="s">
        <v>51</v>
      </c>
      <c r="D121" s="43" t="s">
        <v>158</v>
      </c>
      <c r="E121" s="43" t="s">
        <v>171</v>
      </c>
      <c r="F121" s="44" t="s">
        <v>11</v>
      </c>
      <c r="G121" s="45">
        <f t="shared" ref="G121:O122" si="12">G122</f>
        <v>13584.1</v>
      </c>
      <c r="H121" s="45">
        <f t="shared" si="12"/>
        <v>0</v>
      </c>
      <c r="I121" s="45">
        <f t="shared" si="12"/>
        <v>13584.1</v>
      </c>
      <c r="J121" s="46">
        <f t="shared" si="12"/>
        <v>0</v>
      </c>
      <c r="K121" s="45">
        <f t="shared" si="12"/>
        <v>0</v>
      </c>
      <c r="L121" s="46">
        <f t="shared" si="12"/>
        <v>0</v>
      </c>
      <c r="M121" s="45">
        <f t="shared" si="12"/>
        <v>13584.1</v>
      </c>
      <c r="N121" s="45">
        <f t="shared" si="12"/>
        <v>0</v>
      </c>
      <c r="O121" s="45">
        <f t="shared" si="12"/>
        <v>13584.1</v>
      </c>
    </row>
    <row r="122" spans="1:15" ht="94.5" x14ac:dyDescent="0.2">
      <c r="A122" s="40"/>
      <c r="B122" s="41" t="s">
        <v>172</v>
      </c>
      <c r="C122" s="42" t="s">
        <v>51</v>
      </c>
      <c r="D122" s="43" t="s">
        <v>158</v>
      </c>
      <c r="E122" s="43" t="s">
        <v>173</v>
      </c>
      <c r="F122" s="44" t="s">
        <v>11</v>
      </c>
      <c r="G122" s="45">
        <f t="shared" si="12"/>
        <v>13584.1</v>
      </c>
      <c r="H122" s="45"/>
      <c r="I122" s="45">
        <f t="shared" si="12"/>
        <v>13584.1</v>
      </c>
      <c r="J122" s="46">
        <f t="shared" si="12"/>
        <v>0</v>
      </c>
      <c r="K122" s="45"/>
      <c r="L122" s="46">
        <f t="shared" si="12"/>
        <v>0</v>
      </c>
      <c r="M122" s="45">
        <f t="shared" si="12"/>
        <v>13584.1</v>
      </c>
      <c r="N122" s="45">
        <f t="shared" si="12"/>
        <v>0</v>
      </c>
      <c r="O122" s="45">
        <f t="shared" si="12"/>
        <v>13584.1</v>
      </c>
    </row>
    <row r="123" spans="1:15" ht="15.75" x14ac:dyDescent="0.2">
      <c r="A123" s="40"/>
      <c r="B123" s="41" t="s">
        <v>47</v>
      </c>
      <c r="C123" s="42" t="s">
        <v>51</v>
      </c>
      <c r="D123" s="43" t="s">
        <v>158</v>
      </c>
      <c r="E123" s="43" t="s">
        <v>173</v>
      </c>
      <c r="F123" s="44" t="s">
        <v>48</v>
      </c>
      <c r="G123" s="45">
        <f>13584.2-0.1</f>
        <v>13584.1</v>
      </c>
      <c r="H123" s="45">
        <f t="shared" ref="G123:O125" si="13">H124</f>
        <v>0</v>
      </c>
      <c r="I123" s="45">
        <f>13584.2-0.1</f>
        <v>13584.1</v>
      </c>
      <c r="J123" s="47">
        <v>0</v>
      </c>
      <c r="K123" s="45">
        <f t="shared" si="13"/>
        <v>0</v>
      </c>
      <c r="L123" s="47">
        <v>0</v>
      </c>
      <c r="M123" s="45">
        <f>13584.2-0.1</f>
        <v>13584.1</v>
      </c>
      <c r="N123" s="45"/>
      <c r="O123" s="45">
        <f>13584.2-0.1</f>
        <v>13584.1</v>
      </c>
    </row>
    <row r="124" spans="1:15" ht="63" x14ac:dyDescent="0.2">
      <c r="A124" s="40"/>
      <c r="B124" s="41" t="s">
        <v>174</v>
      </c>
      <c r="C124" s="42" t="s">
        <v>51</v>
      </c>
      <c r="D124" s="43" t="s">
        <v>158</v>
      </c>
      <c r="E124" s="43" t="s">
        <v>175</v>
      </c>
      <c r="F124" s="44" t="s">
        <v>11</v>
      </c>
      <c r="G124" s="45">
        <f t="shared" si="13"/>
        <v>1516.6000000000001</v>
      </c>
      <c r="H124" s="45">
        <f t="shared" si="13"/>
        <v>0</v>
      </c>
      <c r="I124" s="45">
        <f t="shared" si="13"/>
        <v>1516.6000000000001</v>
      </c>
      <c r="J124" s="46">
        <f t="shared" si="13"/>
        <v>0</v>
      </c>
      <c r="K124" s="45">
        <f t="shared" si="13"/>
        <v>0</v>
      </c>
      <c r="L124" s="46">
        <f t="shared" si="13"/>
        <v>0</v>
      </c>
      <c r="M124" s="45">
        <f t="shared" si="13"/>
        <v>1516.6000000000001</v>
      </c>
      <c r="N124" s="45">
        <f t="shared" si="13"/>
        <v>0</v>
      </c>
      <c r="O124" s="45">
        <f t="shared" si="13"/>
        <v>1516.6000000000001</v>
      </c>
    </row>
    <row r="125" spans="1:15" ht="78.75" x14ac:dyDescent="0.2">
      <c r="A125" s="40"/>
      <c r="B125" s="41" t="s">
        <v>176</v>
      </c>
      <c r="C125" s="42" t="s">
        <v>51</v>
      </c>
      <c r="D125" s="43" t="s">
        <v>158</v>
      </c>
      <c r="E125" s="43" t="s">
        <v>177</v>
      </c>
      <c r="F125" s="44" t="s">
        <v>11</v>
      </c>
      <c r="G125" s="45">
        <f t="shared" si="13"/>
        <v>1516.6000000000001</v>
      </c>
      <c r="H125" s="45"/>
      <c r="I125" s="45">
        <f t="shared" si="13"/>
        <v>1516.6000000000001</v>
      </c>
      <c r="J125" s="46">
        <f t="shared" si="13"/>
        <v>0</v>
      </c>
      <c r="K125" s="45"/>
      <c r="L125" s="46">
        <f t="shared" si="13"/>
        <v>0</v>
      </c>
      <c r="M125" s="45">
        <f t="shared" si="13"/>
        <v>1516.6000000000001</v>
      </c>
      <c r="N125" s="45">
        <f t="shared" si="13"/>
        <v>0</v>
      </c>
      <c r="O125" s="45">
        <f t="shared" si="13"/>
        <v>1516.6000000000001</v>
      </c>
    </row>
    <row r="126" spans="1:15" ht="15.75" x14ac:dyDescent="0.2">
      <c r="A126" s="40"/>
      <c r="B126" s="41" t="s">
        <v>178</v>
      </c>
      <c r="C126" s="42" t="s">
        <v>51</v>
      </c>
      <c r="D126" s="43" t="s">
        <v>158</v>
      </c>
      <c r="E126" s="43" t="s">
        <v>177</v>
      </c>
      <c r="F126" s="44" t="s">
        <v>48</v>
      </c>
      <c r="G126" s="45">
        <f>1516.7-0.1</f>
        <v>1516.6000000000001</v>
      </c>
      <c r="H126" s="45"/>
      <c r="I126" s="45">
        <f>1516.7-0.1</f>
        <v>1516.6000000000001</v>
      </c>
      <c r="J126" s="47">
        <v>0</v>
      </c>
      <c r="K126" s="45"/>
      <c r="L126" s="47">
        <v>0</v>
      </c>
      <c r="M126" s="45">
        <f>1516.7-0.1</f>
        <v>1516.6000000000001</v>
      </c>
      <c r="N126" s="45"/>
      <c r="O126" s="45">
        <f>1516.7-0.1</f>
        <v>1516.6000000000001</v>
      </c>
    </row>
    <row r="127" spans="1:15" ht="31.5" x14ac:dyDescent="0.2">
      <c r="A127" s="40"/>
      <c r="B127" s="41" t="s">
        <v>66</v>
      </c>
      <c r="C127" s="42">
        <v>992</v>
      </c>
      <c r="D127" s="43" t="s">
        <v>158</v>
      </c>
      <c r="E127" s="43">
        <v>5200000000</v>
      </c>
      <c r="F127" s="44"/>
      <c r="G127" s="45"/>
      <c r="H127" s="45">
        <v>763.3</v>
      </c>
      <c r="I127" s="45">
        <f>SUM(H127)</f>
        <v>763.3</v>
      </c>
      <c r="J127" s="47"/>
      <c r="K127" s="45"/>
      <c r="L127" s="47"/>
      <c r="M127" s="45"/>
      <c r="N127" s="45">
        <f t="shared" ref="N127:O129" si="14">SUM(H127)</f>
        <v>763.3</v>
      </c>
      <c r="O127" s="45">
        <f t="shared" si="14"/>
        <v>763.3</v>
      </c>
    </row>
    <row r="128" spans="1:15" ht="31.5" x14ac:dyDescent="0.2">
      <c r="A128" s="40"/>
      <c r="B128" s="41" t="s">
        <v>80</v>
      </c>
      <c r="C128" s="42">
        <v>992</v>
      </c>
      <c r="D128" s="43" t="s">
        <v>158</v>
      </c>
      <c r="E128" s="43">
        <v>5230000000</v>
      </c>
      <c r="F128" s="44"/>
      <c r="G128" s="45"/>
      <c r="H128" s="45">
        <v>763.3</v>
      </c>
      <c r="I128" s="45">
        <f>SUM(H128)</f>
        <v>763.3</v>
      </c>
      <c r="J128" s="47"/>
      <c r="K128" s="45"/>
      <c r="L128" s="47"/>
      <c r="M128" s="45"/>
      <c r="N128" s="45">
        <f t="shared" si="14"/>
        <v>763.3</v>
      </c>
      <c r="O128" s="45">
        <f t="shared" si="14"/>
        <v>763.3</v>
      </c>
    </row>
    <row r="129" spans="1:16" ht="31.5" x14ac:dyDescent="0.2">
      <c r="A129" s="40"/>
      <c r="B129" s="41" t="s">
        <v>82</v>
      </c>
      <c r="C129" s="42">
        <v>992</v>
      </c>
      <c r="D129" s="43" t="s">
        <v>158</v>
      </c>
      <c r="E129" s="43">
        <v>5230010490</v>
      </c>
      <c r="F129" s="44"/>
      <c r="G129" s="45"/>
      <c r="H129" s="45">
        <v>763.3</v>
      </c>
      <c r="I129" s="45">
        <f>SUM(H129)</f>
        <v>763.3</v>
      </c>
      <c r="J129" s="47"/>
      <c r="K129" s="45"/>
      <c r="L129" s="47"/>
      <c r="M129" s="45"/>
      <c r="N129" s="45">
        <f t="shared" si="14"/>
        <v>763.3</v>
      </c>
      <c r="O129" s="45">
        <f t="shared" si="14"/>
        <v>763.3</v>
      </c>
    </row>
    <row r="130" spans="1:16" ht="31.5" x14ac:dyDescent="0.2">
      <c r="A130" s="40"/>
      <c r="B130" s="41" t="s">
        <v>40</v>
      </c>
      <c r="C130" s="42">
        <v>992</v>
      </c>
      <c r="D130" s="43" t="s">
        <v>158</v>
      </c>
      <c r="E130" s="43">
        <v>5230010490</v>
      </c>
      <c r="F130" s="44">
        <v>200</v>
      </c>
      <c r="G130" s="45"/>
      <c r="H130" s="45">
        <v>763.3</v>
      </c>
      <c r="I130" s="45">
        <f>SUM(H130)</f>
        <v>763.3</v>
      </c>
      <c r="J130" s="47"/>
      <c r="K130" s="45"/>
      <c r="L130" s="47"/>
      <c r="M130" s="45"/>
      <c r="N130" s="45">
        <f>SUM(H130)</f>
        <v>763.3</v>
      </c>
      <c r="O130" s="45">
        <f>SUM(N130)</f>
        <v>763.3</v>
      </c>
    </row>
    <row r="131" spans="1:16" ht="15.75" x14ac:dyDescent="0.2">
      <c r="A131" s="40"/>
      <c r="B131" s="41" t="s">
        <v>179</v>
      </c>
      <c r="C131" s="42" t="s">
        <v>51</v>
      </c>
      <c r="D131" s="43" t="s">
        <v>158</v>
      </c>
      <c r="E131" s="43" t="s">
        <v>180</v>
      </c>
      <c r="F131" s="44" t="s">
        <v>11</v>
      </c>
      <c r="G131" s="45">
        <f t="shared" ref="G131:O133" si="15">G132</f>
        <v>394.4</v>
      </c>
      <c r="H131" s="45">
        <f t="shared" si="15"/>
        <v>0</v>
      </c>
      <c r="I131" s="45">
        <f t="shared" si="15"/>
        <v>394.4</v>
      </c>
      <c r="J131" s="46">
        <f t="shared" si="15"/>
        <v>0</v>
      </c>
      <c r="K131" s="45">
        <f>K132</f>
        <v>0</v>
      </c>
      <c r="L131" s="46">
        <f t="shared" si="15"/>
        <v>0</v>
      </c>
      <c r="M131" s="45">
        <f t="shared" si="15"/>
        <v>394.4</v>
      </c>
      <c r="N131" s="45">
        <f t="shared" si="15"/>
        <v>0</v>
      </c>
      <c r="O131" s="45">
        <f t="shared" si="15"/>
        <v>394.4</v>
      </c>
    </row>
    <row r="132" spans="1:16" ht="31.5" x14ac:dyDescent="0.2">
      <c r="A132" s="40"/>
      <c r="B132" s="41" t="s">
        <v>181</v>
      </c>
      <c r="C132" s="42" t="s">
        <v>51</v>
      </c>
      <c r="D132" s="43" t="s">
        <v>158</v>
      </c>
      <c r="E132" s="43" t="s">
        <v>182</v>
      </c>
      <c r="F132" s="44" t="s">
        <v>11</v>
      </c>
      <c r="G132" s="45">
        <f t="shared" si="15"/>
        <v>394.4</v>
      </c>
      <c r="H132" s="45">
        <f t="shared" si="15"/>
        <v>0</v>
      </c>
      <c r="I132" s="45">
        <f t="shared" si="15"/>
        <v>394.4</v>
      </c>
      <c r="J132" s="46">
        <f t="shared" si="15"/>
        <v>0</v>
      </c>
      <c r="K132" s="45">
        <f>K133</f>
        <v>0</v>
      </c>
      <c r="L132" s="46">
        <f t="shared" si="15"/>
        <v>0</v>
      </c>
      <c r="M132" s="45">
        <f t="shared" si="15"/>
        <v>394.4</v>
      </c>
      <c r="N132" s="45">
        <f t="shared" si="15"/>
        <v>0</v>
      </c>
      <c r="O132" s="45">
        <f t="shared" si="15"/>
        <v>394.4</v>
      </c>
    </row>
    <row r="133" spans="1:16" ht="15.75" x14ac:dyDescent="0.2">
      <c r="A133" s="40"/>
      <c r="B133" s="41" t="s">
        <v>183</v>
      </c>
      <c r="C133" s="42" t="s">
        <v>51</v>
      </c>
      <c r="D133" s="43" t="s">
        <v>158</v>
      </c>
      <c r="E133" s="43" t="s">
        <v>184</v>
      </c>
      <c r="F133" s="44" t="s">
        <v>11</v>
      </c>
      <c r="G133" s="45">
        <f>G134</f>
        <v>394.4</v>
      </c>
      <c r="H133" s="45">
        <f>H134</f>
        <v>0</v>
      </c>
      <c r="I133" s="45">
        <f>I134</f>
        <v>394.4</v>
      </c>
      <c r="J133" s="46">
        <f t="shared" si="15"/>
        <v>0</v>
      </c>
      <c r="K133" s="45"/>
      <c r="L133" s="46">
        <f t="shared" si="15"/>
        <v>0</v>
      </c>
      <c r="M133" s="45">
        <f t="shared" si="15"/>
        <v>394.4</v>
      </c>
      <c r="N133" s="45">
        <f t="shared" si="15"/>
        <v>0</v>
      </c>
      <c r="O133" s="45">
        <f t="shared" si="15"/>
        <v>394.4</v>
      </c>
    </row>
    <row r="134" spans="1:16" ht="31.5" x14ac:dyDescent="0.2">
      <c r="A134" s="40"/>
      <c r="B134" s="41" t="s">
        <v>40</v>
      </c>
      <c r="C134" s="42" t="s">
        <v>51</v>
      </c>
      <c r="D134" s="43" t="s">
        <v>158</v>
      </c>
      <c r="E134" s="43" t="s">
        <v>184</v>
      </c>
      <c r="F134" s="44" t="s">
        <v>41</v>
      </c>
      <c r="G134" s="45">
        <v>394.4</v>
      </c>
      <c r="H134" s="45"/>
      <c r="I134" s="45">
        <f>SUM(G134)</f>
        <v>394.4</v>
      </c>
      <c r="J134" s="47">
        <v>0</v>
      </c>
      <c r="K134" s="45"/>
      <c r="L134" s="47">
        <v>0</v>
      </c>
      <c r="M134" s="45">
        <f>SUM(G134)</f>
        <v>394.4</v>
      </c>
      <c r="N134" s="45">
        <f>SUM(H134)</f>
        <v>0</v>
      </c>
      <c r="O134" s="45">
        <f>SUM(M134)</f>
        <v>394.4</v>
      </c>
    </row>
    <row r="135" spans="1:16" ht="31.5" x14ac:dyDescent="0.2">
      <c r="A135" s="40"/>
      <c r="B135" s="41" t="s">
        <v>185</v>
      </c>
      <c r="C135" s="42" t="s">
        <v>51</v>
      </c>
      <c r="D135" s="43" t="s">
        <v>158</v>
      </c>
      <c r="E135" s="43" t="s">
        <v>186</v>
      </c>
      <c r="F135" s="44" t="s">
        <v>11</v>
      </c>
      <c r="G135" s="45">
        <f t="shared" ref="G135:O137" si="16">G136</f>
        <v>3366.5</v>
      </c>
      <c r="H135" s="45">
        <f t="shared" si="16"/>
        <v>0</v>
      </c>
      <c r="I135" s="45">
        <f t="shared" si="16"/>
        <v>3366.5</v>
      </c>
      <c r="J135" s="46">
        <f t="shared" si="16"/>
        <v>0</v>
      </c>
      <c r="K135" s="45">
        <f>K136</f>
        <v>0</v>
      </c>
      <c r="L135" s="46">
        <f t="shared" si="16"/>
        <v>0</v>
      </c>
      <c r="M135" s="45">
        <f t="shared" si="16"/>
        <v>3366.5</v>
      </c>
      <c r="N135" s="45">
        <f t="shared" si="16"/>
        <v>0</v>
      </c>
      <c r="O135" s="45">
        <f t="shared" si="16"/>
        <v>3366.5</v>
      </c>
    </row>
    <row r="136" spans="1:16" ht="47.25" x14ac:dyDescent="0.2">
      <c r="A136" s="40"/>
      <c r="B136" s="41" t="s">
        <v>187</v>
      </c>
      <c r="C136" s="42" t="s">
        <v>51</v>
      </c>
      <c r="D136" s="43" t="s">
        <v>158</v>
      </c>
      <c r="E136" s="43" t="s">
        <v>188</v>
      </c>
      <c r="F136" s="44" t="s">
        <v>11</v>
      </c>
      <c r="G136" s="45">
        <f t="shared" si="16"/>
        <v>3366.5</v>
      </c>
      <c r="H136" s="45">
        <f t="shared" si="16"/>
        <v>0</v>
      </c>
      <c r="I136" s="45">
        <f t="shared" si="16"/>
        <v>3366.5</v>
      </c>
      <c r="J136" s="46">
        <f t="shared" si="16"/>
        <v>0</v>
      </c>
      <c r="K136" s="45">
        <f>K137</f>
        <v>0</v>
      </c>
      <c r="L136" s="46">
        <f t="shared" si="16"/>
        <v>0</v>
      </c>
      <c r="M136" s="45">
        <f t="shared" si="16"/>
        <v>3366.5</v>
      </c>
      <c r="N136" s="45">
        <f t="shared" si="16"/>
        <v>0</v>
      </c>
      <c r="O136" s="45">
        <f t="shared" si="16"/>
        <v>3366.5</v>
      </c>
    </row>
    <row r="137" spans="1:16" ht="78.75" x14ac:dyDescent="0.2">
      <c r="A137" s="40"/>
      <c r="B137" s="41" t="s">
        <v>189</v>
      </c>
      <c r="C137" s="42" t="s">
        <v>51</v>
      </c>
      <c r="D137" s="43" t="s">
        <v>158</v>
      </c>
      <c r="E137" s="43" t="s">
        <v>190</v>
      </c>
      <c r="F137" s="44" t="s">
        <v>11</v>
      </c>
      <c r="G137" s="45">
        <f>G138</f>
        <v>3366.5</v>
      </c>
      <c r="H137" s="45"/>
      <c r="I137" s="45">
        <f>I138</f>
        <v>3366.5</v>
      </c>
      <c r="J137" s="46">
        <f t="shared" si="16"/>
        <v>0</v>
      </c>
      <c r="K137" s="45"/>
      <c r="L137" s="46">
        <f t="shared" si="16"/>
        <v>0</v>
      </c>
      <c r="M137" s="45">
        <f t="shared" si="16"/>
        <v>3366.5</v>
      </c>
      <c r="N137" s="45">
        <f t="shared" si="16"/>
        <v>0</v>
      </c>
      <c r="O137" s="45">
        <f t="shared" si="16"/>
        <v>3366.5</v>
      </c>
    </row>
    <row r="138" spans="1:16" ht="15.75" x14ac:dyDescent="0.2">
      <c r="A138" s="40"/>
      <c r="B138" s="41" t="s">
        <v>47</v>
      </c>
      <c r="C138" s="42" t="s">
        <v>51</v>
      </c>
      <c r="D138" s="43" t="s">
        <v>158</v>
      </c>
      <c r="E138" s="43" t="s">
        <v>190</v>
      </c>
      <c r="F138" s="44" t="s">
        <v>48</v>
      </c>
      <c r="G138" s="45">
        <v>3366.5</v>
      </c>
      <c r="H138" s="38"/>
      <c r="I138" s="45">
        <v>3366.5</v>
      </c>
      <c r="J138" s="47">
        <v>0</v>
      </c>
      <c r="K138" s="38"/>
      <c r="L138" s="47">
        <v>0</v>
      </c>
      <c r="M138" s="45">
        <v>3366.5</v>
      </c>
      <c r="N138" s="45"/>
      <c r="O138" s="45">
        <v>3366.5</v>
      </c>
    </row>
    <row r="139" spans="1:16" ht="36.6" customHeight="1" x14ac:dyDescent="0.2">
      <c r="A139" s="33" t="s">
        <v>191</v>
      </c>
      <c r="B139" s="34" t="s">
        <v>192</v>
      </c>
      <c r="C139" s="35" t="s">
        <v>51</v>
      </c>
      <c r="D139" s="36" t="s">
        <v>193</v>
      </c>
      <c r="E139" s="36" t="s">
        <v>11</v>
      </c>
      <c r="F139" s="37" t="s">
        <v>11</v>
      </c>
      <c r="G139" s="38">
        <f>G140</f>
        <v>5476.3</v>
      </c>
      <c r="H139" s="45">
        <f>H140+H146+H150</f>
        <v>567</v>
      </c>
      <c r="I139" s="38">
        <f>I140</f>
        <v>6043.3</v>
      </c>
      <c r="J139" s="39">
        <f>J140</f>
        <v>0</v>
      </c>
      <c r="K139" s="45">
        <f>K140+K146+K150</f>
        <v>0</v>
      </c>
      <c r="L139" s="39">
        <f>L140</f>
        <v>0</v>
      </c>
      <c r="M139" s="38">
        <f>M140</f>
        <v>5476.3</v>
      </c>
      <c r="N139" s="38">
        <f>N140</f>
        <v>567</v>
      </c>
      <c r="O139" s="38">
        <f>O140</f>
        <v>6043.3</v>
      </c>
    </row>
    <row r="140" spans="1:16" ht="31.5" x14ac:dyDescent="0.2">
      <c r="A140" s="40"/>
      <c r="B140" s="41" t="s">
        <v>159</v>
      </c>
      <c r="C140" s="42" t="s">
        <v>51</v>
      </c>
      <c r="D140" s="43" t="s">
        <v>193</v>
      </c>
      <c r="E140" s="43" t="s">
        <v>160</v>
      </c>
      <c r="F140" s="44" t="s">
        <v>11</v>
      </c>
      <c r="G140" s="45">
        <f>G141+G147+G151</f>
        <v>5476.3</v>
      </c>
      <c r="H140" s="45">
        <f>H141</f>
        <v>567</v>
      </c>
      <c r="I140" s="45">
        <f>I141+I147+I151</f>
        <v>6043.3</v>
      </c>
      <c r="J140" s="46">
        <f>J141+J147+J151</f>
        <v>0</v>
      </c>
      <c r="K140" s="45">
        <f>K141</f>
        <v>0</v>
      </c>
      <c r="L140" s="46">
        <f>L141+L147+L151</f>
        <v>0</v>
      </c>
      <c r="M140" s="45">
        <f>M141+M147+M151</f>
        <v>5476.3</v>
      </c>
      <c r="N140" s="45">
        <f>N141+N147+N151</f>
        <v>567</v>
      </c>
      <c r="O140" s="45">
        <f>O141+O147+O151</f>
        <v>6043.3</v>
      </c>
    </row>
    <row r="141" spans="1:16" ht="31.5" x14ac:dyDescent="0.2">
      <c r="A141" s="40"/>
      <c r="B141" s="41" t="s">
        <v>194</v>
      </c>
      <c r="C141" s="42" t="s">
        <v>51</v>
      </c>
      <c r="D141" s="43" t="s">
        <v>193</v>
      </c>
      <c r="E141" s="43" t="s">
        <v>195</v>
      </c>
      <c r="F141" s="44" t="s">
        <v>11</v>
      </c>
      <c r="G141" s="45">
        <f>G142</f>
        <v>5361.3</v>
      </c>
      <c r="H141" s="45">
        <f>H142</f>
        <v>567</v>
      </c>
      <c r="I141" s="45">
        <f>I142</f>
        <v>5928.3</v>
      </c>
      <c r="J141" s="46">
        <f>J142</f>
        <v>0</v>
      </c>
      <c r="K141" s="45">
        <f>K142+K144</f>
        <v>0</v>
      </c>
      <c r="L141" s="46">
        <f>L142</f>
        <v>0</v>
      </c>
      <c r="M141" s="45">
        <f>M142</f>
        <v>5361.3</v>
      </c>
      <c r="N141" s="45">
        <f>N142</f>
        <v>567</v>
      </c>
      <c r="O141" s="45">
        <f>O142</f>
        <v>5928.3</v>
      </c>
    </row>
    <row r="142" spans="1:16" ht="47.25" x14ac:dyDescent="0.2">
      <c r="A142" s="40"/>
      <c r="B142" s="41" t="s">
        <v>196</v>
      </c>
      <c r="C142" s="42" t="s">
        <v>51</v>
      </c>
      <c r="D142" s="43" t="s">
        <v>193</v>
      </c>
      <c r="E142" s="43" t="s">
        <v>197</v>
      </c>
      <c r="F142" s="44" t="s">
        <v>11</v>
      </c>
      <c r="G142" s="45">
        <f>G143+G145</f>
        <v>5361.3</v>
      </c>
      <c r="H142" s="45">
        <f>H143</f>
        <v>567</v>
      </c>
      <c r="I142" s="45">
        <f>I143+I145</f>
        <v>5928.3</v>
      </c>
      <c r="J142" s="46">
        <f>J143+J145</f>
        <v>0</v>
      </c>
      <c r="K142" s="45">
        <f>K143</f>
        <v>0</v>
      </c>
      <c r="L142" s="46">
        <f>L143+L145</f>
        <v>0</v>
      </c>
      <c r="M142" s="45">
        <f>M143+M145</f>
        <v>5361.3</v>
      </c>
      <c r="N142" s="45">
        <f>N143+N145</f>
        <v>567</v>
      </c>
      <c r="O142" s="45">
        <f>O143+O145</f>
        <v>5928.3</v>
      </c>
      <c r="P142" s="16"/>
    </row>
    <row r="143" spans="1:16" ht="31.5" x14ac:dyDescent="0.2">
      <c r="A143" s="40"/>
      <c r="B143" s="41" t="s">
        <v>198</v>
      </c>
      <c r="C143" s="42" t="s">
        <v>51</v>
      </c>
      <c r="D143" s="43" t="s">
        <v>193</v>
      </c>
      <c r="E143" s="43" t="s">
        <v>199</v>
      </c>
      <c r="F143" s="44" t="s">
        <v>11</v>
      </c>
      <c r="G143" s="45">
        <f>G144</f>
        <v>496.5</v>
      </c>
      <c r="H143" s="48">
        <f>SUM(H144)</f>
        <v>567</v>
      </c>
      <c r="I143" s="45">
        <f>I144</f>
        <v>1063.5</v>
      </c>
      <c r="J143" s="46">
        <f>J144</f>
        <v>0</v>
      </c>
      <c r="K143" s="48"/>
      <c r="L143" s="46">
        <f>L144</f>
        <v>0</v>
      </c>
      <c r="M143" s="45">
        <f>M144</f>
        <v>496.5</v>
      </c>
      <c r="N143" s="45">
        <f>N144</f>
        <v>567</v>
      </c>
      <c r="O143" s="45">
        <f>O144</f>
        <v>1063.5</v>
      </c>
    </row>
    <row r="144" spans="1:16" ht="31.5" x14ac:dyDescent="0.2">
      <c r="A144" s="40"/>
      <c r="B144" s="41" t="s">
        <v>40</v>
      </c>
      <c r="C144" s="42" t="s">
        <v>51</v>
      </c>
      <c r="D144" s="43" t="s">
        <v>193</v>
      </c>
      <c r="E144" s="43" t="s">
        <v>199</v>
      </c>
      <c r="F144" s="44" t="s">
        <v>41</v>
      </c>
      <c r="G144" s="48">
        <v>496.5</v>
      </c>
      <c r="H144" s="45">
        <v>567</v>
      </c>
      <c r="I144" s="48">
        <f>SUM(G144)+H144</f>
        <v>1063.5</v>
      </c>
      <c r="J144" s="47">
        <v>0</v>
      </c>
      <c r="K144" s="45"/>
      <c r="L144" s="47">
        <v>0</v>
      </c>
      <c r="M144" s="48">
        <f>SUM(G144)</f>
        <v>496.5</v>
      </c>
      <c r="N144" s="48">
        <f>SUM(H144)</f>
        <v>567</v>
      </c>
      <c r="O144" s="48">
        <f>SUM(I144)</f>
        <v>1063.5</v>
      </c>
    </row>
    <row r="145" spans="1:16" ht="63" x14ac:dyDescent="0.2">
      <c r="A145" s="40"/>
      <c r="B145" s="41" t="s">
        <v>200</v>
      </c>
      <c r="C145" s="42" t="s">
        <v>51</v>
      </c>
      <c r="D145" s="43" t="s">
        <v>193</v>
      </c>
      <c r="E145" s="43" t="s">
        <v>201</v>
      </c>
      <c r="F145" s="44" t="s">
        <v>11</v>
      </c>
      <c r="G145" s="45">
        <f>G146</f>
        <v>4864.8</v>
      </c>
      <c r="H145" s="45"/>
      <c r="I145" s="45">
        <f>I146</f>
        <v>4864.8</v>
      </c>
      <c r="J145" s="46">
        <f>J146</f>
        <v>0</v>
      </c>
      <c r="K145" s="45"/>
      <c r="L145" s="46">
        <f>L146</f>
        <v>0</v>
      </c>
      <c r="M145" s="45">
        <f>M146</f>
        <v>4864.8</v>
      </c>
      <c r="N145" s="45">
        <f>N146</f>
        <v>0</v>
      </c>
      <c r="O145" s="45">
        <f>O146</f>
        <v>4864.8</v>
      </c>
    </row>
    <row r="146" spans="1:16" ht="15.75" x14ac:dyDescent="0.2">
      <c r="A146" s="40"/>
      <c r="B146" s="41" t="s">
        <v>47</v>
      </c>
      <c r="C146" s="42" t="s">
        <v>51</v>
      </c>
      <c r="D146" s="43" t="s">
        <v>193</v>
      </c>
      <c r="E146" s="43" t="s">
        <v>201</v>
      </c>
      <c r="F146" s="44" t="s">
        <v>48</v>
      </c>
      <c r="G146" s="45">
        <v>4864.8</v>
      </c>
      <c r="H146" s="45"/>
      <c r="I146" s="45">
        <v>4864.8</v>
      </c>
      <c r="J146" s="47">
        <v>0</v>
      </c>
      <c r="K146" s="45"/>
      <c r="L146" s="47">
        <v>0</v>
      </c>
      <c r="M146" s="45">
        <v>4864.8</v>
      </c>
      <c r="N146" s="45"/>
      <c r="O146" s="45">
        <v>4864.8</v>
      </c>
    </row>
    <row r="147" spans="1:16" ht="15.75" x14ac:dyDescent="0.2">
      <c r="A147" s="40"/>
      <c r="B147" s="41" t="s">
        <v>202</v>
      </c>
      <c r="C147" s="42" t="s">
        <v>51</v>
      </c>
      <c r="D147" s="43" t="s">
        <v>193</v>
      </c>
      <c r="E147" s="43" t="s">
        <v>203</v>
      </c>
      <c r="F147" s="44" t="s">
        <v>11</v>
      </c>
      <c r="G147" s="45">
        <f t="shared" ref="G147:O149" si="17">G148</f>
        <v>20</v>
      </c>
      <c r="H147" s="45">
        <f t="shared" si="17"/>
        <v>0</v>
      </c>
      <c r="I147" s="45">
        <f t="shared" si="17"/>
        <v>20</v>
      </c>
      <c r="J147" s="46">
        <f t="shared" si="17"/>
        <v>0</v>
      </c>
      <c r="K147" s="45">
        <f>K148</f>
        <v>0</v>
      </c>
      <c r="L147" s="46">
        <f t="shared" si="17"/>
        <v>0</v>
      </c>
      <c r="M147" s="45">
        <f t="shared" si="17"/>
        <v>20</v>
      </c>
      <c r="N147" s="45">
        <f t="shared" si="17"/>
        <v>0</v>
      </c>
      <c r="O147" s="45">
        <f t="shared" si="17"/>
        <v>20</v>
      </c>
    </row>
    <row r="148" spans="1:16" ht="34.9" customHeight="1" x14ac:dyDescent="0.2">
      <c r="A148" s="40"/>
      <c r="B148" s="41" t="s">
        <v>204</v>
      </c>
      <c r="C148" s="42" t="s">
        <v>51</v>
      </c>
      <c r="D148" s="43" t="s">
        <v>193</v>
      </c>
      <c r="E148" s="43" t="s">
        <v>205</v>
      </c>
      <c r="F148" s="44" t="s">
        <v>11</v>
      </c>
      <c r="G148" s="45">
        <f t="shared" si="17"/>
        <v>20</v>
      </c>
      <c r="H148" s="45">
        <f t="shared" si="17"/>
        <v>0</v>
      </c>
      <c r="I148" s="45">
        <f t="shared" si="17"/>
        <v>20</v>
      </c>
      <c r="J148" s="46">
        <f t="shared" si="17"/>
        <v>0</v>
      </c>
      <c r="K148" s="45">
        <f>K149</f>
        <v>0</v>
      </c>
      <c r="L148" s="46">
        <f t="shared" si="17"/>
        <v>0</v>
      </c>
      <c r="M148" s="45">
        <f t="shared" si="17"/>
        <v>20</v>
      </c>
      <c r="N148" s="45">
        <f t="shared" si="17"/>
        <v>0</v>
      </c>
      <c r="O148" s="45">
        <f t="shared" si="17"/>
        <v>20</v>
      </c>
    </row>
    <row r="149" spans="1:16" ht="15.75" x14ac:dyDescent="0.2">
      <c r="A149" s="40"/>
      <c r="B149" s="41" t="s">
        <v>206</v>
      </c>
      <c r="C149" s="42" t="s">
        <v>51</v>
      </c>
      <c r="D149" s="43" t="s">
        <v>193</v>
      </c>
      <c r="E149" s="43" t="s">
        <v>207</v>
      </c>
      <c r="F149" s="44" t="s">
        <v>11</v>
      </c>
      <c r="G149" s="45">
        <f>G150</f>
        <v>20</v>
      </c>
      <c r="H149" s="45"/>
      <c r="I149" s="45">
        <f>I150</f>
        <v>20</v>
      </c>
      <c r="J149" s="46">
        <f t="shared" si="17"/>
        <v>0</v>
      </c>
      <c r="K149" s="45"/>
      <c r="L149" s="46">
        <f t="shared" si="17"/>
        <v>0</v>
      </c>
      <c r="M149" s="45">
        <f t="shared" si="17"/>
        <v>20</v>
      </c>
      <c r="N149" s="45">
        <f t="shared" si="17"/>
        <v>0</v>
      </c>
      <c r="O149" s="45">
        <f t="shared" si="17"/>
        <v>20</v>
      </c>
    </row>
    <row r="150" spans="1:16" ht="31.5" x14ac:dyDescent="0.2">
      <c r="A150" s="40"/>
      <c r="B150" s="41" t="s">
        <v>40</v>
      </c>
      <c r="C150" s="42" t="s">
        <v>51</v>
      </c>
      <c r="D150" s="43" t="s">
        <v>193</v>
      </c>
      <c r="E150" s="43" t="s">
        <v>207</v>
      </c>
      <c r="F150" s="44" t="s">
        <v>41</v>
      </c>
      <c r="G150" s="45">
        <v>20</v>
      </c>
      <c r="H150" s="45"/>
      <c r="I150" s="45">
        <v>20</v>
      </c>
      <c r="J150" s="47">
        <v>0</v>
      </c>
      <c r="K150" s="45"/>
      <c r="L150" s="47">
        <v>0</v>
      </c>
      <c r="M150" s="45">
        <v>20</v>
      </c>
      <c r="N150" s="45"/>
      <c r="O150" s="45">
        <v>20</v>
      </c>
    </row>
    <row r="151" spans="1:16" ht="31.5" x14ac:dyDescent="0.2">
      <c r="A151" s="40"/>
      <c r="B151" s="41" t="s">
        <v>185</v>
      </c>
      <c r="C151" s="42" t="s">
        <v>51</v>
      </c>
      <c r="D151" s="43" t="s">
        <v>193</v>
      </c>
      <c r="E151" s="43" t="s">
        <v>186</v>
      </c>
      <c r="F151" s="44" t="s">
        <v>11</v>
      </c>
      <c r="G151" s="45">
        <f t="shared" ref="G151:O153" si="18">G152</f>
        <v>95</v>
      </c>
      <c r="H151" s="45">
        <f t="shared" si="18"/>
        <v>0</v>
      </c>
      <c r="I151" s="45">
        <f t="shared" si="18"/>
        <v>95</v>
      </c>
      <c r="J151" s="46">
        <f t="shared" si="18"/>
        <v>0</v>
      </c>
      <c r="K151" s="45">
        <f>K152</f>
        <v>0</v>
      </c>
      <c r="L151" s="46">
        <f t="shared" si="18"/>
        <v>0</v>
      </c>
      <c r="M151" s="45">
        <f t="shared" si="18"/>
        <v>95</v>
      </c>
      <c r="N151" s="45">
        <f t="shared" si="18"/>
        <v>0</v>
      </c>
      <c r="O151" s="45">
        <f t="shared" si="18"/>
        <v>95</v>
      </c>
    </row>
    <row r="152" spans="1:16" ht="52.15" customHeight="1" x14ac:dyDescent="0.2">
      <c r="A152" s="40"/>
      <c r="B152" s="41" t="s">
        <v>208</v>
      </c>
      <c r="C152" s="42" t="s">
        <v>51</v>
      </c>
      <c r="D152" s="43" t="s">
        <v>193</v>
      </c>
      <c r="E152" s="43" t="s">
        <v>209</v>
      </c>
      <c r="F152" s="44" t="s">
        <v>11</v>
      </c>
      <c r="G152" s="45">
        <f t="shared" si="18"/>
        <v>95</v>
      </c>
      <c r="H152" s="45">
        <f t="shared" si="18"/>
        <v>0</v>
      </c>
      <c r="I152" s="45">
        <f t="shared" si="18"/>
        <v>95</v>
      </c>
      <c r="J152" s="46">
        <f t="shared" si="18"/>
        <v>0</v>
      </c>
      <c r="K152" s="45">
        <f>K153</f>
        <v>0</v>
      </c>
      <c r="L152" s="46">
        <f t="shared" si="18"/>
        <v>0</v>
      </c>
      <c r="M152" s="45">
        <f t="shared" si="18"/>
        <v>95</v>
      </c>
      <c r="N152" s="45">
        <f t="shared" si="18"/>
        <v>0</v>
      </c>
      <c r="O152" s="45">
        <f t="shared" si="18"/>
        <v>95</v>
      </c>
    </row>
    <row r="153" spans="1:16" ht="20.45" customHeight="1" x14ac:dyDescent="0.2">
      <c r="A153" s="40"/>
      <c r="B153" s="41" t="s">
        <v>210</v>
      </c>
      <c r="C153" s="42" t="s">
        <v>51</v>
      </c>
      <c r="D153" s="43" t="s">
        <v>193</v>
      </c>
      <c r="E153" s="43" t="s">
        <v>211</v>
      </c>
      <c r="F153" s="44" t="s">
        <v>11</v>
      </c>
      <c r="G153" s="45">
        <f>G154</f>
        <v>95</v>
      </c>
      <c r="H153" s="45"/>
      <c r="I153" s="45">
        <f>I154</f>
        <v>95</v>
      </c>
      <c r="J153" s="46">
        <f t="shared" si="18"/>
        <v>0</v>
      </c>
      <c r="K153" s="45"/>
      <c r="L153" s="46">
        <f t="shared" si="18"/>
        <v>0</v>
      </c>
      <c r="M153" s="45">
        <f t="shared" si="18"/>
        <v>95</v>
      </c>
      <c r="N153" s="45">
        <f t="shared" si="18"/>
        <v>0</v>
      </c>
      <c r="O153" s="45">
        <f t="shared" si="18"/>
        <v>95</v>
      </c>
    </row>
    <row r="154" spans="1:16" ht="31.5" x14ac:dyDescent="0.2">
      <c r="A154" s="40"/>
      <c r="B154" s="41" t="s">
        <v>40</v>
      </c>
      <c r="C154" s="42" t="s">
        <v>51</v>
      </c>
      <c r="D154" s="43" t="s">
        <v>193</v>
      </c>
      <c r="E154" s="43" t="s">
        <v>211</v>
      </c>
      <c r="F154" s="44" t="s">
        <v>41</v>
      </c>
      <c r="G154" s="45">
        <v>95</v>
      </c>
      <c r="H154" s="25"/>
      <c r="I154" s="45">
        <v>95</v>
      </c>
      <c r="J154" s="47">
        <v>0</v>
      </c>
      <c r="K154" s="25"/>
      <c r="L154" s="47">
        <v>0</v>
      </c>
      <c r="M154" s="45">
        <v>95</v>
      </c>
      <c r="N154" s="45"/>
      <c r="O154" s="45">
        <v>95</v>
      </c>
    </row>
    <row r="155" spans="1:16" ht="15.75" x14ac:dyDescent="0.2">
      <c r="A155" s="20" t="s">
        <v>212</v>
      </c>
      <c r="B155" s="21" t="s">
        <v>213</v>
      </c>
      <c r="C155" s="22" t="s">
        <v>51</v>
      </c>
      <c r="D155" s="23" t="s">
        <v>214</v>
      </c>
      <c r="E155" s="23" t="s">
        <v>11</v>
      </c>
      <c r="F155" s="24" t="s">
        <v>11</v>
      </c>
      <c r="G155" s="25">
        <f>G156+G162+G183+G189</f>
        <v>62672</v>
      </c>
      <c r="H155" s="38">
        <f>H156+H162+H189</f>
        <v>774.2</v>
      </c>
      <c r="I155" s="25">
        <f t="shared" ref="I155:O155" si="19">I156+I162+I183+I189</f>
        <v>63446.2</v>
      </c>
      <c r="J155" s="26">
        <f t="shared" si="19"/>
        <v>60926</v>
      </c>
      <c r="K155" s="26">
        <f t="shared" si="19"/>
        <v>5589.3</v>
      </c>
      <c r="L155" s="26">
        <f t="shared" si="19"/>
        <v>66515.3</v>
      </c>
      <c r="M155" s="25">
        <f t="shared" si="19"/>
        <v>123598</v>
      </c>
      <c r="N155" s="25">
        <f t="shared" si="19"/>
        <v>6363.5</v>
      </c>
      <c r="O155" s="25">
        <f t="shared" si="19"/>
        <v>129961.5</v>
      </c>
      <c r="P155" s="17"/>
    </row>
    <row r="156" spans="1:16" ht="15.75" x14ac:dyDescent="0.2">
      <c r="A156" s="33" t="s">
        <v>215</v>
      </c>
      <c r="B156" s="34" t="s">
        <v>216</v>
      </c>
      <c r="C156" s="35" t="s">
        <v>51</v>
      </c>
      <c r="D156" s="36" t="s">
        <v>217</v>
      </c>
      <c r="E156" s="36" t="s">
        <v>11</v>
      </c>
      <c r="F156" s="37" t="s">
        <v>11</v>
      </c>
      <c r="G156" s="38">
        <f t="shared" ref="G156:O160" si="20">G157</f>
        <v>487.6</v>
      </c>
      <c r="H156" s="45">
        <f t="shared" si="20"/>
        <v>0</v>
      </c>
      <c r="I156" s="38">
        <f t="shared" si="20"/>
        <v>487.6</v>
      </c>
      <c r="J156" s="39">
        <f t="shared" si="20"/>
        <v>9262.4</v>
      </c>
      <c r="K156" s="45">
        <f>K157</f>
        <v>0</v>
      </c>
      <c r="L156" s="39">
        <f t="shared" si="20"/>
        <v>9262.4</v>
      </c>
      <c r="M156" s="38">
        <f t="shared" si="20"/>
        <v>9750</v>
      </c>
      <c r="N156" s="38">
        <f t="shared" si="20"/>
        <v>0</v>
      </c>
      <c r="O156" s="38">
        <f t="shared" si="20"/>
        <v>9750</v>
      </c>
    </row>
    <row r="157" spans="1:16" ht="31.5" x14ac:dyDescent="0.2">
      <c r="A157" s="40"/>
      <c r="B157" s="41" t="s">
        <v>218</v>
      </c>
      <c r="C157" s="42" t="s">
        <v>51</v>
      </c>
      <c r="D157" s="43" t="s">
        <v>217</v>
      </c>
      <c r="E157" s="43" t="s">
        <v>219</v>
      </c>
      <c r="F157" s="44" t="s">
        <v>11</v>
      </c>
      <c r="G157" s="45">
        <f t="shared" si="20"/>
        <v>487.6</v>
      </c>
      <c r="H157" s="45">
        <f t="shared" si="20"/>
        <v>0</v>
      </c>
      <c r="I157" s="45">
        <f t="shared" si="20"/>
        <v>487.6</v>
      </c>
      <c r="J157" s="46">
        <f t="shared" si="20"/>
        <v>9262.4</v>
      </c>
      <c r="K157" s="45">
        <f>K158</f>
        <v>0</v>
      </c>
      <c r="L157" s="46">
        <f t="shared" si="20"/>
        <v>9262.4</v>
      </c>
      <c r="M157" s="45">
        <f t="shared" si="20"/>
        <v>9750</v>
      </c>
      <c r="N157" s="45">
        <f t="shared" si="20"/>
        <v>0</v>
      </c>
      <c r="O157" s="45">
        <f t="shared" si="20"/>
        <v>9750</v>
      </c>
    </row>
    <row r="158" spans="1:16" ht="31.5" x14ac:dyDescent="0.2">
      <c r="A158" s="40"/>
      <c r="B158" s="41" t="s">
        <v>185</v>
      </c>
      <c r="C158" s="42" t="s">
        <v>51</v>
      </c>
      <c r="D158" s="43" t="s">
        <v>217</v>
      </c>
      <c r="E158" s="43" t="s">
        <v>220</v>
      </c>
      <c r="F158" s="44" t="s">
        <v>11</v>
      </c>
      <c r="G158" s="45">
        <f t="shared" si="20"/>
        <v>487.6</v>
      </c>
      <c r="H158" s="45">
        <f t="shared" si="20"/>
        <v>0</v>
      </c>
      <c r="I158" s="45">
        <f t="shared" si="20"/>
        <v>487.6</v>
      </c>
      <c r="J158" s="46">
        <f t="shared" si="20"/>
        <v>9262.4</v>
      </c>
      <c r="K158" s="45">
        <f>K159</f>
        <v>0</v>
      </c>
      <c r="L158" s="46">
        <f t="shared" si="20"/>
        <v>9262.4</v>
      </c>
      <c r="M158" s="45">
        <f t="shared" si="20"/>
        <v>9750</v>
      </c>
      <c r="N158" s="45">
        <f t="shared" si="20"/>
        <v>0</v>
      </c>
      <c r="O158" s="45">
        <f t="shared" si="20"/>
        <v>9750</v>
      </c>
    </row>
    <row r="159" spans="1:16" ht="31.5" x14ac:dyDescent="0.2">
      <c r="A159" s="40"/>
      <c r="B159" s="41" t="s">
        <v>221</v>
      </c>
      <c r="C159" s="42" t="s">
        <v>51</v>
      </c>
      <c r="D159" s="43" t="s">
        <v>217</v>
      </c>
      <c r="E159" s="43" t="s">
        <v>222</v>
      </c>
      <c r="F159" s="44" t="s">
        <v>11</v>
      </c>
      <c r="G159" s="45">
        <f t="shared" si="20"/>
        <v>487.6</v>
      </c>
      <c r="H159" s="45">
        <f t="shared" si="20"/>
        <v>0</v>
      </c>
      <c r="I159" s="45">
        <f t="shared" si="20"/>
        <v>487.6</v>
      </c>
      <c r="J159" s="46">
        <f t="shared" si="20"/>
        <v>9262.4</v>
      </c>
      <c r="K159" s="45">
        <f>K160</f>
        <v>0</v>
      </c>
      <c r="L159" s="46">
        <f t="shared" si="20"/>
        <v>9262.4</v>
      </c>
      <c r="M159" s="45">
        <f t="shared" si="20"/>
        <v>9750</v>
      </c>
      <c r="N159" s="45">
        <f t="shared" si="20"/>
        <v>0</v>
      </c>
      <c r="O159" s="45">
        <f t="shared" si="20"/>
        <v>9750</v>
      </c>
    </row>
    <row r="160" spans="1:16" ht="94.5" x14ac:dyDescent="0.2">
      <c r="A160" s="40"/>
      <c r="B160" s="41" t="s">
        <v>223</v>
      </c>
      <c r="C160" s="42" t="s">
        <v>51</v>
      </c>
      <c r="D160" s="43" t="s">
        <v>217</v>
      </c>
      <c r="E160" s="43" t="s">
        <v>224</v>
      </c>
      <c r="F160" s="44" t="s">
        <v>11</v>
      </c>
      <c r="G160" s="45">
        <f>G161</f>
        <v>487.6</v>
      </c>
      <c r="H160" s="45">
        <f>H161</f>
        <v>0</v>
      </c>
      <c r="I160" s="45">
        <f>I161</f>
        <v>487.6</v>
      </c>
      <c r="J160" s="46">
        <f t="shared" si="20"/>
        <v>9262.4</v>
      </c>
      <c r="K160" s="45"/>
      <c r="L160" s="46">
        <f t="shared" si="20"/>
        <v>9262.4</v>
      </c>
      <c r="M160" s="45">
        <f t="shared" si="20"/>
        <v>9750</v>
      </c>
      <c r="N160" s="45">
        <f t="shared" si="20"/>
        <v>0</v>
      </c>
      <c r="O160" s="45">
        <f t="shared" si="20"/>
        <v>9750</v>
      </c>
    </row>
    <row r="161" spans="1:16" ht="31.5" x14ac:dyDescent="0.2">
      <c r="A161" s="40"/>
      <c r="B161" s="41" t="s">
        <v>225</v>
      </c>
      <c r="C161" s="42" t="s">
        <v>51</v>
      </c>
      <c r="D161" s="43" t="s">
        <v>217</v>
      </c>
      <c r="E161" s="43" t="s">
        <v>224</v>
      </c>
      <c r="F161" s="44" t="s">
        <v>226</v>
      </c>
      <c r="G161" s="45">
        <v>487.6</v>
      </c>
      <c r="H161" s="38"/>
      <c r="I161" s="45">
        <v>487.6</v>
      </c>
      <c r="J161" s="47">
        <v>9262.4</v>
      </c>
      <c r="K161" s="38"/>
      <c r="L161" s="47">
        <v>9262.4</v>
      </c>
      <c r="M161" s="45">
        <f>487.6+J161</f>
        <v>9750</v>
      </c>
      <c r="N161" s="45"/>
      <c r="O161" s="45">
        <f>487.6+L161</f>
        <v>9750</v>
      </c>
    </row>
    <row r="162" spans="1:16" ht="15.75" x14ac:dyDescent="0.2">
      <c r="A162" s="33" t="s">
        <v>227</v>
      </c>
      <c r="B162" s="34" t="s">
        <v>228</v>
      </c>
      <c r="C162" s="35" t="s">
        <v>51</v>
      </c>
      <c r="D162" s="36" t="s">
        <v>229</v>
      </c>
      <c r="E162" s="36" t="s">
        <v>11</v>
      </c>
      <c r="F162" s="37" t="s">
        <v>11</v>
      </c>
      <c r="G162" s="38">
        <f>G163+G176</f>
        <v>38638.9</v>
      </c>
      <c r="H162" s="45">
        <f>H163+H176</f>
        <v>480</v>
      </c>
      <c r="I162" s="38">
        <f>I163+I176</f>
        <v>39118.9</v>
      </c>
      <c r="J162" s="39">
        <f>J163+J176</f>
        <v>43692.5</v>
      </c>
      <c r="K162" s="45">
        <f>K163</f>
        <v>0</v>
      </c>
      <c r="L162" s="39">
        <f>L163+L176</f>
        <v>43692.5</v>
      </c>
      <c r="M162" s="38">
        <f>M163+M176</f>
        <v>82331.399999999994</v>
      </c>
      <c r="N162" s="38">
        <f>N163+N176</f>
        <v>480</v>
      </c>
      <c r="O162" s="38">
        <f>O163+O176</f>
        <v>82811.399999999994</v>
      </c>
      <c r="P162" s="15"/>
    </row>
    <row r="163" spans="1:16" ht="47.25" x14ac:dyDescent="0.2">
      <c r="A163" s="40"/>
      <c r="B163" s="41" t="s">
        <v>230</v>
      </c>
      <c r="C163" s="42" t="s">
        <v>51</v>
      </c>
      <c r="D163" s="43" t="s">
        <v>229</v>
      </c>
      <c r="E163" s="43" t="s">
        <v>231</v>
      </c>
      <c r="F163" s="44" t="s">
        <v>11</v>
      </c>
      <c r="G163" s="45">
        <f>G164</f>
        <v>26211.7</v>
      </c>
      <c r="H163" s="45">
        <f>H164+H172</f>
        <v>480</v>
      </c>
      <c r="I163" s="45">
        <f>I164</f>
        <v>26691.7</v>
      </c>
      <c r="J163" s="46">
        <f>J164</f>
        <v>43692.5</v>
      </c>
      <c r="K163" s="45">
        <f>K164+K172</f>
        <v>0</v>
      </c>
      <c r="L163" s="46">
        <f>L164</f>
        <v>43692.5</v>
      </c>
      <c r="M163" s="45">
        <f>M164</f>
        <v>69904.2</v>
      </c>
      <c r="N163" s="45">
        <f>N164</f>
        <v>480</v>
      </c>
      <c r="O163" s="45">
        <f>O164</f>
        <v>70384.2</v>
      </c>
    </row>
    <row r="164" spans="1:16" ht="47.25" x14ac:dyDescent="0.2">
      <c r="A164" s="40"/>
      <c r="B164" s="41" t="s">
        <v>232</v>
      </c>
      <c r="C164" s="42" t="s">
        <v>51</v>
      </c>
      <c r="D164" s="43" t="s">
        <v>229</v>
      </c>
      <c r="E164" s="43" t="s">
        <v>233</v>
      </c>
      <c r="F164" s="44" t="s">
        <v>11</v>
      </c>
      <c r="G164" s="45">
        <f>G165+G173</f>
        <v>26211.7</v>
      </c>
      <c r="H164" s="45">
        <f>H165+H173</f>
        <v>480</v>
      </c>
      <c r="I164" s="45">
        <f>I165+I173</f>
        <v>26691.7</v>
      </c>
      <c r="J164" s="46">
        <f>J165+J173</f>
        <v>43692.5</v>
      </c>
      <c r="K164" s="45">
        <f>K165</f>
        <v>0</v>
      </c>
      <c r="L164" s="46">
        <f>L165+L173</f>
        <v>43692.5</v>
      </c>
      <c r="M164" s="45">
        <f>M165+M173</f>
        <v>69904.2</v>
      </c>
      <c r="N164" s="45">
        <f>N165+N173</f>
        <v>480</v>
      </c>
      <c r="O164" s="45">
        <f>O165+O173</f>
        <v>70384.2</v>
      </c>
    </row>
    <row r="165" spans="1:16" ht="31.5" x14ac:dyDescent="0.2">
      <c r="A165" s="40"/>
      <c r="B165" s="41" t="s">
        <v>234</v>
      </c>
      <c r="C165" s="42" t="s">
        <v>51</v>
      </c>
      <c r="D165" s="43" t="s">
        <v>229</v>
      </c>
      <c r="E165" s="43" t="s">
        <v>235</v>
      </c>
      <c r="F165" s="44" t="s">
        <v>11</v>
      </c>
      <c r="G165" s="45">
        <f>G166+G171+G169</f>
        <v>20101.7</v>
      </c>
      <c r="H165" s="45">
        <f t="shared" ref="H165:O165" si="21">H166+H171+H169</f>
        <v>480</v>
      </c>
      <c r="I165" s="45">
        <f t="shared" si="21"/>
        <v>20581.7</v>
      </c>
      <c r="J165" s="45">
        <f t="shared" si="21"/>
        <v>43692.5</v>
      </c>
      <c r="K165" s="45">
        <f t="shared" si="21"/>
        <v>0</v>
      </c>
      <c r="L165" s="45">
        <f t="shared" si="21"/>
        <v>43692.5</v>
      </c>
      <c r="M165" s="45">
        <f t="shared" si="21"/>
        <v>63794.2</v>
      </c>
      <c r="N165" s="45">
        <f t="shared" si="21"/>
        <v>480</v>
      </c>
      <c r="O165" s="45">
        <f t="shared" si="21"/>
        <v>64274.2</v>
      </c>
    </row>
    <row r="166" spans="1:16" ht="63" x14ac:dyDescent="0.2">
      <c r="A166" s="40"/>
      <c r="B166" s="41" t="s">
        <v>236</v>
      </c>
      <c r="C166" s="42" t="s">
        <v>51</v>
      </c>
      <c r="D166" s="43" t="s">
        <v>229</v>
      </c>
      <c r="E166" s="43" t="s">
        <v>237</v>
      </c>
      <c r="F166" s="44" t="s">
        <v>11</v>
      </c>
      <c r="G166" s="45">
        <f>G167+G168</f>
        <v>19801.7</v>
      </c>
      <c r="H166" s="45">
        <f>H167+H168</f>
        <v>480</v>
      </c>
      <c r="I166" s="45">
        <f t="shared" ref="I166:O166" si="22">I167+I168</f>
        <v>20281.7</v>
      </c>
      <c r="J166" s="46">
        <f t="shared" si="22"/>
        <v>17036</v>
      </c>
      <c r="K166" s="46">
        <f t="shared" si="22"/>
        <v>0</v>
      </c>
      <c r="L166" s="46">
        <f t="shared" si="22"/>
        <v>17036</v>
      </c>
      <c r="M166" s="45">
        <f t="shared" si="22"/>
        <v>36837.699999999997</v>
      </c>
      <c r="N166" s="45">
        <f t="shared" si="22"/>
        <v>480</v>
      </c>
      <c r="O166" s="45">
        <f t="shared" si="22"/>
        <v>37317.699999999997</v>
      </c>
    </row>
    <row r="167" spans="1:16" ht="31.5" x14ac:dyDescent="0.2">
      <c r="A167" s="40"/>
      <c r="B167" s="41" t="s">
        <v>40</v>
      </c>
      <c r="C167" s="42" t="s">
        <v>51</v>
      </c>
      <c r="D167" s="43" t="s">
        <v>229</v>
      </c>
      <c r="E167" s="43" t="s">
        <v>237</v>
      </c>
      <c r="F167" s="44" t="s">
        <v>41</v>
      </c>
      <c r="G167" s="48">
        <v>19201.7</v>
      </c>
      <c r="H167" s="48"/>
      <c r="I167" s="48">
        <f>SUM(G167)</f>
        <v>19201.7</v>
      </c>
      <c r="J167" s="47">
        <v>0</v>
      </c>
      <c r="K167" s="48">
        <f>26656.5-26656.5</f>
        <v>0</v>
      </c>
      <c r="L167" s="47">
        <f>SUM(K167)</f>
        <v>0</v>
      </c>
      <c r="M167" s="48">
        <f>SUM(G167)</f>
        <v>19201.7</v>
      </c>
      <c r="N167" s="48">
        <f>SUM(K167)+H167</f>
        <v>0</v>
      </c>
      <c r="O167" s="45">
        <f>SUM(I167+L167)</f>
        <v>19201.7</v>
      </c>
    </row>
    <row r="168" spans="1:16" ht="31.5" x14ac:dyDescent="0.2">
      <c r="A168" s="40"/>
      <c r="B168" s="41" t="s">
        <v>225</v>
      </c>
      <c r="C168" s="58">
        <v>992</v>
      </c>
      <c r="D168" s="57" t="s">
        <v>229</v>
      </c>
      <c r="E168" s="57" t="s">
        <v>237</v>
      </c>
      <c r="F168" s="59" t="s">
        <v>226</v>
      </c>
      <c r="G168" s="48">
        <v>600</v>
      </c>
      <c r="H168" s="45">
        <v>480</v>
      </c>
      <c r="I168" s="48">
        <f>SUM(G168)+H168</f>
        <v>1080</v>
      </c>
      <c r="J168" s="47">
        <v>17036</v>
      </c>
      <c r="K168" s="45"/>
      <c r="L168" s="47">
        <f>SUM(J168)</f>
        <v>17036</v>
      </c>
      <c r="M168" s="48">
        <f>SUM(G168+J168)</f>
        <v>17636</v>
      </c>
      <c r="N168" s="48">
        <f>SUM(K168)+H168</f>
        <v>480</v>
      </c>
      <c r="O168" s="48">
        <f>SUM(M168)+N168</f>
        <v>18116</v>
      </c>
    </row>
    <row r="169" spans="1:16" ht="110.25" x14ac:dyDescent="0.2">
      <c r="A169" s="40"/>
      <c r="B169" s="56" t="s">
        <v>238</v>
      </c>
      <c r="C169" s="58">
        <v>992</v>
      </c>
      <c r="D169" s="57" t="s">
        <v>229</v>
      </c>
      <c r="E169" s="57" t="s">
        <v>239</v>
      </c>
      <c r="F169" s="59"/>
      <c r="G169" s="48">
        <f t="shared" ref="G169:O169" si="23">G170</f>
        <v>0</v>
      </c>
      <c r="H169" s="45">
        <f t="shared" si="23"/>
        <v>0</v>
      </c>
      <c r="I169" s="48">
        <f t="shared" si="23"/>
        <v>0</v>
      </c>
      <c r="J169" s="47">
        <f t="shared" si="23"/>
        <v>26656.5</v>
      </c>
      <c r="K169" s="45">
        <f t="shared" si="23"/>
        <v>0</v>
      </c>
      <c r="L169" s="47">
        <f t="shared" si="23"/>
        <v>26656.5</v>
      </c>
      <c r="M169" s="48">
        <f t="shared" si="23"/>
        <v>26656.5</v>
      </c>
      <c r="N169" s="48">
        <f t="shared" si="23"/>
        <v>0</v>
      </c>
      <c r="O169" s="45">
        <f t="shared" si="23"/>
        <v>26656.5</v>
      </c>
    </row>
    <row r="170" spans="1:16" ht="31.5" x14ac:dyDescent="0.2">
      <c r="A170" s="40"/>
      <c r="B170" s="56" t="s">
        <v>40</v>
      </c>
      <c r="C170" s="58">
        <v>992</v>
      </c>
      <c r="D170" s="57" t="s">
        <v>229</v>
      </c>
      <c r="E170" s="57" t="s">
        <v>239</v>
      </c>
      <c r="F170" s="59" t="s">
        <v>41</v>
      </c>
      <c r="G170" s="48"/>
      <c r="H170" s="45"/>
      <c r="I170" s="48">
        <f>SUM(G170:H170)</f>
        <v>0</v>
      </c>
      <c r="J170" s="47">
        <v>26656.5</v>
      </c>
      <c r="K170" s="45"/>
      <c r="L170" s="47">
        <f>SUM(J170:K170)</f>
        <v>26656.5</v>
      </c>
      <c r="M170" s="48">
        <f>SUM(J170)</f>
        <v>26656.5</v>
      </c>
      <c r="N170" s="48">
        <f>H170+K170</f>
        <v>0</v>
      </c>
      <c r="O170" s="45">
        <f>I170+L170</f>
        <v>26656.5</v>
      </c>
    </row>
    <row r="171" spans="1:16" ht="78.75" x14ac:dyDescent="0.2">
      <c r="A171" s="40"/>
      <c r="B171" s="41" t="s">
        <v>240</v>
      </c>
      <c r="C171" s="42" t="s">
        <v>51</v>
      </c>
      <c r="D171" s="43" t="s">
        <v>229</v>
      </c>
      <c r="E171" s="43" t="s">
        <v>241</v>
      </c>
      <c r="F171" s="44" t="s">
        <v>11</v>
      </c>
      <c r="G171" s="45">
        <f>G172</f>
        <v>300</v>
      </c>
      <c r="H171" s="45"/>
      <c r="I171" s="45">
        <f>I172</f>
        <v>300</v>
      </c>
      <c r="J171" s="46">
        <f>J172</f>
        <v>0</v>
      </c>
      <c r="K171" s="45"/>
      <c r="L171" s="46">
        <f>L172</f>
        <v>0</v>
      </c>
      <c r="M171" s="45">
        <f>M172</f>
        <v>300</v>
      </c>
      <c r="N171" s="45">
        <f>N172</f>
        <v>0</v>
      </c>
      <c r="O171" s="45">
        <f>O172</f>
        <v>300</v>
      </c>
    </row>
    <row r="172" spans="1:16" ht="31.5" x14ac:dyDescent="0.2">
      <c r="A172" s="40"/>
      <c r="B172" s="41" t="s">
        <v>40</v>
      </c>
      <c r="C172" s="42" t="s">
        <v>51</v>
      </c>
      <c r="D172" s="43" t="s">
        <v>229</v>
      </c>
      <c r="E172" s="43" t="s">
        <v>241</v>
      </c>
      <c r="F172" s="44" t="s">
        <v>41</v>
      </c>
      <c r="G172" s="45">
        <v>300</v>
      </c>
      <c r="H172" s="45">
        <f t="shared" ref="G172:O174" si="24">H173</f>
        <v>0</v>
      </c>
      <c r="I172" s="45">
        <v>300</v>
      </c>
      <c r="J172" s="47">
        <v>0</v>
      </c>
      <c r="K172" s="45">
        <f t="shared" si="24"/>
        <v>0</v>
      </c>
      <c r="L172" s="47">
        <v>0</v>
      </c>
      <c r="M172" s="45">
        <v>300</v>
      </c>
      <c r="N172" s="45"/>
      <c r="O172" s="45">
        <v>300</v>
      </c>
    </row>
    <row r="173" spans="1:16" ht="31.5" x14ac:dyDescent="0.2">
      <c r="A173" s="40"/>
      <c r="B173" s="41" t="s">
        <v>242</v>
      </c>
      <c r="C173" s="42" t="s">
        <v>51</v>
      </c>
      <c r="D173" s="43" t="s">
        <v>229</v>
      </c>
      <c r="E173" s="43" t="s">
        <v>243</v>
      </c>
      <c r="F173" s="44" t="s">
        <v>11</v>
      </c>
      <c r="G173" s="45">
        <f t="shared" si="24"/>
        <v>6110</v>
      </c>
      <c r="H173" s="45">
        <f t="shared" si="24"/>
        <v>0</v>
      </c>
      <c r="I173" s="45">
        <f t="shared" si="24"/>
        <v>6110</v>
      </c>
      <c r="J173" s="46">
        <f t="shared" si="24"/>
        <v>0</v>
      </c>
      <c r="K173" s="45">
        <f t="shared" si="24"/>
        <v>0</v>
      </c>
      <c r="L173" s="46">
        <f t="shared" si="24"/>
        <v>0</v>
      </c>
      <c r="M173" s="45">
        <f t="shared" si="24"/>
        <v>6110</v>
      </c>
      <c r="N173" s="45">
        <f t="shared" si="24"/>
        <v>0</v>
      </c>
      <c r="O173" s="45">
        <f t="shared" si="24"/>
        <v>6110</v>
      </c>
    </row>
    <row r="174" spans="1:16" ht="78.75" x14ac:dyDescent="0.2">
      <c r="A174" s="40"/>
      <c r="B174" s="41" t="s">
        <v>240</v>
      </c>
      <c r="C174" s="42" t="s">
        <v>51</v>
      </c>
      <c r="D174" s="43" t="s">
        <v>229</v>
      </c>
      <c r="E174" s="43" t="s">
        <v>244</v>
      </c>
      <c r="F174" s="44" t="s">
        <v>11</v>
      </c>
      <c r="G174" s="45">
        <f t="shared" si="24"/>
        <v>6110</v>
      </c>
      <c r="H174" s="48"/>
      <c r="I174" s="45">
        <f t="shared" si="24"/>
        <v>6110</v>
      </c>
      <c r="J174" s="46">
        <f t="shared" si="24"/>
        <v>0</v>
      </c>
      <c r="K174" s="48"/>
      <c r="L174" s="46">
        <f t="shared" si="24"/>
        <v>0</v>
      </c>
      <c r="M174" s="45">
        <f t="shared" si="24"/>
        <v>6110</v>
      </c>
      <c r="N174" s="45">
        <f t="shared" si="24"/>
        <v>0</v>
      </c>
      <c r="O174" s="45">
        <f t="shared" si="24"/>
        <v>6110</v>
      </c>
    </row>
    <row r="175" spans="1:16" ht="31.5" x14ac:dyDescent="0.2">
      <c r="A175" s="40"/>
      <c r="B175" s="41" t="s">
        <v>40</v>
      </c>
      <c r="C175" s="42" t="s">
        <v>51</v>
      </c>
      <c r="D175" s="43" t="s">
        <v>229</v>
      </c>
      <c r="E175" s="43" t="s">
        <v>244</v>
      </c>
      <c r="F175" s="44" t="s">
        <v>41</v>
      </c>
      <c r="G175" s="48">
        <f>4810+1300</f>
        <v>6110</v>
      </c>
      <c r="H175" s="45"/>
      <c r="I175" s="48">
        <f>4810+1300</f>
        <v>6110</v>
      </c>
      <c r="J175" s="47">
        <v>0</v>
      </c>
      <c r="K175" s="45"/>
      <c r="L175" s="47">
        <v>0</v>
      </c>
      <c r="M175" s="48">
        <f>4810+1300</f>
        <v>6110</v>
      </c>
      <c r="N175" s="48"/>
      <c r="O175" s="48">
        <f>4810+1300</f>
        <v>6110</v>
      </c>
    </row>
    <row r="176" spans="1:16" ht="31.5" x14ac:dyDescent="0.2">
      <c r="A176" s="40"/>
      <c r="B176" s="41" t="s">
        <v>245</v>
      </c>
      <c r="C176" s="42" t="s">
        <v>51</v>
      </c>
      <c r="D176" s="43" t="s">
        <v>229</v>
      </c>
      <c r="E176" s="43" t="s">
        <v>246</v>
      </c>
      <c r="F176" s="44" t="s">
        <v>11</v>
      </c>
      <c r="G176" s="45">
        <f t="shared" ref="G176:O179" si="25">G177</f>
        <v>12427.2</v>
      </c>
      <c r="H176" s="45">
        <f t="shared" si="25"/>
        <v>0</v>
      </c>
      <c r="I176" s="45">
        <f t="shared" si="25"/>
        <v>12427.2</v>
      </c>
      <c r="J176" s="46">
        <f t="shared" si="25"/>
        <v>0</v>
      </c>
      <c r="K176" s="45">
        <f>K177</f>
        <v>0</v>
      </c>
      <c r="L176" s="46">
        <f t="shared" si="25"/>
        <v>0</v>
      </c>
      <c r="M176" s="45">
        <f t="shared" si="25"/>
        <v>12427.2</v>
      </c>
      <c r="N176" s="45">
        <f t="shared" si="25"/>
        <v>0</v>
      </c>
      <c r="O176" s="45">
        <f t="shared" si="25"/>
        <v>12427.2</v>
      </c>
    </row>
    <row r="177" spans="1:16" ht="15.75" x14ac:dyDescent="0.2">
      <c r="A177" s="40"/>
      <c r="B177" s="41" t="s">
        <v>247</v>
      </c>
      <c r="C177" s="42" t="s">
        <v>51</v>
      </c>
      <c r="D177" s="43" t="s">
        <v>229</v>
      </c>
      <c r="E177" s="43" t="s">
        <v>248</v>
      </c>
      <c r="F177" s="44" t="s">
        <v>11</v>
      </c>
      <c r="G177" s="45">
        <f t="shared" si="25"/>
        <v>12427.2</v>
      </c>
      <c r="H177" s="45">
        <f t="shared" si="25"/>
        <v>0</v>
      </c>
      <c r="I177" s="45">
        <f t="shared" si="25"/>
        <v>12427.2</v>
      </c>
      <c r="J177" s="46">
        <f t="shared" si="25"/>
        <v>0</v>
      </c>
      <c r="K177" s="45">
        <f>K178</f>
        <v>0</v>
      </c>
      <c r="L177" s="46">
        <f t="shared" si="25"/>
        <v>0</v>
      </c>
      <c r="M177" s="45">
        <f t="shared" si="25"/>
        <v>12427.2</v>
      </c>
      <c r="N177" s="45">
        <f t="shared" si="25"/>
        <v>0</v>
      </c>
      <c r="O177" s="45">
        <f t="shared" si="25"/>
        <v>12427.2</v>
      </c>
    </row>
    <row r="178" spans="1:16" ht="47.25" x14ac:dyDescent="0.2">
      <c r="A178" s="40"/>
      <c r="B178" s="41" t="s">
        <v>249</v>
      </c>
      <c r="C178" s="42" t="s">
        <v>51</v>
      </c>
      <c r="D178" s="43" t="s">
        <v>229</v>
      </c>
      <c r="E178" s="43" t="s">
        <v>250</v>
      </c>
      <c r="F178" s="44" t="s">
        <v>11</v>
      </c>
      <c r="G178" s="45">
        <f t="shared" si="25"/>
        <v>12427.2</v>
      </c>
      <c r="H178" s="45">
        <f>H179+H181</f>
        <v>0</v>
      </c>
      <c r="I178" s="45">
        <f>I179+I181</f>
        <v>12427.2</v>
      </c>
      <c r="J178" s="46">
        <f t="shared" si="25"/>
        <v>0</v>
      </c>
      <c r="K178" s="45">
        <f>K179</f>
        <v>0</v>
      </c>
      <c r="L178" s="46">
        <f t="shared" si="25"/>
        <v>0</v>
      </c>
      <c r="M178" s="45">
        <f t="shared" si="25"/>
        <v>12427.2</v>
      </c>
      <c r="N178" s="45">
        <f>SUM(N181)+N179</f>
        <v>0</v>
      </c>
      <c r="O178" s="45">
        <f>O179+O181</f>
        <v>12427.2</v>
      </c>
    </row>
    <row r="179" spans="1:16" ht="31.5" x14ac:dyDescent="0.2">
      <c r="A179" s="40"/>
      <c r="B179" s="41" t="s">
        <v>134</v>
      </c>
      <c r="C179" s="42" t="s">
        <v>51</v>
      </c>
      <c r="D179" s="43" t="s">
        <v>229</v>
      </c>
      <c r="E179" s="43" t="s">
        <v>251</v>
      </c>
      <c r="F179" s="44" t="s">
        <v>11</v>
      </c>
      <c r="G179" s="45">
        <f>G180</f>
        <v>12427.2</v>
      </c>
      <c r="H179" s="45">
        <f>SUM(H180)</f>
        <v>0</v>
      </c>
      <c r="I179" s="45">
        <f>I180</f>
        <v>12427.2</v>
      </c>
      <c r="J179" s="46">
        <f t="shared" si="25"/>
        <v>0</v>
      </c>
      <c r="K179" s="45"/>
      <c r="L179" s="46">
        <f t="shared" si="25"/>
        <v>0</v>
      </c>
      <c r="M179" s="45">
        <f t="shared" si="25"/>
        <v>12427.2</v>
      </c>
      <c r="N179" s="45">
        <f t="shared" si="25"/>
        <v>0</v>
      </c>
      <c r="O179" s="45">
        <f t="shared" si="25"/>
        <v>12427.2</v>
      </c>
    </row>
    <row r="180" spans="1:16" ht="34.9" customHeight="1" x14ac:dyDescent="0.2">
      <c r="A180" s="40"/>
      <c r="B180" s="41" t="s">
        <v>95</v>
      </c>
      <c r="C180" s="42" t="s">
        <v>51</v>
      </c>
      <c r="D180" s="43" t="s">
        <v>229</v>
      </c>
      <c r="E180" s="43" t="s">
        <v>251</v>
      </c>
      <c r="F180" s="44" t="s">
        <v>96</v>
      </c>
      <c r="G180" s="45">
        <v>12427.2</v>
      </c>
      <c r="H180" s="66"/>
      <c r="I180" s="45">
        <f>SUM(G180)</f>
        <v>12427.2</v>
      </c>
      <c r="J180" s="47">
        <v>0</v>
      </c>
      <c r="K180" s="38"/>
      <c r="L180" s="47">
        <v>0</v>
      </c>
      <c r="M180" s="45">
        <f>SUM(G180)</f>
        <v>12427.2</v>
      </c>
      <c r="N180" s="45">
        <f>SUM(H180)</f>
        <v>0</v>
      </c>
      <c r="O180" s="45">
        <f>SUM(M180)</f>
        <v>12427.2</v>
      </c>
    </row>
    <row r="181" spans="1:16" ht="0.75" customHeight="1" x14ac:dyDescent="0.2">
      <c r="A181" s="40"/>
      <c r="B181" s="41"/>
      <c r="C181" s="42">
        <v>992</v>
      </c>
      <c r="D181" s="43" t="s">
        <v>229</v>
      </c>
      <c r="E181" s="43">
        <v>650309100</v>
      </c>
      <c r="F181" s="44"/>
      <c r="G181" s="45"/>
      <c r="H181" s="66">
        <f>SUM(H182)</f>
        <v>0</v>
      </c>
      <c r="I181" s="66">
        <f>SUM(I182)</f>
        <v>0</v>
      </c>
      <c r="J181" s="47"/>
      <c r="K181" s="38"/>
      <c r="L181" s="47"/>
      <c r="M181" s="45"/>
      <c r="N181" s="45">
        <f>SUM(H181)</f>
        <v>0</v>
      </c>
      <c r="O181" s="45">
        <f>SUM(I181)</f>
        <v>0</v>
      </c>
    </row>
    <row r="182" spans="1:16" ht="34.5" hidden="1" customHeight="1" x14ac:dyDescent="0.2">
      <c r="A182" s="40"/>
      <c r="B182" s="41" t="s">
        <v>95</v>
      </c>
      <c r="C182" s="42">
        <v>992</v>
      </c>
      <c r="D182" s="43" t="s">
        <v>229</v>
      </c>
      <c r="E182" s="43">
        <v>650309100</v>
      </c>
      <c r="F182" s="44">
        <v>600</v>
      </c>
      <c r="G182" s="45"/>
      <c r="H182" s="66"/>
      <c r="I182" s="66"/>
      <c r="J182" s="47"/>
      <c r="K182" s="38"/>
      <c r="L182" s="47"/>
      <c r="M182" s="45"/>
      <c r="N182" s="45">
        <f>SUM(H182)</f>
        <v>0</v>
      </c>
      <c r="O182" s="45">
        <f>SUM(I182)</f>
        <v>0</v>
      </c>
    </row>
    <row r="183" spans="1:16" ht="23.25" customHeight="1" x14ac:dyDescent="0.2">
      <c r="A183" s="33" t="s">
        <v>252</v>
      </c>
      <c r="B183" s="34" t="s">
        <v>253</v>
      </c>
      <c r="C183" s="35" t="s">
        <v>51</v>
      </c>
      <c r="D183" s="36" t="s">
        <v>254</v>
      </c>
      <c r="E183" s="36" t="s">
        <v>11</v>
      </c>
      <c r="F183" s="37" t="s">
        <v>11</v>
      </c>
      <c r="G183" s="38">
        <f t="shared" ref="G183:O187" si="26">G184</f>
        <v>1736</v>
      </c>
      <c r="H183" s="45">
        <f t="shared" si="26"/>
        <v>0</v>
      </c>
      <c r="I183" s="38">
        <f t="shared" si="26"/>
        <v>1736</v>
      </c>
      <c r="J183" s="39">
        <f t="shared" si="26"/>
        <v>0</v>
      </c>
      <c r="K183" s="45">
        <f>K184</f>
        <v>0</v>
      </c>
      <c r="L183" s="39">
        <f t="shared" si="26"/>
        <v>0</v>
      </c>
      <c r="M183" s="38">
        <f t="shared" si="26"/>
        <v>1736</v>
      </c>
      <c r="N183" s="38">
        <f t="shared" si="26"/>
        <v>0</v>
      </c>
      <c r="O183" s="38">
        <f t="shared" si="26"/>
        <v>1736</v>
      </c>
    </row>
    <row r="184" spans="1:16" ht="31.5" x14ac:dyDescent="0.2">
      <c r="A184" s="40"/>
      <c r="B184" s="41" t="s">
        <v>97</v>
      </c>
      <c r="C184" s="42" t="s">
        <v>51</v>
      </c>
      <c r="D184" s="43" t="s">
        <v>254</v>
      </c>
      <c r="E184" s="43" t="s">
        <v>98</v>
      </c>
      <c r="F184" s="44" t="s">
        <v>11</v>
      </c>
      <c r="G184" s="45">
        <f t="shared" si="26"/>
        <v>1736</v>
      </c>
      <c r="H184" s="45">
        <f t="shared" si="26"/>
        <v>0</v>
      </c>
      <c r="I184" s="45">
        <f t="shared" si="26"/>
        <v>1736</v>
      </c>
      <c r="J184" s="46">
        <f t="shared" si="26"/>
        <v>0</v>
      </c>
      <c r="K184" s="45">
        <f>K185</f>
        <v>0</v>
      </c>
      <c r="L184" s="46">
        <f t="shared" si="26"/>
        <v>0</v>
      </c>
      <c r="M184" s="45">
        <f t="shared" si="26"/>
        <v>1736</v>
      </c>
      <c r="N184" s="45">
        <f t="shared" si="26"/>
        <v>0</v>
      </c>
      <c r="O184" s="45">
        <f t="shared" si="26"/>
        <v>1736</v>
      </c>
    </row>
    <row r="185" spans="1:16" ht="15.75" x14ac:dyDescent="0.2">
      <c r="A185" s="40"/>
      <c r="B185" s="41" t="s">
        <v>255</v>
      </c>
      <c r="C185" s="42" t="s">
        <v>51</v>
      </c>
      <c r="D185" s="43" t="s">
        <v>254</v>
      </c>
      <c r="E185" s="43" t="s">
        <v>256</v>
      </c>
      <c r="F185" s="44" t="s">
        <v>11</v>
      </c>
      <c r="G185" s="45">
        <f t="shared" si="26"/>
        <v>1736</v>
      </c>
      <c r="H185" s="45">
        <f t="shared" si="26"/>
        <v>0</v>
      </c>
      <c r="I185" s="45">
        <f t="shared" si="26"/>
        <v>1736</v>
      </c>
      <c r="J185" s="46">
        <f t="shared" si="26"/>
        <v>0</v>
      </c>
      <c r="K185" s="45">
        <f>K186</f>
        <v>0</v>
      </c>
      <c r="L185" s="46">
        <f t="shared" si="26"/>
        <v>0</v>
      </c>
      <c r="M185" s="45">
        <f t="shared" si="26"/>
        <v>1736</v>
      </c>
      <c r="N185" s="45">
        <f t="shared" si="26"/>
        <v>0</v>
      </c>
      <c r="O185" s="45">
        <f t="shared" si="26"/>
        <v>1736</v>
      </c>
    </row>
    <row r="186" spans="1:16" ht="31.5" x14ac:dyDescent="0.2">
      <c r="A186" s="40"/>
      <c r="B186" s="41" t="s">
        <v>257</v>
      </c>
      <c r="C186" s="42" t="s">
        <v>51</v>
      </c>
      <c r="D186" s="43" t="s">
        <v>254</v>
      </c>
      <c r="E186" s="43" t="s">
        <v>258</v>
      </c>
      <c r="F186" s="44" t="s">
        <v>11</v>
      </c>
      <c r="G186" s="45">
        <f t="shared" si="26"/>
        <v>1736</v>
      </c>
      <c r="H186" s="45">
        <f t="shared" si="26"/>
        <v>0</v>
      </c>
      <c r="I186" s="45">
        <f t="shared" si="26"/>
        <v>1736</v>
      </c>
      <c r="J186" s="46">
        <f t="shared" si="26"/>
        <v>0</v>
      </c>
      <c r="K186" s="45">
        <f>K187</f>
        <v>0</v>
      </c>
      <c r="L186" s="46">
        <f t="shared" si="26"/>
        <v>0</v>
      </c>
      <c r="M186" s="45">
        <f t="shared" si="26"/>
        <v>1736</v>
      </c>
      <c r="N186" s="45">
        <f t="shared" si="26"/>
        <v>0</v>
      </c>
      <c r="O186" s="45">
        <f t="shared" si="26"/>
        <v>1736</v>
      </c>
    </row>
    <row r="187" spans="1:16" ht="32.450000000000003" customHeight="1" x14ac:dyDescent="0.2">
      <c r="A187" s="40"/>
      <c r="B187" s="41" t="s">
        <v>103</v>
      </c>
      <c r="C187" s="42" t="s">
        <v>51</v>
      </c>
      <c r="D187" s="43" t="s">
        <v>254</v>
      </c>
      <c r="E187" s="43" t="s">
        <v>259</v>
      </c>
      <c r="F187" s="44" t="s">
        <v>11</v>
      </c>
      <c r="G187" s="45">
        <f>G188</f>
        <v>1736</v>
      </c>
      <c r="H187" s="45"/>
      <c r="I187" s="45">
        <f>I188</f>
        <v>1736</v>
      </c>
      <c r="J187" s="46">
        <f t="shared" si="26"/>
        <v>0</v>
      </c>
      <c r="K187" s="45"/>
      <c r="L187" s="46">
        <f t="shared" si="26"/>
        <v>0</v>
      </c>
      <c r="M187" s="45">
        <f t="shared" si="26"/>
        <v>1736</v>
      </c>
      <c r="N187" s="45">
        <f t="shared" si="26"/>
        <v>0</v>
      </c>
      <c r="O187" s="45">
        <f t="shared" si="26"/>
        <v>1736</v>
      </c>
    </row>
    <row r="188" spans="1:16" ht="31.5" x14ac:dyDescent="0.2">
      <c r="A188" s="40"/>
      <c r="B188" s="41" t="s">
        <v>40</v>
      </c>
      <c r="C188" s="42" t="s">
        <v>51</v>
      </c>
      <c r="D188" s="43" t="s">
        <v>254</v>
      </c>
      <c r="E188" s="43" t="s">
        <v>259</v>
      </c>
      <c r="F188" s="44" t="s">
        <v>41</v>
      </c>
      <c r="G188" s="45">
        <v>1736</v>
      </c>
      <c r="H188" s="38"/>
      <c r="I188" s="45">
        <v>1736</v>
      </c>
      <c r="J188" s="47">
        <v>0</v>
      </c>
      <c r="K188" s="38"/>
      <c r="L188" s="47">
        <v>0</v>
      </c>
      <c r="M188" s="45">
        <v>1736</v>
      </c>
      <c r="N188" s="45"/>
      <c r="O188" s="45">
        <v>1736</v>
      </c>
    </row>
    <row r="189" spans="1:16" ht="24" customHeight="1" x14ac:dyDescent="0.2">
      <c r="A189" s="33" t="s">
        <v>260</v>
      </c>
      <c r="B189" s="34" t="s">
        <v>261</v>
      </c>
      <c r="C189" s="35" t="s">
        <v>51</v>
      </c>
      <c r="D189" s="36" t="s">
        <v>262</v>
      </c>
      <c r="E189" s="36" t="s">
        <v>11</v>
      </c>
      <c r="F189" s="37" t="s">
        <v>11</v>
      </c>
      <c r="G189" s="38">
        <f>G190+G213+G210</f>
        <v>21809.5</v>
      </c>
      <c r="H189" s="45">
        <f>H190</f>
        <v>294.2</v>
      </c>
      <c r="I189" s="38">
        <f>I190+I213+I210</f>
        <v>22103.699999999997</v>
      </c>
      <c r="J189" s="39">
        <f>J190+J213</f>
        <v>7971.1</v>
      </c>
      <c r="K189" s="45">
        <f>K190</f>
        <v>5589.3</v>
      </c>
      <c r="L189" s="39">
        <f>L190+L213</f>
        <v>13560.400000000001</v>
      </c>
      <c r="M189" s="38">
        <f>M190+M213+M210</f>
        <v>29780.6</v>
      </c>
      <c r="N189" s="45">
        <f>N190</f>
        <v>5883.5</v>
      </c>
      <c r="O189" s="38">
        <f>O190+O213+O210</f>
        <v>35664.1</v>
      </c>
      <c r="P189" s="15"/>
    </row>
    <row r="190" spans="1:16" ht="47.25" x14ac:dyDescent="0.2">
      <c r="A190" s="40"/>
      <c r="B190" s="41" t="s">
        <v>230</v>
      </c>
      <c r="C190" s="42" t="s">
        <v>51</v>
      </c>
      <c r="D190" s="43" t="s">
        <v>262</v>
      </c>
      <c r="E190" s="43" t="s">
        <v>231</v>
      </c>
      <c r="F190" s="44" t="s">
        <v>11</v>
      </c>
      <c r="G190" s="45">
        <f>G191+G199</f>
        <v>16186.9</v>
      </c>
      <c r="H190" s="45">
        <f>H191+H199</f>
        <v>294.2</v>
      </c>
      <c r="I190" s="45">
        <f>I191+I199</f>
        <v>16481.099999999999</v>
      </c>
      <c r="J190" s="46">
        <f>J191+J199</f>
        <v>7971.1</v>
      </c>
      <c r="K190" s="45">
        <f>K191</f>
        <v>5589.3</v>
      </c>
      <c r="L190" s="46">
        <f>L191+L199</f>
        <v>13560.400000000001</v>
      </c>
      <c r="M190" s="45">
        <f>M191+M199</f>
        <v>24158</v>
      </c>
      <c r="N190" s="45">
        <f>N191+N199</f>
        <v>5883.5</v>
      </c>
      <c r="O190" s="45">
        <f>O191+O199</f>
        <v>30041.5</v>
      </c>
      <c r="P190" s="16"/>
    </row>
    <row r="191" spans="1:16" ht="36" customHeight="1" x14ac:dyDescent="0.2">
      <c r="A191" s="40"/>
      <c r="B191" s="41" t="s">
        <v>263</v>
      </c>
      <c r="C191" s="42" t="s">
        <v>51</v>
      </c>
      <c r="D191" s="43" t="s">
        <v>262</v>
      </c>
      <c r="E191" s="43" t="s">
        <v>264</v>
      </c>
      <c r="F191" s="44" t="s">
        <v>11</v>
      </c>
      <c r="G191" s="45">
        <f>G192</f>
        <v>1154.9000000000001</v>
      </c>
      <c r="H191" s="45">
        <f>H192</f>
        <v>294.2</v>
      </c>
      <c r="I191" s="45">
        <f>I192</f>
        <v>1449.1000000000001</v>
      </c>
      <c r="J191" s="46">
        <f>J192</f>
        <v>7971.1</v>
      </c>
      <c r="K191" s="45">
        <f>K192</f>
        <v>5589.3</v>
      </c>
      <c r="L191" s="46">
        <f>L192</f>
        <v>13560.400000000001</v>
      </c>
      <c r="M191" s="45">
        <f>M192</f>
        <v>9126</v>
      </c>
      <c r="N191" s="45">
        <f>N192</f>
        <v>5883.5</v>
      </c>
      <c r="O191" s="45">
        <f>O192</f>
        <v>15009.5</v>
      </c>
    </row>
    <row r="192" spans="1:16" ht="47.25" x14ac:dyDescent="0.2">
      <c r="A192" s="40"/>
      <c r="B192" s="41" t="s">
        <v>265</v>
      </c>
      <c r="C192" s="42" t="s">
        <v>51</v>
      </c>
      <c r="D192" s="43" t="s">
        <v>262</v>
      </c>
      <c r="E192" s="43" t="s">
        <v>266</v>
      </c>
      <c r="F192" s="44" t="s">
        <v>11</v>
      </c>
      <c r="G192" s="45">
        <f>G197+G193</f>
        <v>1154.9000000000001</v>
      </c>
      <c r="H192" s="45">
        <f>H197+H193+H195</f>
        <v>294.2</v>
      </c>
      <c r="I192" s="45">
        <f>I197+I193+H192</f>
        <v>1449.1000000000001</v>
      </c>
      <c r="J192" s="46">
        <f>SUM(J197)</f>
        <v>7971.1</v>
      </c>
      <c r="K192" s="45">
        <f>SUM(K195)</f>
        <v>5589.3</v>
      </c>
      <c r="L192" s="46">
        <f>L197+K192</f>
        <v>13560.400000000001</v>
      </c>
      <c r="M192" s="45">
        <f>M197+M193</f>
        <v>9126</v>
      </c>
      <c r="N192" s="45">
        <f>SUM(H192+K192)</f>
        <v>5883.5</v>
      </c>
      <c r="O192" s="45">
        <f>O197+O193+N192</f>
        <v>15009.5</v>
      </c>
    </row>
    <row r="193" spans="1:15" ht="31.5" x14ac:dyDescent="0.2">
      <c r="A193" s="40"/>
      <c r="B193" s="69" t="s">
        <v>267</v>
      </c>
      <c r="C193" s="42">
        <v>992</v>
      </c>
      <c r="D193" s="43" t="s">
        <v>262</v>
      </c>
      <c r="E193" s="57" t="s">
        <v>268</v>
      </c>
      <c r="F193" s="44"/>
      <c r="G193" s="45">
        <v>735.3</v>
      </c>
      <c r="H193" s="45">
        <f>SUM(H194)</f>
        <v>0</v>
      </c>
      <c r="I193" s="45">
        <f>SUM(G193)</f>
        <v>735.3</v>
      </c>
      <c r="J193" s="46"/>
      <c r="K193" s="45"/>
      <c r="L193" s="46"/>
      <c r="M193" s="45">
        <f>SUM(G193)</f>
        <v>735.3</v>
      </c>
      <c r="N193" s="45">
        <f>SUM(N194)</f>
        <v>0</v>
      </c>
      <c r="O193" s="45">
        <f>SUM(M193)</f>
        <v>735.3</v>
      </c>
    </row>
    <row r="194" spans="1:15" ht="31.5" x14ac:dyDescent="0.2">
      <c r="A194" s="40"/>
      <c r="B194" s="41" t="s">
        <v>40</v>
      </c>
      <c r="C194" s="42">
        <v>992</v>
      </c>
      <c r="D194" s="43" t="s">
        <v>262</v>
      </c>
      <c r="E194" s="57" t="s">
        <v>268</v>
      </c>
      <c r="F194" s="44">
        <v>200</v>
      </c>
      <c r="G194" s="45">
        <v>735.3</v>
      </c>
      <c r="H194" s="45"/>
      <c r="I194" s="45">
        <f>SUM(G194)</f>
        <v>735.3</v>
      </c>
      <c r="J194" s="46"/>
      <c r="K194" s="45"/>
      <c r="L194" s="46"/>
      <c r="M194" s="45">
        <f>SUM(G194)</f>
        <v>735.3</v>
      </c>
      <c r="N194" s="45">
        <f>SUM(H194)</f>
        <v>0</v>
      </c>
      <c r="O194" s="45">
        <f>SUM(M194)</f>
        <v>735.3</v>
      </c>
    </row>
    <row r="195" spans="1:15" ht="30.75" customHeight="1" x14ac:dyDescent="0.2">
      <c r="A195" s="40"/>
      <c r="B195" s="41" t="s">
        <v>548</v>
      </c>
      <c r="C195" s="42">
        <v>992</v>
      </c>
      <c r="D195" s="43" t="s">
        <v>262</v>
      </c>
      <c r="E195" s="43" t="s">
        <v>547</v>
      </c>
      <c r="F195" s="44"/>
      <c r="G195" s="45"/>
      <c r="H195" s="45">
        <v>294.2</v>
      </c>
      <c r="I195" s="45">
        <f>SUM(H195)</f>
        <v>294.2</v>
      </c>
      <c r="J195" s="46"/>
      <c r="K195" s="45">
        <v>5589.3</v>
      </c>
      <c r="L195" s="46">
        <f>SUM(K195)</f>
        <v>5589.3</v>
      </c>
      <c r="M195" s="45"/>
      <c r="N195" s="45">
        <f>SUM(H195+K195)</f>
        <v>5883.5</v>
      </c>
      <c r="O195" s="45">
        <f>SUM(N195)</f>
        <v>5883.5</v>
      </c>
    </row>
    <row r="196" spans="1:15" ht="30.75" customHeight="1" x14ac:dyDescent="0.2">
      <c r="A196" s="40"/>
      <c r="B196" s="41" t="s">
        <v>40</v>
      </c>
      <c r="C196" s="42">
        <v>992</v>
      </c>
      <c r="D196" s="43" t="s">
        <v>262</v>
      </c>
      <c r="E196" s="43" t="s">
        <v>547</v>
      </c>
      <c r="F196" s="44">
        <v>200</v>
      </c>
      <c r="G196" s="45"/>
      <c r="H196" s="45">
        <v>294.2</v>
      </c>
      <c r="I196" s="45">
        <f>SUM(H196)</f>
        <v>294.2</v>
      </c>
      <c r="J196" s="46"/>
      <c r="K196" s="45">
        <v>5589.3</v>
      </c>
      <c r="L196" s="46">
        <f>SUM(K196)</f>
        <v>5589.3</v>
      </c>
      <c r="M196" s="45"/>
      <c r="N196" s="45">
        <f>SUM(H196+K196)</f>
        <v>5883.5</v>
      </c>
      <c r="O196" s="45">
        <f>SUM(N196)</f>
        <v>5883.5</v>
      </c>
    </row>
    <row r="197" spans="1:15" ht="47.25" x14ac:dyDescent="0.2">
      <c r="A197" s="40"/>
      <c r="B197" s="41" t="s">
        <v>269</v>
      </c>
      <c r="C197" s="42" t="s">
        <v>51</v>
      </c>
      <c r="D197" s="43" t="s">
        <v>262</v>
      </c>
      <c r="E197" s="43" t="s">
        <v>270</v>
      </c>
      <c r="F197" s="44" t="s">
        <v>11</v>
      </c>
      <c r="G197" s="45">
        <f>G198</f>
        <v>419.6</v>
      </c>
      <c r="H197" s="45">
        <f>SUM(H198)</f>
        <v>0</v>
      </c>
      <c r="I197" s="45">
        <f>I198</f>
        <v>419.6</v>
      </c>
      <c r="J197" s="46">
        <f>J198</f>
        <v>7971.1</v>
      </c>
      <c r="K197" s="45">
        <f>SUM(K198)</f>
        <v>0</v>
      </c>
      <c r="L197" s="46">
        <f>L198</f>
        <v>7971.1</v>
      </c>
      <c r="M197" s="45">
        <f>M198</f>
        <v>8390.7000000000007</v>
      </c>
      <c r="N197" s="45">
        <f>N198</f>
        <v>0</v>
      </c>
      <c r="O197" s="45">
        <f>O198</f>
        <v>8390.7000000000007</v>
      </c>
    </row>
    <row r="198" spans="1:15" ht="31.5" x14ac:dyDescent="0.2">
      <c r="A198" s="40"/>
      <c r="B198" s="41" t="s">
        <v>40</v>
      </c>
      <c r="C198" s="42" t="s">
        <v>51</v>
      </c>
      <c r="D198" s="43" t="s">
        <v>262</v>
      </c>
      <c r="E198" s="43" t="s">
        <v>270</v>
      </c>
      <c r="F198" s="44" t="s">
        <v>41</v>
      </c>
      <c r="G198" s="45">
        <v>419.6</v>
      </c>
      <c r="H198" s="45"/>
      <c r="I198" s="45">
        <f>419.6+H198</f>
        <v>419.6</v>
      </c>
      <c r="J198" s="47">
        <v>7971.1</v>
      </c>
      <c r="K198" s="45"/>
      <c r="L198" s="47">
        <f>7971.1+K198</f>
        <v>7971.1</v>
      </c>
      <c r="M198" s="45">
        <f>419.6+J198</f>
        <v>8390.7000000000007</v>
      </c>
      <c r="N198" s="45">
        <f>SUM(H198+K198)</f>
        <v>0</v>
      </c>
      <c r="O198" s="45">
        <f>SUM(I198+L198)</f>
        <v>8390.7000000000007</v>
      </c>
    </row>
    <row r="199" spans="1:15" ht="31.5" x14ac:dyDescent="0.2">
      <c r="A199" s="40"/>
      <c r="B199" s="41" t="s">
        <v>185</v>
      </c>
      <c r="C199" s="42" t="s">
        <v>51</v>
      </c>
      <c r="D199" s="43" t="s">
        <v>262</v>
      </c>
      <c r="E199" s="43" t="s">
        <v>271</v>
      </c>
      <c r="F199" s="44" t="s">
        <v>11</v>
      </c>
      <c r="G199" s="45">
        <f>G200+G207+G204</f>
        <v>15032</v>
      </c>
      <c r="H199" s="45">
        <f>H200+H204</f>
        <v>0</v>
      </c>
      <c r="I199" s="45">
        <f>I200+I207+I204</f>
        <v>15032</v>
      </c>
      <c r="J199" s="46">
        <f>J200+J207</f>
        <v>0</v>
      </c>
      <c r="K199" s="45">
        <f>K200</f>
        <v>0</v>
      </c>
      <c r="L199" s="46">
        <f>L200+L207</f>
        <v>0</v>
      </c>
      <c r="M199" s="45">
        <f>M200+M207+M204</f>
        <v>15032</v>
      </c>
      <c r="N199" s="45">
        <f>N200+N204</f>
        <v>0</v>
      </c>
      <c r="O199" s="45">
        <f>O200+O207+O204</f>
        <v>15032</v>
      </c>
    </row>
    <row r="200" spans="1:15" ht="51.6" customHeight="1" x14ac:dyDescent="0.2">
      <c r="A200" s="40"/>
      <c r="B200" s="41" t="s">
        <v>272</v>
      </c>
      <c r="C200" s="42" t="s">
        <v>51</v>
      </c>
      <c r="D200" s="43" t="s">
        <v>262</v>
      </c>
      <c r="E200" s="43" t="s">
        <v>273</v>
      </c>
      <c r="F200" s="44" t="s">
        <v>11</v>
      </c>
      <c r="G200" s="45">
        <f>G201</f>
        <v>8158.5999999999995</v>
      </c>
      <c r="H200" s="45">
        <f>H201+H202</f>
        <v>0</v>
      </c>
      <c r="I200" s="45">
        <f>I201</f>
        <v>8158.5999999999995</v>
      </c>
      <c r="J200" s="46">
        <f>J201</f>
        <v>0</v>
      </c>
      <c r="K200" s="45">
        <f>K201+K202</f>
        <v>0</v>
      </c>
      <c r="L200" s="46">
        <f>L201</f>
        <v>0</v>
      </c>
      <c r="M200" s="45">
        <f>M201</f>
        <v>8158.5999999999995</v>
      </c>
      <c r="N200" s="45">
        <f>N201</f>
        <v>0</v>
      </c>
      <c r="O200" s="45">
        <f>O201</f>
        <v>8158.5999999999995</v>
      </c>
    </row>
    <row r="201" spans="1:15" ht="31.5" x14ac:dyDescent="0.2">
      <c r="A201" s="40"/>
      <c r="B201" s="41" t="s">
        <v>134</v>
      </c>
      <c r="C201" s="42" t="s">
        <v>51</v>
      </c>
      <c r="D201" s="43" t="s">
        <v>262</v>
      </c>
      <c r="E201" s="43" t="s">
        <v>274</v>
      </c>
      <c r="F201" s="44" t="s">
        <v>11</v>
      </c>
      <c r="G201" s="45">
        <f>G202+G203</f>
        <v>8158.5999999999995</v>
      </c>
      <c r="H201" s="45">
        <f>SUM(H203)</f>
        <v>0</v>
      </c>
      <c r="I201" s="45">
        <f>I202+I203</f>
        <v>8158.5999999999995</v>
      </c>
      <c r="J201" s="46">
        <f>J202+J203</f>
        <v>0</v>
      </c>
      <c r="K201" s="45"/>
      <c r="L201" s="46">
        <f>L202+L203</f>
        <v>0</v>
      </c>
      <c r="M201" s="45">
        <f>M202+M203</f>
        <v>8158.5999999999995</v>
      </c>
      <c r="N201" s="45">
        <f>N202+N203</f>
        <v>0</v>
      </c>
      <c r="O201" s="45">
        <f>O202+O203</f>
        <v>8158.5999999999995</v>
      </c>
    </row>
    <row r="202" spans="1:15" ht="78.75" x14ac:dyDescent="0.2">
      <c r="A202" s="40"/>
      <c r="B202" s="41" t="s">
        <v>61</v>
      </c>
      <c r="C202" s="42" t="s">
        <v>51</v>
      </c>
      <c r="D202" s="43" t="s">
        <v>262</v>
      </c>
      <c r="E202" s="43" t="s">
        <v>274</v>
      </c>
      <c r="F202" s="44" t="s">
        <v>62</v>
      </c>
      <c r="G202" s="45">
        <v>7905.2</v>
      </c>
      <c r="H202" s="45"/>
      <c r="I202" s="45">
        <v>7905.2</v>
      </c>
      <c r="J202" s="47">
        <v>0</v>
      </c>
      <c r="K202" s="45"/>
      <c r="L202" s="47">
        <v>0</v>
      </c>
      <c r="M202" s="45">
        <v>7905.2</v>
      </c>
      <c r="N202" s="45"/>
      <c r="O202" s="45">
        <v>7905.2</v>
      </c>
    </row>
    <row r="203" spans="1:15" ht="31.5" x14ac:dyDescent="0.2">
      <c r="A203" s="40"/>
      <c r="B203" s="41" t="s">
        <v>40</v>
      </c>
      <c r="C203" s="42" t="s">
        <v>51</v>
      </c>
      <c r="D203" s="43" t="s">
        <v>262</v>
      </c>
      <c r="E203" s="43" t="s">
        <v>274</v>
      </c>
      <c r="F203" s="44" t="s">
        <v>41</v>
      </c>
      <c r="G203" s="45">
        <v>253.4</v>
      </c>
      <c r="H203" s="45"/>
      <c r="I203" s="45">
        <f>SUM(G203)</f>
        <v>253.4</v>
      </c>
      <c r="J203" s="47">
        <v>0</v>
      </c>
      <c r="K203" s="45"/>
      <c r="L203" s="47">
        <v>0</v>
      </c>
      <c r="M203" s="45">
        <f t="shared" ref="M203:N206" si="27">SUM(G203)</f>
        <v>253.4</v>
      </c>
      <c r="N203" s="45">
        <f t="shared" si="27"/>
        <v>0</v>
      </c>
      <c r="O203" s="45">
        <f>SUM(M203)</f>
        <v>253.4</v>
      </c>
    </row>
    <row r="204" spans="1:15" ht="15.75" x14ac:dyDescent="0.2">
      <c r="A204" s="40"/>
      <c r="B204" s="41" t="s">
        <v>275</v>
      </c>
      <c r="C204" s="42">
        <v>992</v>
      </c>
      <c r="D204" s="43" t="s">
        <v>262</v>
      </c>
      <c r="E204" s="57" t="s">
        <v>276</v>
      </c>
      <c r="F204" s="44"/>
      <c r="G204" s="45">
        <f>SUM(G206)</f>
        <v>600</v>
      </c>
      <c r="H204" s="45"/>
      <c r="I204" s="45">
        <f>SUM(H204)+G204</f>
        <v>600</v>
      </c>
      <c r="J204" s="47"/>
      <c r="K204" s="45"/>
      <c r="L204" s="47"/>
      <c r="M204" s="45">
        <f t="shared" si="27"/>
        <v>600</v>
      </c>
      <c r="N204" s="45">
        <f t="shared" si="27"/>
        <v>0</v>
      </c>
      <c r="O204" s="45">
        <f>SUM(I204)</f>
        <v>600</v>
      </c>
    </row>
    <row r="205" spans="1:15" ht="15.75" x14ac:dyDescent="0.2">
      <c r="A205" s="40"/>
      <c r="B205" s="41" t="s">
        <v>277</v>
      </c>
      <c r="C205" s="42">
        <v>992</v>
      </c>
      <c r="D205" s="43" t="s">
        <v>262</v>
      </c>
      <c r="E205" s="57" t="s">
        <v>276</v>
      </c>
      <c r="F205" s="44"/>
      <c r="G205" s="45">
        <f>SUM(F205)+G206</f>
        <v>600</v>
      </c>
      <c r="H205" s="45"/>
      <c r="I205" s="45">
        <f>SUM(H205)+G205</f>
        <v>600</v>
      </c>
      <c r="J205" s="47"/>
      <c r="K205" s="45"/>
      <c r="L205" s="47"/>
      <c r="M205" s="45">
        <f t="shared" si="27"/>
        <v>600</v>
      </c>
      <c r="N205" s="45">
        <f t="shared" si="27"/>
        <v>0</v>
      </c>
      <c r="O205" s="45">
        <f>SUM(I205)</f>
        <v>600</v>
      </c>
    </row>
    <row r="206" spans="1:15" ht="31.5" x14ac:dyDescent="0.2">
      <c r="A206" s="40"/>
      <c r="B206" s="41" t="s">
        <v>40</v>
      </c>
      <c r="C206" s="42">
        <v>992</v>
      </c>
      <c r="D206" s="43" t="s">
        <v>262</v>
      </c>
      <c r="E206" s="57" t="s">
        <v>278</v>
      </c>
      <c r="F206" s="44">
        <v>200</v>
      </c>
      <c r="G206" s="45">
        <v>600</v>
      </c>
      <c r="H206" s="45"/>
      <c r="I206" s="45">
        <f>SUM(H206)+G206</f>
        <v>600</v>
      </c>
      <c r="J206" s="47"/>
      <c r="K206" s="45"/>
      <c r="L206" s="47"/>
      <c r="M206" s="45">
        <f t="shared" si="27"/>
        <v>600</v>
      </c>
      <c r="N206" s="45">
        <f t="shared" si="27"/>
        <v>0</v>
      </c>
      <c r="O206" s="45">
        <f>SUM(I206)</f>
        <v>600</v>
      </c>
    </row>
    <row r="207" spans="1:15" ht="52.15" customHeight="1" x14ac:dyDescent="0.2">
      <c r="A207" s="40"/>
      <c r="B207" s="41" t="s">
        <v>279</v>
      </c>
      <c r="C207" s="42" t="s">
        <v>51</v>
      </c>
      <c r="D207" s="43" t="s">
        <v>262</v>
      </c>
      <c r="E207" s="43" t="s">
        <v>280</v>
      </c>
      <c r="F207" s="44" t="s">
        <v>11</v>
      </c>
      <c r="G207" s="45">
        <f t="shared" ref="G207:O208" si="28">G208</f>
        <v>6273.4</v>
      </c>
      <c r="H207" s="45">
        <f t="shared" si="28"/>
        <v>0</v>
      </c>
      <c r="I207" s="45">
        <f t="shared" si="28"/>
        <v>6273.4</v>
      </c>
      <c r="J207" s="46">
        <f t="shared" si="28"/>
        <v>0</v>
      </c>
      <c r="K207" s="45">
        <f t="shared" si="28"/>
        <v>0</v>
      </c>
      <c r="L207" s="46">
        <f t="shared" si="28"/>
        <v>0</v>
      </c>
      <c r="M207" s="45">
        <f t="shared" si="28"/>
        <v>6273.4</v>
      </c>
      <c r="N207" s="45">
        <f t="shared" si="28"/>
        <v>0</v>
      </c>
      <c r="O207" s="45">
        <f t="shared" si="28"/>
        <v>6273.4</v>
      </c>
    </row>
    <row r="208" spans="1:15" ht="31.5" x14ac:dyDescent="0.2">
      <c r="A208" s="40"/>
      <c r="B208" s="41" t="s">
        <v>134</v>
      </c>
      <c r="C208" s="42" t="s">
        <v>51</v>
      </c>
      <c r="D208" s="43" t="s">
        <v>262</v>
      </c>
      <c r="E208" s="43" t="s">
        <v>281</v>
      </c>
      <c r="F208" s="44" t="s">
        <v>11</v>
      </c>
      <c r="G208" s="45">
        <f t="shared" si="28"/>
        <v>6273.4</v>
      </c>
      <c r="H208" s="45"/>
      <c r="I208" s="45">
        <f t="shared" si="28"/>
        <v>6273.4</v>
      </c>
      <c r="J208" s="46">
        <f t="shared" si="28"/>
        <v>0</v>
      </c>
      <c r="K208" s="45"/>
      <c r="L208" s="46">
        <f t="shared" si="28"/>
        <v>0</v>
      </c>
      <c r="M208" s="45">
        <f t="shared" si="28"/>
        <v>6273.4</v>
      </c>
      <c r="N208" s="45">
        <f t="shared" si="28"/>
        <v>0</v>
      </c>
      <c r="O208" s="45">
        <f t="shared" si="28"/>
        <v>6273.4</v>
      </c>
    </row>
    <row r="209" spans="1:15" ht="37.9" customHeight="1" x14ac:dyDescent="0.2">
      <c r="A209" s="40"/>
      <c r="B209" s="41" t="s">
        <v>95</v>
      </c>
      <c r="C209" s="42" t="s">
        <v>51</v>
      </c>
      <c r="D209" s="43" t="s">
        <v>262</v>
      </c>
      <c r="E209" s="43" t="s">
        <v>281</v>
      </c>
      <c r="F209" s="44" t="s">
        <v>96</v>
      </c>
      <c r="G209" s="45">
        <v>6273.4</v>
      </c>
      <c r="H209" s="45"/>
      <c r="I209" s="45">
        <v>6273.4</v>
      </c>
      <c r="J209" s="47">
        <v>0</v>
      </c>
      <c r="K209" s="45"/>
      <c r="L209" s="47">
        <v>0</v>
      </c>
      <c r="M209" s="45">
        <v>6273.4</v>
      </c>
      <c r="N209" s="45"/>
      <c r="O209" s="45">
        <v>6273.4</v>
      </c>
    </row>
    <row r="210" spans="1:15" ht="37.9" customHeight="1" x14ac:dyDescent="0.2">
      <c r="A210" s="40"/>
      <c r="B210" s="68" t="s">
        <v>282</v>
      </c>
      <c r="C210" s="42">
        <v>992</v>
      </c>
      <c r="D210" s="43" t="s">
        <v>262</v>
      </c>
      <c r="E210" s="57" t="s">
        <v>248</v>
      </c>
      <c r="F210" s="44"/>
      <c r="G210" s="45">
        <f>SUM(G211)</f>
        <v>1159</v>
      </c>
      <c r="H210" s="45">
        <f>SUM(H211)</f>
        <v>0</v>
      </c>
      <c r="I210" s="45">
        <f>SUM(G210)</f>
        <v>1159</v>
      </c>
      <c r="J210" s="47"/>
      <c r="K210" s="45"/>
      <c r="L210" s="47"/>
      <c r="M210" s="45">
        <f>SUM(G210)</f>
        <v>1159</v>
      </c>
      <c r="N210" s="45">
        <f t="shared" ref="N210:O212" si="29">SUM(H210)</f>
        <v>0</v>
      </c>
      <c r="O210" s="45">
        <f t="shared" si="29"/>
        <v>1159</v>
      </c>
    </row>
    <row r="211" spans="1:15" ht="37.9" customHeight="1" x14ac:dyDescent="0.2">
      <c r="A211" s="40"/>
      <c r="B211" s="67" t="s">
        <v>283</v>
      </c>
      <c r="C211" s="42">
        <v>992</v>
      </c>
      <c r="D211" s="43" t="s">
        <v>262</v>
      </c>
      <c r="E211" s="57" t="s">
        <v>284</v>
      </c>
      <c r="F211" s="44"/>
      <c r="G211" s="45">
        <f>SUM(G212)</f>
        <v>1159</v>
      </c>
      <c r="H211" s="45">
        <f>SUM(H212)</f>
        <v>0</v>
      </c>
      <c r="I211" s="45">
        <f>SUM(G211)</f>
        <v>1159</v>
      </c>
      <c r="J211" s="47"/>
      <c r="K211" s="45"/>
      <c r="L211" s="47"/>
      <c r="M211" s="45">
        <f>SUM(G212)</f>
        <v>1159</v>
      </c>
      <c r="N211" s="45">
        <f t="shared" si="29"/>
        <v>0</v>
      </c>
      <c r="O211" s="45">
        <f t="shared" si="29"/>
        <v>1159</v>
      </c>
    </row>
    <row r="212" spans="1:15" ht="37.9" customHeight="1" x14ac:dyDescent="0.2">
      <c r="A212" s="40"/>
      <c r="B212" s="41" t="s">
        <v>95</v>
      </c>
      <c r="C212" s="42">
        <v>992</v>
      </c>
      <c r="D212" s="43" t="s">
        <v>262</v>
      </c>
      <c r="E212" s="57" t="s">
        <v>284</v>
      </c>
      <c r="F212" s="44">
        <v>600</v>
      </c>
      <c r="G212" s="45">
        <v>1159</v>
      </c>
      <c r="H212" s="45"/>
      <c r="I212" s="45">
        <f>SUM(G212)</f>
        <v>1159</v>
      </c>
      <c r="J212" s="47"/>
      <c r="K212" s="45"/>
      <c r="L212" s="47"/>
      <c r="M212" s="45">
        <f>SUM(G212)</f>
        <v>1159</v>
      </c>
      <c r="N212" s="45">
        <f t="shared" si="29"/>
        <v>0</v>
      </c>
      <c r="O212" s="45">
        <f t="shared" si="29"/>
        <v>1159</v>
      </c>
    </row>
    <row r="213" spans="1:15" ht="31.5" x14ac:dyDescent="0.2">
      <c r="A213" s="40"/>
      <c r="B213" s="41" t="s">
        <v>218</v>
      </c>
      <c r="C213" s="42" t="s">
        <v>51</v>
      </c>
      <c r="D213" s="43" t="s">
        <v>262</v>
      </c>
      <c r="E213" s="43" t="s">
        <v>219</v>
      </c>
      <c r="F213" s="44" t="s">
        <v>11</v>
      </c>
      <c r="G213" s="45">
        <f>G214+G219+G224</f>
        <v>4463.6000000000004</v>
      </c>
      <c r="H213" s="45">
        <f>H214</f>
        <v>0</v>
      </c>
      <c r="I213" s="45">
        <f>I214+I219+I224</f>
        <v>4463.6000000000004</v>
      </c>
      <c r="J213" s="46">
        <f>J214+J219+J224</f>
        <v>0</v>
      </c>
      <c r="K213" s="45">
        <f>K214</f>
        <v>0</v>
      </c>
      <c r="L213" s="46">
        <f>L214+L219+L224</f>
        <v>0</v>
      </c>
      <c r="M213" s="45">
        <f>M214+M219+M224</f>
        <v>4463.6000000000004</v>
      </c>
      <c r="N213" s="45">
        <f>N214+N219+N224</f>
        <v>0</v>
      </c>
      <c r="O213" s="45">
        <f>O214+O219+O224</f>
        <v>4463.6000000000004</v>
      </c>
    </row>
    <row r="214" spans="1:15" ht="31.5" x14ac:dyDescent="0.2">
      <c r="A214" s="40"/>
      <c r="B214" s="41" t="s">
        <v>285</v>
      </c>
      <c r="C214" s="42" t="s">
        <v>51</v>
      </c>
      <c r="D214" s="43" t="s">
        <v>262</v>
      </c>
      <c r="E214" s="43" t="s">
        <v>286</v>
      </c>
      <c r="F214" s="44" t="s">
        <v>11</v>
      </c>
      <c r="G214" s="45">
        <f>G215</f>
        <v>330</v>
      </c>
      <c r="H214" s="45">
        <f>H215</f>
        <v>0</v>
      </c>
      <c r="I214" s="45">
        <f>I215</f>
        <v>330</v>
      </c>
      <c r="J214" s="46">
        <f t="shared" ref="J214:O215" si="30">J215</f>
        <v>0</v>
      </c>
      <c r="K214" s="45">
        <f>K215</f>
        <v>0</v>
      </c>
      <c r="L214" s="46">
        <f t="shared" si="30"/>
        <v>0</v>
      </c>
      <c r="M214" s="45">
        <f t="shared" si="30"/>
        <v>330</v>
      </c>
      <c r="N214" s="45">
        <f t="shared" si="30"/>
        <v>0</v>
      </c>
      <c r="O214" s="45">
        <f t="shared" si="30"/>
        <v>330</v>
      </c>
    </row>
    <row r="215" spans="1:15" ht="31.5" x14ac:dyDescent="0.2">
      <c r="A215" s="40"/>
      <c r="B215" s="41" t="s">
        <v>287</v>
      </c>
      <c r="C215" s="42" t="s">
        <v>51</v>
      </c>
      <c r="D215" s="43" t="s">
        <v>262</v>
      </c>
      <c r="E215" s="43" t="s">
        <v>288</v>
      </c>
      <c r="F215" s="44" t="s">
        <v>11</v>
      </c>
      <c r="G215" s="45">
        <f>G216</f>
        <v>330</v>
      </c>
      <c r="H215" s="45">
        <f>H217+H216</f>
        <v>0</v>
      </c>
      <c r="I215" s="45">
        <f>I216</f>
        <v>330</v>
      </c>
      <c r="J215" s="46">
        <f t="shared" si="30"/>
        <v>0</v>
      </c>
      <c r="K215" s="45">
        <f>K217+K216</f>
        <v>0</v>
      </c>
      <c r="L215" s="46">
        <f t="shared" si="30"/>
        <v>0</v>
      </c>
      <c r="M215" s="45">
        <f t="shared" si="30"/>
        <v>330</v>
      </c>
      <c r="N215" s="45">
        <f t="shared" si="30"/>
        <v>0</v>
      </c>
      <c r="O215" s="45">
        <f t="shared" si="30"/>
        <v>330</v>
      </c>
    </row>
    <row r="216" spans="1:15" ht="31.5" x14ac:dyDescent="0.2">
      <c r="A216" s="40"/>
      <c r="B216" s="41" t="s">
        <v>285</v>
      </c>
      <c r="C216" s="42" t="s">
        <v>51</v>
      </c>
      <c r="D216" s="43" t="s">
        <v>262</v>
      </c>
      <c r="E216" s="43" t="s">
        <v>289</v>
      </c>
      <c r="F216" s="44" t="s">
        <v>11</v>
      </c>
      <c r="G216" s="45">
        <f>G218+G217</f>
        <v>330</v>
      </c>
      <c r="H216" s="45"/>
      <c r="I216" s="45">
        <f>I218+I217</f>
        <v>330</v>
      </c>
      <c r="J216" s="46">
        <f>J218+J217</f>
        <v>0</v>
      </c>
      <c r="K216" s="45"/>
      <c r="L216" s="46">
        <f>L218+L217</f>
        <v>0</v>
      </c>
      <c r="M216" s="45">
        <f>M218+M217</f>
        <v>330</v>
      </c>
      <c r="N216" s="45">
        <f>N218+N217</f>
        <v>0</v>
      </c>
      <c r="O216" s="45">
        <f>O218+O217</f>
        <v>330</v>
      </c>
    </row>
    <row r="217" spans="1:15" ht="31.5" x14ac:dyDescent="0.2">
      <c r="A217" s="40"/>
      <c r="B217" s="41" t="s">
        <v>40</v>
      </c>
      <c r="C217" s="42" t="s">
        <v>51</v>
      </c>
      <c r="D217" s="43" t="s">
        <v>262</v>
      </c>
      <c r="E217" s="43" t="s">
        <v>289</v>
      </c>
      <c r="F217" s="44">
        <v>200</v>
      </c>
      <c r="G217" s="45">
        <v>200</v>
      </c>
      <c r="H217" s="45"/>
      <c r="I217" s="45">
        <v>200</v>
      </c>
      <c r="J217" s="46">
        <v>0</v>
      </c>
      <c r="K217" s="45"/>
      <c r="L217" s="46">
        <v>0</v>
      </c>
      <c r="M217" s="45">
        <v>200</v>
      </c>
      <c r="N217" s="45"/>
      <c r="O217" s="45">
        <v>200</v>
      </c>
    </row>
    <row r="218" spans="1:15" ht="15.75" x14ac:dyDescent="0.2">
      <c r="A218" s="40"/>
      <c r="B218" s="41" t="s">
        <v>70</v>
      </c>
      <c r="C218" s="42" t="s">
        <v>51</v>
      </c>
      <c r="D218" s="43" t="s">
        <v>262</v>
      </c>
      <c r="E218" s="43" t="s">
        <v>289</v>
      </c>
      <c r="F218" s="44" t="s">
        <v>71</v>
      </c>
      <c r="G218" s="45">
        <v>130</v>
      </c>
      <c r="H218" s="45"/>
      <c r="I218" s="45">
        <v>130</v>
      </c>
      <c r="J218" s="47">
        <v>0</v>
      </c>
      <c r="K218" s="45"/>
      <c r="L218" s="47">
        <v>0</v>
      </c>
      <c r="M218" s="45">
        <v>130</v>
      </c>
      <c r="N218" s="45"/>
      <c r="O218" s="45">
        <v>130</v>
      </c>
    </row>
    <row r="219" spans="1:15" ht="31.5" x14ac:dyDescent="0.2">
      <c r="A219" s="40"/>
      <c r="B219" s="41" t="s">
        <v>290</v>
      </c>
      <c r="C219" s="42" t="s">
        <v>51</v>
      </c>
      <c r="D219" s="43" t="s">
        <v>262</v>
      </c>
      <c r="E219" s="43" t="s">
        <v>291</v>
      </c>
      <c r="F219" s="44" t="s">
        <v>11</v>
      </c>
      <c r="G219" s="45">
        <f t="shared" ref="G219:O220" si="31">G220</f>
        <v>3933.6</v>
      </c>
      <c r="H219" s="45">
        <f t="shared" si="31"/>
        <v>0</v>
      </c>
      <c r="I219" s="45">
        <f t="shared" si="31"/>
        <v>3933.6</v>
      </c>
      <c r="J219" s="46">
        <f t="shared" si="31"/>
        <v>0</v>
      </c>
      <c r="K219" s="45">
        <f t="shared" si="31"/>
        <v>0</v>
      </c>
      <c r="L219" s="46">
        <f t="shared" si="31"/>
        <v>0</v>
      </c>
      <c r="M219" s="45">
        <f t="shared" si="31"/>
        <v>3933.6</v>
      </c>
      <c r="N219" s="45">
        <f t="shared" si="31"/>
        <v>0</v>
      </c>
      <c r="O219" s="45">
        <f t="shared" si="31"/>
        <v>3933.6</v>
      </c>
    </row>
    <row r="220" spans="1:15" ht="47.25" x14ac:dyDescent="0.2">
      <c r="A220" s="40"/>
      <c r="B220" s="41" t="s">
        <v>292</v>
      </c>
      <c r="C220" s="42" t="s">
        <v>51</v>
      </c>
      <c r="D220" s="43" t="s">
        <v>262</v>
      </c>
      <c r="E220" s="43" t="s">
        <v>293</v>
      </c>
      <c r="F220" s="44" t="s">
        <v>11</v>
      </c>
      <c r="G220" s="45">
        <f t="shared" si="31"/>
        <v>3933.6</v>
      </c>
      <c r="H220" s="45">
        <f>H221+H222</f>
        <v>0</v>
      </c>
      <c r="I220" s="45">
        <f t="shared" si="31"/>
        <v>3933.6</v>
      </c>
      <c r="J220" s="46">
        <f t="shared" si="31"/>
        <v>0</v>
      </c>
      <c r="K220" s="45">
        <f>K221+K222</f>
        <v>0</v>
      </c>
      <c r="L220" s="46">
        <f t="shared" si="31"/>
        <v>0</v>
      </c>
      <c r="M220" s="45">
        <f t="shared" si="31"/>
        <v>3933.6</v>
      </c>
      <c r="N220" s="45">
        <f t="shared" si="31"/>
        <v>0</v>
      </c>
      <c r="O220" s="45">
        <f t="shared" si="31"/>
        <v>3933.6</v>
      </c>
    </row>
    <row r="221" spans="1:15" ht="31.5" x14ac:dyDescent="0.2">
      <c r="A221" s="40"/>
      <c r="B221" s="41" t="s">
        <v>134</v>
      </c>
      <c r="C221" s="42" t="s">
        <v>51</v>
      </c>
      <c r="D221" s="43" t="s">
        <v>262</v>
      </c>
      <c r="E221" s="43" t="s">
        <v>294</v>
      </c>
      <c r="F221" s="44" t="s">
        <v>11</v>
      </c>
      <c r="G221" s="45">
        <f>G222+G223</f>
        <v>3933.6</v>
      </c>
      <c r="H221" s="45"/>
      <c r="I221" s="45">
        <f>I222+I223</f>
        <v>3933.6</v>
      </c>
      <c r="J221" s="46">
        <f>J222+J223</f>
        <v>0</v>
      </c>
      <c r="K221" s="45"/>
      <c r="L221" s="46">
        <f>L222+L223</f>
        <v>0</v>
      </c>
      <c r="M221" s="45">
        <f>M222+M223</f>
        <v>3933.6</v>
      </c>
      <c r="N221" s="45">
        <f>N222+N223</f>
        <v>0</v>
      </c>
      <c r="O221" s="45">
        <f>O222+O223</f>
        <v>3933.6</v>
      </c>
    </row>
    <row r="222" spans="1:15" ht="78.75" x14ac:dyDescent="0.2">
      <c r="A222" s="40"/>
      <c r="B222" s="41" t="s">
        <v>61</v>
      </c>
      <c r="C222" s="42" t="s">
        <v>51</v>
      </c>
      <c r="D222" s="43" t="s">
        <v>262</v>
      </c>
      <c r="E222" s="43" t="s">
        <v>294</v>
      </c>
      <c r="F222" s="44" t="s">
        <v>62</v>
      </c>
      <c r="G222" s="45">
        <v>3788.1</v>
      </c>
      <c r="H222" s="45"/>
      <c r="I222" s="45">
        <v>3788.1</v>
      </c>
      <c r="J222" s="47">
        <v>0</v>
      </c>
      <c r="K222" s="45"/>
      <c r="L222" s="47">
        <v>0</v>
      </c>
      <c r="M222" s="45">
        <v>3788.1</v>
      </c>
      <c r="N222" s="45"/>
      <c r="O222" s="45">
        <v>3788.1</v>
      </c>
    </row>
    <row r="223" spans="1:15" ht="31.5" x14ac:dyDescent="0.2">
      <c r="A223" s="40"/>
      <c r="B223" s="41" t="s">
        <v>40</v>
      </c>
      <c r="C223" s="42" t="s">
        <v>51</v>
      </c>
      <c r="D223" s="43" t="s">
        <v>262</v>
      </c>
      <c r="E223" s="43" t="s">
        <v>294</v>
      </c>
      <c r="F223" s="44" t="s">
        <v>41</v>
      </c>
      <c r="G223" s="45">
        <v>145.5</v>
      </c>
      <c r="H223" s="45"/>
      <c r="I223" s="45">
        <v>145.5</v>
      </c>
      <c r="J223" s="47">
        <v>0</v>
      </c>
      <c r="K223" s="45"/>
      <c r="L223" s="47">
        <v>0</v>
      </c>
      <c r="M223" s="45">
        <v>145.5</v>
      </c>
      <c r="N223" s="45"/>
      <c r="O223" s="45">
        <v>145.5</v>
      </c>
    </row>
    <row r="224" spans="1:15" ht="63" x14ac:dyDescent="0.2">
      <c r="A224" s="40"/>
      <c r="B224" s="41" t="s">
        <v>295</v>
      </c>
      <c r="C224" s="42" t="s">
        <v>51</v>
      </c>
      <c r="D224" s="43" t="s">
        <v>262</v>
      </c>
      <c r="E224" s="43" t="s">
        <v>296</v>
      </c>
      <c r="F224" s="44" t="s">
        <v>11</v>
      </c>
      <c r="G224" s="45">
        <f t="shared" ref="G224:O226" si="32">G225</f>
        <v>200</v>
      </c>
      <c r="H224" s="45">
        <f t="shared" si="32"/>
        <v>0</v>
      </c>
      <c r="I224" s="45">
        <f t="shared" si="32"/>
        <v>200</v>
      </c>
      <c r="J224" s="46">
        <f t="shared" si="32"/>
        <v>0</v>
      </c>
      <c r="K224" s="45">
        <f>K225</f>
        <v>0</v>
      </c>
      <c r="L224" s="46">
        <f t="shared" si="32"/>
        <v>0</v>
      </c>
      <c r="M224" s="45">
        <f t="shared" si="32"/>
        <v>200</v>
      </c>
      <c r="N224" s="45">
        <f t="shared" si="32"/>
        <v>0</v>
      </c>
      <c r="O224" s="45">
        <f t="shared" si="32"/>
        <v>200</v>
      </c>
    </row>
    <row r="225" spans="1:16" ht="47.25" x14ac:dyDescent="0.2">
      <c r="A225" s="40"/>
      <c r="B225" s="41" t="s">
        <v>297</v>
      </c>
      <c r="C225" s="42" t="s">
        <v>51</v>
      </c>
      <c r="D225" s="43" t="s">
        <v>262</v>
      </c>
      <c r="E225" s="43" t="s">
        <v>298</v>
      </c>
      <c r="F225" s="44" t="s">
        <v>11</v>
      </c>
      <c r="G225" s="45">
        <f t="shared" si="32"/>
        <v>200</v>
      </c>
      <c r="H225" s="45">
        <f t="shared" si="32"/>
        <v>0</v>
      </c>
      <c r="I225" s="45">
        <f t="shared" si="32"/>
        <v>200</v>
      </c>
      <c r="J225" s="46">
        <f t="shared" si="32"/>
        <v>0</v>
      </c>
      <c r="K225" s="45">
        <f>K226</f>
        <v>0</v>
      </c>
      <c r="L225" s="46">
        <f t="shared" si="32"/>
        <v>0</v>
      </c>
      <c r="M225" s="45">
        <f t="shared" si="32"/>
        <v>200</v>
      </c>
      <c r="N225" s="45">
        <f t="shared" si="32"/>
        <v>0</v>
      </c>
      <c r="O225" s="45">
        <f t="shared" si="32"/>
        <v>200</v>
      </c>
    </row>
    <row r="226" spans="1:16" ht="31.5" x14ac:dyDescent="0.2">
      <c r="A226" s="40"/>
      <c r="B226" s="41" t="s">
        <v>299</v>
      </c>
      <c r="C226" s="42" t="s">
        <v>51</v>
      </c>
      <c r="D226" s="43" t="s">
        <v>262</v>
      </c>
      <c r="E226" s="43" t="s">
        <v>300</v>
      </c>
      <c r="F226" s="44" t="s">
        <v>11</v>
      </c>
      <c r="G226" s="45">
        <f>G227</f>
        <v>200</v>
      </c>
      <c r="H226" s="45"/>
      <c r="I226" s="45">
        <f>I227</f>
        <v>200</v>
      </c>
      <c r="J226" s="46">
        <f t="shared" si="32"/>
        <v>0</v>
      </c>
      <c r="K226" s="45"/>
      <c r="L226" s="46">
        <f t="shared" si="32"/>
        <v>0</v>
      </c>
      <c r="M226" s="45">
        <f t="shared" si="32"/>
        <v>200</v>
      </c>
      <c r="N226" s="45">
        <f t="shared" si="32"/>
        <v>0</v>
      </c>
      <c r="O226" s="45">
        <f t="shared" si="32"/>
        <v>200</v>
      </c>
    </row>
    <row r="227" spans="1:16" ht="31.5" x14ac:dyDescent="0.2">
      <c r="A227" s="40"/>
      <c r="B227" s="41" t="s">
        <v>40</v>
      </c>
      <c r="C227" s="42" t="s">
        <v>51</v>
      </c>
      <c r="D227" s="43" t="s">
        <v>262</v>
      </c>
      <c r="E227" s="43" t="s">
        <v>300</v>
      </c>
      <c r="F227" s="44" t="s">
        <v>41</v>
      </c>
      <c r="G227" s="45">
        <v>200</v>
      </c>
      <c r="H227" s="25"/>
      <c r="I227" s="45">
        <v>200</v>
      </c>
      <c r="J227" s="47"/>
      <c r="K227" s="25"/>
      <c r="L227" s="47"/>
      <c r="M227" s="45">
        <v>200</v>
      </c>
      <c r="N227" s="45"/>
      <c r="O227" s="45">
        <v>200</v>
      </c>
    </row>
    <row r="228" spans="1:16" ht="15.75" x14ac:dyDescent="0.2">
      <c r="A228" s="20" t="s">
        <v>301</v>
      </c>
      <c r="B228" s="21" t="s">
        <v>302</v>
      </c>
      <c r="C228" s="42" t="s">
        <v>51</v>
      </c>
      <c r="D228" s="43" t="s">
        <v>303</v>
      </c>
      <c r="E228" s="43" t="s">
        <v>11</v>
      </c>
      <c r="F228" s="44" t="s">
        <v>11</v>
      </c>
      <c r="G228" s="25">
        <f>G229+G241+G272+G314</f>
        <v>230666.7</v>
      </c>
      <c r="H228" s="25">
        <f>H229+H241+H272+H314</f>
        <v>17895.099999999999</v>
      </c>
      <c r="I228" s="25">
        <f>I229+I241+I272+I314</f>
        <v>248561.8</v>
      </c>
      <c r="J228" s="26">
        <f>J229+J241+J272+J314</f>
        <v>2373613.8000000003</v>
      </c>
      <c r="K228" s="38">
        <f>K229+K241+K272</f>
        <v>4560</v>
      </c>
      <c r="L228" s="26">
        <f>L229+L241+L272+L314</f>
        <v>2425519.4000000004</v>
      </c>
      <c r="M228" s="25">
        <f>M229+M241+M272+M314</f>
        <v>2604280.5</v>
      </c>
      <c r="N228" s="25">
        <f>N229+N241+N272+N314</f>
        <v>69800.7</v>
      </c>
      <c r="O228" s="25">
        <f>O229+O241+O272+O314</f>
        <v>2674081.1999999997</v>
      </c>
      <c r="P228" s="17"/>
    </row>
    <row r="229" spans="1:16" ht="15.75" x14ac:dyDescent="0.2">
      <c r="A229" s="33" t="s">
        <v>304</v>
      </c>
      <c r="B229" s="34" t="s">
        <v>305</v>
      </c>
      <c r="C229" s="42" t="s">
        <v>51</v>
      </c>
      <c r="D229" s="43" t="s">
        <v>306</v>
      </c>
      <c r="E229" s="57" t="s">
        <v>231</v>
      </c>
      <c r="F229" s="44" t="s">
        <v>11</v>
      </c>
      <c r="G229" s="38">
        <f>G234+G230</f>
        <v>8442.5</v>
      </c>
      <c r="H229" s="45">
        <f>H234+H230</f>
        <v>0</v>
      </c>
      <c r="I229" s="38">
        <f>I234+I230</f>
        <v>8442.5</v>
      </c>
      <c r="J229" s="39">
        <f>J234</f>
        <v>0</v>
      </c>
      <c r="K229" s="45">
        <f>K234</f>
        <v>0</v>
      </c>
      <c r="L229" s="39">
        <f>L234</f>
        <v>0</v>
      </c>
      <c r="M229" s="38">
        <f>M234+M230</f>
        <v>8442.5</v>
      </c>
      <c r="N229" s="45">
        <f>N234+N230</f>
        <v>0</v>
      </c>
      <c r="O229" s="38">
        <f>O234+O230</f>
        <v>8442.5</v>
      </c>
    </row>
    <row r="230" spans="1:16" ht="31.5" x14ac:dyDescent="0.2">
      <c r="A230" s="33"/>
      <c r="B230" s="34" t="s">
        <v>307</v>
      </c>
      <c r="C230" s="42">
        <v>992</v>
      </c>
      <c r="D230" s="43" t="s">
        <v>306</v>
      </c>
      <c r="E230" s="57" t="s">
        <v>308</v>
      </c>
      <c r="F230" s="44"/>
      <c r="G230" s="38">
        <f>SUM(G232)</f>
        <v>1070</v>
      </c>
      <c r="H230" s="45">
        <f>SUM(H231)</f>
        <v>0</v>
      </c>
      <c r="I230" s="38">
        <f>SUM(G230)</f>
        <v>1070</v>
      </c>
      <c r="J230" s="39"/>
      <c r="K230" s="45"/>
      <c r="L230" s="39"/>
      <c r="M230" s="38">
        <f>SUM(M232)</f>
        <v>1070</v>
      </c>
      <c r="N230" s="38">
        <f t="shared" ref="N230:O232" si="33">SUM(H230)</f>
        <v>0</v>
      </c>
      <c r="O230" s="38">
        <f t="shared" si="33"/>
        <v>1070</v>
      </c>
    </row>
    <row r="231" spans="1:16" ht="31.5" x14ac:dyDescent="0.2">
      <c r="A231" s="33"/>
      <c r="B231" s="56" t="s">
        <v>309</v>
      </c>
      <c r="C231" s="42">
        <v>992</v>
      </c>
      <c r="D231" s="43" t="s">
        <v>306</v>
      </c>
      <c r="E231" s="57" t="s">
        <v>310</v>
      </c>
      <c r="F231" s="44"/>
      <c r="G231" s="38">
        <f>SUM(G232)</f>
        <v>1070</v>
      </c>
      <c r="H231" s="45">
        <f>SUM(H232)</f>
        <v>0</v>
      </c>
      <c r="I231" s="38">
        <f>SUM(G231)</f>
        <v>1070</v>
      </c>
      <c r="J231" s="39"/>
      <c r="K231" s="45"/>
      <c r="L231" s="39"/>
      <c r="M231" s="38">
        <f>SUM(G231)</f>
        <v>1070</v>
      </c>
      <c r="N231" s="38">
        <f t="shared" si="33"/>
        <v>0</v>
      </c>
      <c r="O231" s="38">
        <f t="shared" si="33"/>
        <v>1070</v>
      </c>
    </row>
    <row r="232" spans="1:16" ht="30" customHeight="1" x14ac:dyDescent="0.2">
      <c r="A232" s="33"/>
      <c r="B232" s="41" t="s">
        <v>225</v>
      </c>
      <c r="C232" s="42">
        <v>992</v>
      </c>
      <c r="D232" s="43" t="s">
        <v>306</v>
      </c>
      <c r="E232" s="57" t="s">
        <v>308</v>
      </c>
      <c r="F232" s="44">
        <v>400</v>
      </c>
      <c r="G232" s="38">
        <v>1070</v>
      </c>
      <c r="H232" s="45"/>
      <c r="I232" s="38">
        <f>SUM(G232)</f>
        <v>1070</v>
      </c>
      <c r="J232" s="39"/>
      <c r="K232" s="45"/>
      <c r="L232" s="39"/>
      <c r="M232" s="38">
        <f>SUM(G232)</f>
        <v>1070</v>
      </c>
      <c r="N232" s="38">
        <f t="shared" si="33"/>
        <v>0</v>
      </c>
      <c r="O232" s="38">
        <f t="shared" si="33"/>
        <v>1070</v>
      </c>
    </row>
    <row r="233" spans="1:16" ht="15.75" hidden="1" x14ac:dyDescent="0.2">
      <c r="A233" s="33"/>
      <c r="B233" s="34"/>
      <c r="C233" s="35"/>
      <c r="D233" s="36"/>
      <c r="E233" s="36"/>
      <c r="F233" s="37"/>
      <c r="G233" s="38"/>
      <c r="H233" s="45"/>
      <c r="I233" s="38"/>
      <c r="J233" s="39"/>
      <c r="K233" s="45"/>
      <c r="L233" s="39"/>
      <c r="M233" s="38"/>
      <c r="N233" s="38"/>
      <c r="O233" s="38"/>
    </row>
    <row r="234" spans="1:16" ht="31.5" x14ac:dyDescent="0.2">
      <c r="A234" s="40"/>
      <c r="B234" s="41" t="s">
        <v>245</v>
      </c>
      <c r="C234" s="42" t="s">
        <v>51</v>
      </c>
      <c r="D234" s="43" t="s">
        <v>306</v>
      </c>
      <c r="E234" s="43" t="s">
        <v>246</v>
      </c>
      <c r="F234" s="44" t="s">
        <v>11</v>
      </c>
      <c r="G234" s="45">
        <f t="shared" ref="G234:O235" si="34">G235</f>
        <v>7372.5</v>
      </c>
      <c r="H234" s="45">
        <f t="shared" si="34"/>
        <v>0</v>
      </c>
      <c r="I234" s="45">
        <f t="shared" si="34"/>
        <v>7372.5</v>
      </c>
      <c r="J234" s="46">
        <f t="shared" si="34"/>
        <v>0</v>
      </c>
      <c r="K234" s="45">
        <f>K235</f>
        <v>0</v>
      </c>
      <c r="L234" s="46">
        <f t="shared" si="34"/>
        <v>0</v>
      </c>
      <c r="M234" s="45">
        <f t="shared" si="34"/>
        <v>7372.5</v>
      </c>
      <c r="N234" s="45">
        <f t="shared" si="34"/>
        <v>0</v>
      </c>
      <c r="O234" s="45">
        <f t="shared" si="34"/>
        <v>7372.5</v>
      </c>
    </row>
    <row r="235" spans="1:16" ht="31.5" x14ac:dyDescent="0.2">
      <c r="A235" s="40"/>
      <c r="B235" s="41" t="s">
        <v>311</v>
      </c>
      <c r="C235" s="42" t="s">
        <v>51</v>
      </c>
      <c r="D235" s="43" t="s">
        <v>306</v>
      </c>
      <c r="E235" s="43" t="s">
        <v>312</v>
      </c>
      <c r="F235" s="44" t="s">
        <v>11</v>
      </c>
      <c r="G235" s="45">
        <f>G236</f>
        <v>7372.5</v>
      </c>
      <c r="H235" s="45">
        <f>H236+H238</f>
        <v>0</v>
      </c>
      <c r="I235" s="45">
        <f>I236</f>
        <v>7372.5</v>
      </c>
      <c r="J235" s="46">
        <f t="shared" si="34"/>
        <v>0</v>
      </c>
      <c r="K235" s="45">
        <f>K236+K238</f>
        <v>0</v>
      </c>
      <c r="L235" s="46">
        <f t="shared" si="34"/>
        <v>0</v>
      </c>
      <c r="M235" s="45">
        <f t="shared" si="34"/>
        <v>7372.5</v>
      </c>
      <c r="N235" s="45">
        <f t="shared" si="34"/>
        <v>0</v>
      </c>
      <c r="O235" s="45">
        <f t="shared" si="34"/>
        <v>7372.5</v>
      </c>
    </row>
    <row r="236" spans="1:16" ht="31.5" x14ac:dyDescent="0.2">
      <c r="A236" s="40"/>
      <c r="B236" s="41" t="s">
        <v>313</v>
      </c>
      <c r="C236" s="42" t="s">
        <v>51</v>
      </c>
      <c r="D236" s="43" t="s">
        <v>306</v>
      </c>
      <c r="E236" s="43" t="s">
        <v>314</v>
      </c>
      <c r="F236" s="44" t="s">
        <v>11</v>
      </c>
      <c r="G236" s="45">
        <f>G237+G239</f>
        <v>7372.5</v>
      </c>
      <c r="H236" s="45">
        <f>H237+H239</f>
        <v>0</v>
      </c>
      <c r="I236" s="45">
        <f>I237+I239</f>
        <v>7372.5</v>
      </c>
      <c r="J236" s="46">
        <f>J237+J239</f>
        <v>0</v>
      </c>
      <c r="K236" s="45">
        <f>K237</f>
        <v>0</v>
      </c>
      <c r="L236" s="46">
        <f>L237+L239</f>
        <v>0</v>
      </c>
      <c r="M236" s="45">
        <f>M237+M239</f>
        <v>7372.5</v>
      </c>
      <c r="N236" s="45">
        <f>N237+N239</f>
        <v>0</v>
      </c>
      <c r="O236" s="45">
        <f>O237+O239</f>
        <v>7372.5</v>
      </c>
    </row>
    <row r="237" spans="1:16" ht="47.25" x14ac:dyDescent="0.2">
      <c r="A237" s="40"/>
      <c r="B237" s="41" t="s">
        <v>315</v>
      </c>
      <c r="C237" s="42" t="s">
        <v>51</v>
      </c>
      <c r="D237" s="43" t="s">
        <v>306</v>
      </c>
      <c r="E237" s="43" t="s">
        <v>316</v>
      </c>
      <c r="F237" s="44" t="s">
        <v>11</v>
      </c>
      <c r="G237" s="45">
        <f>G238</f>
        <v>2400</v>
      </c>
      <c r="H237" s="45"/>
      <c r="I237" s="45">
        <f>I238</f>
        <v>2400</v>
      </c>
      <c r="J237" s="46">
        <f>J238</f>
        <v>0</v>
      </c>
      <c r="K237" s="45"/>
      <c r="L237" s="46">
        <f>L238</f>
        <v>0</v>
      </c>
      <c r="M237" s="45">
        <f>M238</f>
        <v>2400</v>
      </c>
      <c r="N237" s="45">
        <f>N238</f>
        <v>0</v>
      </c>
      <c r="O237" s="45">
        <f>O238</f>
        <v>2400</v>
      </c>
    </row>
    <row r="238" spans="1:16" ht="31.5" x14ac:dyDescent="0.2">
      <c r="A238" s="40"/>
      <c r="B238" s="41" t="s">
        <v>40</v>
      </c>
      <c r="C238" s="42" t="s">
        <v>51</v>
      </c>
      <c r="D238" s="43" t="s">
        <v>306</v>
      </c>
      <c r="E238" s="43" t="s">
        <v>316</v>
      </c>
      <c r="F238" s="44" t="s">
        <v>41</v>
      </c>
      <c r="G238" s="45">
        <v>2400</v>
      </c>
      <c r="H238" s="45"/>
      <c r="I238" s="45">
        <v>2400</v>
      </c>
      <c r="J238" s="47"/>
      <c r="K238" s="45"/>
      <c r="L238" s="47"/>
      <c r="M238" s="45">
        <v>2400</v>
      </c>
      <c r="N238" s="45"/>
      <c r="O238" s="45">
        <v>2400</v>
      </c>
    </row>
    <row r="239" spans="1:16" ht="47.25" x14ac:dyDescent="0.2">
      <c r="A239" s="40"/>
      <c r="B239" s="41" t="s">
        <v>317</v>
      </c>
      <c r="C239" s="42" t="s">
        <v>51</v>
      </c>
      <c r="D239" s="43" t="s">
        <v>306</v>
      </c>
      <c r="E239" s="43" t="s">
        <v>318</v>
      </c>
      <c r="F239" s="44" t="s">
        <v>11</v>
      </c>
      <c r="G239" s="45">
        <f>G240</f>
        <v>4972.5</v>
      </c>
      <c r="H239" s="45">
        <f>H240</f>
        <v>0</v>
      </c>
      <c r="I239" s="45">
        <f>I240</f>
        <v>4972.5</v>
      </c>
      <c r="J239" s="46">
        <f>J240</f>
        <v>0</v>
      </c>
      <c r="K239" s="48"/>
      <c r="L239" s="46">
        <f>L240</f>
        <v>0</v>
      </c>
      <c r="M239" s="45">
        <f>M240</f>
        <v>4972.5</v>
      </c>
      <c r="N239" s="45">
        <f>N240</f>
        <v>0</v>
      </c>
      <c r="O239" s="45">
        <f>O240</f>
        <v>4972.5</v>
      </c>
    </row>
    <row r="240" spans="1:16" ht="31.5" x14ac:dyDescent="0.2">
      <c r="A240" s="40"/>
      <c r="B240" s="41" t="s">
        <v>40</v>
      </c>
      <c r="C240" s="42" t="s">
        <v>51</v>
      </c>
      <c r="D240" s="43" t="s">
        <v>306</v>
      </c>
      <c r="E240" s="43" t="s">
        <v>318</v>
      </c>
      <c r="F240" s="44" t="s">
        <v>41</v>
      </c>
      <c r="G240" s="48">
        <v>4972.5</v>
      </c>
      <c r="H240" s="66"/>
      <c r="I240" s="48">
        <f>SUM(G240)</f>
        <v>4972.5</v>
      </c>
      <c r="J240" s="47"/>
      <c r="K240" s="38"/>
      <c r="L240" s="47"/>
      <c r="M240" s="48">
        <f>SUM(G240)</f>
        <v>4972.5</v>
      </c>
      <c r="N240" s="48">
        <f>SUM(H240)</f>
        <v>0</v>
      </c>
      <c r="O240" s="48">
        <f>SUM(M240)</f>
        <v>4972.5</v>
      </c>
    </row>
    <row r="241" spans="1:16" ht="15.75" x14ac:dyDescent="0.2">
      <c r="A241" s="33" t="s">
        <v>319</v>
      </c>
      <c r="B241" s="34" t="s">
        <v>320</v>
      </c>
      <c r="C241" s="35" t="s">
        <v>51</v>
      </c>
      <c r="D241" s="36" t="s">
        <v>321</v>
      </c>
      <c r="E241" s="36" t="s">
        <v>11</v>
      </c>
      <c r="F241" s="37" t="s">
        <v>11</v>
      </c>
      <c r="G241" s="38">
        <f>G242+G257</f>
        <v>45950.5</v>
      </c>
      <c r="H241" s="45">
        <f>H242+H257</f>
        <v>16251.1</v>
      </c>
      <c r="I241" s="38">
        <f>I242+I257</f>
        <v>62201.600000000006</v>
      </c>
      <c r="J241" s="39">
        <f>J242+J257</f>
        <v>2373538.8000000003</v>
      </c>
      <c r="K241" s="45">
        <f>K242</f>
        <v>0</v>
      </c>
      <c r="L241" s="39">
        <f>L242+L257</f>
        <v>2420884.4000000004</v>
      </c>
      <c r="M241" s="38">
        <f>M242+M257</f>
        <v>2419489.3000000003</v>
      </c>
      <c r="N241" s="45">
        <f>N242+N257</f>
        <v>63596.7</v>
      </c>
      <c r="O241" s="38">
        <f>O242+O257</f>
        <v>2483086</v>
      </c>
      <c r="P241" s="15"/>
    </row>
    <row r="242" spans="1:16" ht="31.5" x14ac:dyDescent="0.2">
      <c r="A242" s="40"/>
      <c r="B242" s="41" t="s">
        <v>245</v>
      </c>
      <c r="C242" s="42" t="s">
        <v>51</v>
      </c>
      <c r="D242" s="43" t="s">
        <v>321</v>
      </c>
      <c r="E242" s="43" t="s">
        <v>246</v>
      </c>
      <c r="F242" s="44" t="s">
        <v>11</v>
      </c>
      <c r="G242" s="45">
        <f>G243+G254</f>
        <v>16299.8</v>
      </c>
      <c r="H242" s="45">
        <f>H243+H254</f>
        <v>10000</v>
      </c>
      <c r="I242" s="45">
        <f>I243+I254</f>
        <v>26299.8</v>
      </c>
      <c r="J242" s="46">
        <f>J243</f>
        <v>2301493.8000000003</v>
      </c>
      <c r="K242" s="45">
        <f>K243</f>
        <v>0</v>
      </c>
      <c r="L242" s="46">
        <f>L243</f>
        <v>2301493.8000000003</v>
      </c>
      <c r="M242" s="45">
        <f>M243+M254</f>
        <v>2317793.6</v>
      </c>
      <c r="N242" s="45">
        <f>SUM(N254)+N243</f>
        <v>10000</v>
      </c>
      <c r="O242" s="45">
        <f>O243+O254</f>
        <v>2327793.6</v>
      </c>
      <c r="P242" s="16"/>
    </row>
    <row r="243" spans="1:16" ht="31.5" x14ac:dyDescent="0.2">
      <c r="A243" s="40"/>
      <c r="B243" s="41" t="s">
        <v>322</v>
      </c>
      <c r="C243" s="42" t="s">
        <v>51</v>
      </c>
      <c r="D243" s="43" t="s">
        <v>321</v>
      </c>
      <c r="E243" s="43" t="s">
        <v>323</v>
      </c>
      <c r="F243" s="44" t="s">
        <v>11</v>
      </c>
      <c r="G243" s="45">
        <f>G244</f>
        <v>14792.9</v>
      </c>
      <c r="H243" s="45">
        <f>SUM(H244)</f>
        <v>0</v>
      </c>
      <c r="I243" s="45">
        <f>I244</f>
        <v>14792.9</v>
      </c>
      <c r="J243" s="46">
        <f>J244</f>
        <v>2301493.8000000003</v>
      </c>
      <c r="K243" s="45">
        <f>SUM(K244)</f>
        <v>0</v>
      </c>
      <c r="L243" s="46">
        <f>L244</f>
        <v>2301493.8000000003</v>
      </c>
      <c r="M243" s="45">
        <f>M244</f>
        <v>2316286.7000000002</v>
      </c>
      <c r="N243" s="45">
        <f>N244</f>
        <v>0</v>
      </c>
      <c r="O243" s="45">
        <f>O244</f>
        <v>2316286.7000000002</v>
      </c>
      <c r="P243" s="16"/>
    </row>
    <row r="244" spans="1:16" ht="47.25" x14ac:dyDescent="0.2">
      <c r="A244" s="40"/>
      <c r="B244" s="41" t="s">
        <v>324</v>
      </c>
      <c r="C244" s="42" t="s">
        <v>51</v>
      </c>
      <c r="D244" s="43" t="s">
        <v>321</v>
      </c>
      <c r="E244" s="43" t="s">
        <v>325</v>
      </c>
      <c r="F244" s="44" t="s">
        <v>11</v>
      </c>
      <c r="G244" s="45">
        <f>G245+G248+G250+G252</f>
        <v>14792.9</v>
      </c>
      <c r="H244" s="45">
        <f>H245+H250</f>
        <v>0</v>
      </c>
      <c r="I244" s="45">
        <f>I245+I248+I250+I252</f>
        <v>14792.9</v>
      </c>
      <c r="J244" s="46">
        <f>J245+J248+J250+J252</f>
        <v>2301493.8000000003</v>
      </c>
      <c r="K244" s="45">
        <f>K245</f>
        <v>0</v>
      </c>
      <c r="L244" s="46">
        <f>L245+L248+L250+L252</f>
        <v>2301493.8000000003</v>
      </c>
      <c r="M244" s="45">
        <f>M245+M248+M250+M252</f>
        <v>2316286.7000000002</v>
      </c>
      <c r="N244" s="45">
        <f>N245+N248+N250+N252</f>
        <v>0</v>
      </c>
      <c r="O244" s="45">
        <f>O245+O248+O250+O252</f>
        <v>2316286.7000000002</v>
      </c>
      <c r="P244" s="16"/>
    </row>
    <row r="245" spans="1:16" ht="15.75" x14ac:dyDescent="0.2">
      <c r="A245" s="40"/>
      <c r="B245" s="41" t="s">
        <v>326</v>
      </c>
      <c r="C245" s="42" t="s">
        <v>51</v>
      </c>
      <c r="D245" s="43" t="s">
        <v>321</v>
      </c>
      <c r="E245" s="43" t="s">
        <v>327</v>
      </c>
      <c r="F245" s="44" t="s">
        <v>11</v>
      </c>
      <c r="G245" s="45">
        <f>G246+G247</f>
        <v>1750.4</v>
      </c>
      <c r="H245" s="45">
        <f>SUM(H246)+H247</f>
        <v>0</v>
      </c>
      <c r="I245" s="45">
        <f>I246+I247</f>
        <v>1750.4</v>
      </c>
      <c r="J245" s="46">
        <f>J246</f>
        <v>1529.5</v>
      </c>
      <c r="K245" s="45">
        <f>SUM(K246)</f>
        <v>0</v>
      </c>
      <c r="L245" s="46">
        <f>L246</f>
        <v>1529.5</v>
      </c>
      <c r="M245" s="45">
        <f>M246+M247</f>
        <v>3279.9</v>
      </c>
      <c r="N245" s="45">
        <f>N246+N247</f>
        <v>0</v>
      </c>
      <c r="O245" s="45">
        <f>O246+O247</f>
        <v>3279.9</v>
      </c>
    </row>
    <row r="246" spans="1:16" ht="31.5" x14ac:dyDescent="0.2">
      <c r="A246" s="40"/>
      <c r="B246" s="41" t="s">
        <v>40</v>
      </c>
      <c r="C246" s="42" t="s">
        <v>51</v>
      </c>
      <c r="D246" s="43" t="s">
        <v>321</v>
      </c>
      <c r="E246" s="43" t="s">
        <v>327</v>
      </c>
      <c r="F246" s="44" t="s">
        <v>41</v>
      </c>
      <c r="G246" s="45">
        <v>0</v>
      </c>
      <c r="H246" s="45"/>
      <c r="I246" s="45"/>
      <c r="J246" s="47">
        <v>1529.5</v>
      </c>
      <c r="K246" s="45"/>
      <c r="L246" s="45">
        <f>SUM(J246)</f>
        <v>1529.5</v>
      </c>
      <c r="M246" s="45">
        <f>SUM(J246)</f>
        <v>1529.5</v>
      </c>
      <c r="N246" s="45">
        <f>SUM(H246+K246)</f>
        <v>0</v>
      </c>
      <c r="O246" s="45">
        <f>SUM(L246)</f>
        <v>1529.5</v>
      </c>
    </row>
    <row r="247" spans="1:16" ht="31.5" x14ac:dyDescent="0.2">
      <c r="A247" s="40"/>
      <c r="B247" s="41" t="s">
        <v>225</v>
      </c>
      <c r="C247" s="42">
        <v>992</v>
      </c>
      <c r="D247" s="43" t="s">
        <v>321</v>
      </c>
      <c r="E247" s="43" t="s">
        <v>327</v>
      </c>
      <c r="F247" s="44">
        <v>400</v>
      </c>
      <c r="G247" s="45">
        <v>1750.4</v>
      </c>
      <c r="H247" s="45"/>
      <c r="I247" s="45">
        <f>SUM(G247)</f>
        <v>1750.4</v>
      </c>
      <c r="J247" s="47"/>
      <c r="K247" s="45"/>
      <c r="L247" s="70"/>
      <c r="M247" s="45">
        <f>SUM(G247)</f>
        <v>1750.4</v>
      </c>
      <c r="N247" s="45">
        <f>SUM(H247)</f>
        <v>0</v>
      </c>
      <c r="O247" s="45">
        <f>SUM(M247)</f>
        <v>1750.4</v>
      </c>
    </row>
    <row r="248" spans="1:16" ht="31.5" x14ac:dyDescent="0.2">
      <c r="A248" s="40"/>
      <c r="B248" s="41" t="s">
        <v>328</v>
      </c>
      <c r="C248" s="42" t="s">
        <v>51</v>
      </c>
      <c r="D248" s="43" t="s">
        <v>321</v>
      </c>
      <c r="E248" s="43" t="s">
        <v>329</v>
      </c>
      <c r="F248" s="44" t="s">
        <v>11</v>
      </c>
      <c r="G248" s="45">
        <f>G249</f>
        <v>11457.5</v>
      </c>
      <c r="H248" s="45"/>
      <c r="I248" s="45">
        <f>I249</f>
        <v>11457.5</v>
      </c>
      <c r="J248" s="46">
        <f>J249</f>
        <v>2280029.1</v>
      </c>
      <c r="K248" s="45"/>
      <c r="L248" s="46">
        <f>L249</f>
        <v>2280029.1</v>
      </c>
      <c r="M248" s="45">
        <f>M249</f>
        <v>2291486.6</v>
      </c>
      <c r="N248" s="45">
        <f>N249</f>
        <v>0</v>
      </c>
      <c r="O248" s="45">
        <f>O249</f>
        <v>2291486.6</v>
      </c>
    </row>
    <row r="249" spans="1:16" ht="31.5" x14ac:dyDescent="0.2">
      <c r="A249" s="40"/>
      <c r="B249" s="41" t="s">
        <v>225</v>
      </c>
      <c r="C249" s="42" t="s">
        <v>51</v>
      </c>
      <c r="D249" s="43" t="s">
        <v>321</v>
      </c>
      <c r="E249" s="43" t="s">
        <v>329</v>
      </c>
      <c r="F249" s="44" t="s">
        <v>226</v>
      </c>
      <c r="G249" s="45">
        <v>11457.5</v>
      </c>
      <c r="H249" s="45"/>
      <c r="I249" s="45">
        <v>11457.5</v>
      </c>
      <c r="J249" s="47">
        <v>2280029.1</v>
      </c>
      <c r="K249" s="45"/>
      <c r="L249" s="47">
        <v>2280029.1</v>
      </c>
      <c r="M249" s="45">
        <f>11457.5+J249</f>
        <v>2291486.6</v>
      </c>
      <c r="N249" s="45"/>
      <c r="O249" s="45">
        <f>11457.5+L249</f>
        <v>2291486.6</v>
      </c>
    </row>
    <row r="250" spans="1:16" ht="15.75" x14ac:dyDescent="0.2">
      <c r="A250" s="40"/>
      <c r="B250" s="41" t="s">
        <v>330</v>
      </c>
      <c r="C250" s="42" t="s">
        <v>51</v>
      </c>
      <c r="D250" s="43" t="s">
        <v>321</v>
      </c>
      <c r="E250" s="43" t="s">
        <v>331</v>
      </c>
      <c r="F250" s="44" t="s">
        <v>11</v>
      </c>
      <c r="G250" s="45">
        <f>G251</f>
        <v>386.1</v>
      </c>
      <c r="H250" s="45">
        <f>SUM(H251)</f>
        <v>0</v>
      </c>
      <c r="I250" s="45">
        <f>I251</f>
        <v>386.1</v>
      </c>
      <c r="J250" s="46">
        <f>J251</f>
        <v>7335.5</v>
      </c>
      <c r="K250" s="45">
        <v>0</v>
      </c>
      <c r="L250" s="46">
        <f>L251</f>
        <v>7335.5</v>
      </c>
      <c r="M250" s="45">
        <f>M251</f>
        <v>7721.6</v>
      </c>
      <c r="N250" s="45">
        <f>N251</f>
        <v>0</v>
      </c>
      <c r="O250" s="45">
        <f>O251</f>
        <v>7721.6</v>
      </c>
    </row>
    <row r="251" spans="1:16" ht="31.5" x14ac:dyDescent="0.2">
      <c r="A251" s="40"/>
      <c r="B251" s="41" t="s">
        <v>225</v>
      </c>
      <c r="C251" s="42" t="s">
        <v>51</v>
      </c>
      <c r="D251" s="43" t="s">
        <v>321</v>
      </c>
      <c r="E251" s="43" t="s">
        <v>331</v>
      </c>
      <c r="F251" s="44" t="s">
        <v>226</v>
      </c>
      <c r="G251" s="45">
        <v>386.1</v>
      </c>
      <c r="H251" s="45"/>
      <c r="I251" s="45">
        <f>SUM(G251)</f>
        <v>386.1</v>
      </c>
      <c r="J251" s="47">
        <f>14200-6864.5</f>
        <v>7335.5</v>
      </c>
      <c r="K251" s="45"/>
      <c r="L251" s="47">
        <f>14200-6864.5</f>
        <v>7335.5</v>
      </c>
      <c r="M251" s="45">
        <f>SUM(J251)+G251</f>
        <v>7721.6</v>
      </c>
      <c r="N251" s="45">
        <f>SUM(H251)</f>
        <v>0</v>
      </c>
      <c r="O251" s="45">
        <f>SUM(L251)+N251+I251</f>
        <v>7721.6</v>
      </c>
    </row>
    <row r="252" spans="1:16" ht="15.75" x14ac:dyDescent="0.2">
      <c r="A252" s="40"/>
      <c r="B252" s="41" t="s">
        <v>332</v>
      </c>
      <c r="C252" s="42" t="s">
        <v>51</v>
      </c>
      <c r="D252" s="43" t="s">
        <v>321</v>
      </c>
      <c r="E252" s="43" t="s">
        <v>333</v>
      </c>
      <c r="F252" s="44" t="s">
        <v>11</v>
      </c>
      <c r="G252" s="45">
        <f>G253</f>
        <v>1198.9000000000001</v>
      </c>
      <c r="H252" s="45"/>
      <c r="I252" s="45">
        <f>I253</f>
        <v>1198.9000000000001</v>
      </c>
      <c r="J252" s="46">
        <f>J253</f>
        <v>12599.699999999999</v>
      </c>
      <c r="K252" s="45"/>
      <c r="L252" s="46">
        <f>L253</f>
        <v>12599.699999999999</v>
      </c>
      <c r="M252" s="45">
        <f>M253</f>
        <v>13798.599999999999</v>
      </c>
      <c r="N252" s="45">
        <f>N253</f>
        <v>0</v>
      </c>
      <c r="O252" s="45">
        <f>O253</f>
        <v>13798.599999999999</v>
      </c>
    </row>
    <row r="253" spans="1:16" ht="31.5" x14ac:dyDescent="0.2">
      <c r="A253" s="40"/>
      <c r="B253" s="41" t="s">
        <v>225</v>
      </c>
      <c r="C253" s="42" t="s">
        <v>51</v>
      </c>
      <c r="D253" s="43" t="s">
        <v>321</v>
      </c>
      <c r="E253" s="43" t="s">
        <v>333</v>
      </c>
      <c r="F253" s="44" t="s">
        <v>226</v>
      </c>
      <c r="G253" s="45">
        <v>1198.9000000000001</v>
      </c>
      <c r="H253" s="45"/>
      <c r="I253" s="45">
        <v>1198.9000000000001</v>
      </c>
      <c r="J253" s="47">
        <f>11689.4+910.3</f>
        <v>12599.699999999999</v>
      </c>
      <c r="K253" s="45"/>
      <c r="L253" s="47">
        <f>11689.4+910.3</f>
        <v>12599.699999999999</v>
      </c>
      <c r="M253" s="45">
        <f>1198.9+J253</f>
        <v>13798.599999999999</v>
      </c>
      <c r="N253" s="45"/>
      <c r="O253" s="45">
        <f>1198.9+L253</f>
        <v>13798.599999999999</v>
      </c>
    </row>
    <row r="254" spans="1:16" ht="47.25" x14ac:dyDescent="0.2">
      <c r="A254" s="40"/>
      <c r="B254" s="65" t="s">
        <v>334</v>
      </c>
      <c r="C254" s="42">
        <v>992</v>
      </c>
      <c r="D254" s="43" t="s">
        <v>321</v>
      </c>
      <c r="E254" s="57" t="s">
        <v>335</v>
      </c>
      <c r="F254" s="44"/>
      <c r="G254" s="45">
        <f t="shared" ref="G254:I255" si="35">SUM(G255)</f>
        <v>1506.9</v>
      </c>
      <c r="H254" s="45">
        <f t="shared" si="35"/>
        <v>10000</v>
      </c>
      <c r="I254" s="45">
        <f t="shared" si="35"/>
        <v>11506.9</v>
      </c>
      <c r="J254" s="47"/>
      <c r="K254" s="45"/>
      <c r="L254" s="47"/>
      <c r="M254" s="45">
        <f>SUM(G254)</f>
        <v>1506.9</v>
      </c>
      <c r="N254" s="45">
        <f t="shared" ref="N254:O256" si="36">SUM(H254)</f>
        <v>10000</v>
      </c>
      <c r="O254" s="45">
        <f t="shared" si="36"/>
        <v>11506.9</v>
      </c>
    </row>
    <row r="255" spans="1:16" ht="78.75" x14ac:dyDescent="0.2">
      <c r="A255" s="40"/>
      <c r="B255" s="72" t="s">
        <v>336</v>
      </c>
      <c r="C255" s="42">
        <v>992</v>
      </c>
      <c r="D255" s="43" t="s">
        <v>321</v>
      </c>
      <c r="E255" s="57" t="s">
        <v>337</v>
      </c>
      <c r="F255" s="44"/>
      <c r="G255" s="45">
        <f t="shared" si="35"/>
        <v>1506.9</v>
      </c>
      <c r="H255" s="45">
        <f t="shared" si="35"/>
        <v>10000</v>
      </c>
      <c r="I255" s="45">
        <f t="shared" si="35"/>
        <v>11506.9</v>
      </c>
      <c r="J255" s="47"/>
      <c r="K255" s="45"/>
      <c r="L255" s="47"/>
      <c r="M255" s="45">
        <f>SUM(G255)</f>
        <v>1506.9</v>
      </c>
      <c r="N255" s="45">
        <f t="shared" si="36"/>
        <v>10000</v>
      </c>
      <c r="O255" s="45">
        <f t="shared" si="36"/>
        <v>11506.9</v>
      </c>
    </row>
    <row r="256" spans="1:16" ht="15.75" x14ac:dyDescent="0.2">
      <c r="A256" s="40"/>
      <c r="B256" s="41" t="s">
        <v>338</v>
      </c>
      <c r="C256" s="42">
        <v>992</v>
      </c>
      <c r="D256" s="43" t="s">
        <v>321</v>
      </c>
      <c r="E256" s="57" t="s">
        <v>337</v>
      </c>
      <c r="F256" s="44">
        <v>800</v>
      </c>
      <c r="G256" s="45">
        <v>1506.9</v>
      </c>
      <c r="H256" s="45">
        <v>10000</v>
      </c>
      <c r="I256" s="45">
        <f>SUM(G256)+H256</f>
        <v>11506.9</v>
      </c>
      <c r="J256" s="47"/>
      <c r="K256" s="45"/>
      <c r="L256" s="47"/>
      <c r="M256" s="45">
        <f>SUM(G256)</f>
        <v>1506.9</v>
      </c>
      <c r="N256" s="45">
        <f t="shared" si="36"/>
        <v>10000</v>
      </c>
      <c r="O256" s="45">
        <f t="shared" si="36"/>
        <v>11506.9</v>
      </c>
    </row>
    <row r="257" spans="1:16" ht="31.5" x14ac:dyDescent="0.2">
      <c r="A257" s="40"/>
      <c r="B257" s="41" t="s">
        <v>339</v>
      </c>
      <c r="C257" s="42" t="s">
        <v>51</v>
      </c>
      <c r="D257" s="43" t="s">
        <v>321</v>
      </c>
      <c r="E257" s="43" t="s">
        <v>340</v>
      </c>
      <c r="F257" s="44" t="s">
        <v>11</v>
      </c>
      <c r="G257" s="45">
        <f>G258+G268+G265</f>
        <v>29650.7</v>
      </c>
      <c r="H257" s="45">
        <f>H258+H265</f>
        <v>6251.1</v>
      </c>
      <c r="I257" s="45">
        <f>I258+I268+I265</f>
        <v>35901.800000000003</v>
      </c>
      <c r="J257" s="46">
        <f t="shared" ref="G257:O258" si="37">J258</f>
        <v>72045</v>
      </c>
      <c r="K257" s="45">
        <f t="shared" si="37"/>
        <v>0</v>
      </c>
      <c r="L257" s="46">
        <f t="shared" si="37"/>
        <v>119390.6</v>
      </c>
      <c r="M257" s="45">
        <f>M258+M268+M265</f>
        <v>101695.70000000001</v>
      </c>
      <c r="N257" s="45">
        <f>N258+N265</f>
        <v>53596.7</v>
      </c>
      <c r="O257" s="45">
        <f>O258+O268+O265</f>
        <v>155292.40000000002</v>
      </c>
      <c r="P257" s="16"/>
    </row>
    <row r="258" spans="1:16" ht="15.75" x14ac:dyDescent="0.2">
      <c r="A258" s="40"/>
      <c r="B258" s="41" t="s">
        <v>341</v>
      </c>
      <c r="C258" s="42" t="s">
        <v>51</v>
      </c>
      <c r="D258" s="43" t="s">
        <v>321</v>
      </c>
      <c r="E258" s="43" t="s">
        <v>342</v>
      </c>
      <c r="F258" s="44" t="s">
        <v>11</v>
      </c>
      <c r="G258" s="45">
        <f t="shared" si="37"/>
        <v>19584.7</v>
      </c>
      <c r="H258" s="45">
        <f>H259</f>
        <v>6251.1</v>
      </c>
      <c r="I258" s="45">
        <f t="shared" si="37"/>
        <v>25835.800000000003</v>
      </c>
      <c r="J258" s="46">
        <f t="shared" si="37"/>
        <v>72045</v>
      </c>
      <c r="K258" s="45">
        <f>K259+K262</f>
        <v>0</v>
      </c>
      <c r="L258" s="46">
        <f t="shared" si="37"/>
        <v>119390.6</v>
      </c>
      <c r="M258" s="45">
        <f t="shared" si="37"/>
        <v>91629.700000000012</v>
      </c>
      <c r="N258" s="45">
        <f t="shared" si="37"/>
        <v>53596.7</v>
      </c>
      <c r="O258" s="45">
        <f t="shared" si="37"/>
        <v>145226.40000000002</v>
      </c>
      <c r="P258" s="16"/>
    </row>
    <row r="259" spans="1:16" ht="47.25" x14ac:dyDescent="0.2">
      <c r="A259" s="40"/>
      <c r="B259" s="41" t="s">
        <v>343</v>
      </c>
      <c r="C259" s="42" t="s">
        <v>51</v>
      </c>
      <c r="D259" s="43" t="s">
        <v>321</v>
      </c>
      <c r="E259" s="43" t="s">
        <v>344</v>
      </c>
      <c r="F259" s="44" t="s">
        <v>11</v>
      </c>
      <c r="G259" s="45">
        <f>G260+G263</f>
        <v>19584.7</v>
      </c>
      <c r="H259" s="45">
        <f>H260+H263</f>
        <v>6251.1</v>
      </c>
      <c r="I259" s="45">
        <f>I260+I263</f>
        <v>25835.800000000003</v>
      </c>
      <c r="J259" s="46">
        <f>J260+J263</f>
        <v>72045</v>
      </c>
      <c r="K259" s="45">
        <f>K260+K261</f>
        <v>0</v>
      </c>
      <c r="L259" s="46">
        <f>L260+L263</f>
        <v>119390.6</v>
      </c>
      <c r="M259" s="45">
        <f>M260+M263</f>
        <v>91629.700000000012</v>
      </c>
      <c r="N259" s="45">
        <f>N260+N263</f>
        <v>53596.7</v>
      </c>
      <c r="O259" s="45">
        <f>O260+O263</f>
        <v>145226.40000000002</v>
      </c>
      <c r="P259" s="16"/>
    </row>
    <row r="260" spans="1:16" ht="47.25" x14ac:dyDescent="0.2">
      <c r="A260" s="40"/>
      <c r="B260" s="41" t="s">
        <v>345</v>
      </c>
      <c r="C260" s="42" t="s">
        <v>51</v>
      </c>
      <c r="D260" s="43" t="s">
        <v>321</v>
      </c>
      <c r="E260" s="43" t="s">
        <v>346</v>
      </c>
      <c r="F260" s="44" t="s">
        <v>11</v>
      </c>
      <c r="G260" s="45">
        <f>G261+G262</f>
        <v>6983.6</v>
      </c>
      <c r="H260" s="45">
        <f>SUM(H261+H262)</f>
        <v>0</v>
      </c>
      <c r="I260" s="45">
        <f>I261+I262</f>
        <v>6983.6</v>
      </c>
      <c r="J260" s="46">
        <f>J261+J262</f>
        <v>0</v>
      </c>
      <c r="K260" s="45"/>
      <c r="L260" s="46">
        <f>L261+L262</f>
        <v>0</v>
      </c>
      <c r="M260" s="45">
        <f>M261+M262</f>
        <v>6983.6</v>
      </c>
      <c r="N260" s="45">
        <f>N261+N262</f>
        <v>0</v>
      </c>
      <c r="O260" s="45">
        <f>O261+O262</f>
        <v>6983.6</v>
      </c>
    </row>
    <row r="261" spans="1:16" ht="31.5" x14ac:dyDescent="0.2">
      <c r="A261" s="40"/>
      <c r="B261" s="41" t="s">
        <v>40</v>
      </c>
      <c r="C261" s="42" t="s">
        <v>51</v>
      </c>
      <c r="D261" s="43" t="s">
        <v>321</v>
      </c>
      <c r="E261" s="43" t="s">
        <v>346</v>
      </c>
      <c r="F261" s="44" t="s">
        <v>41</v>
      </c>
      <c r="G261" s="45">
        <v>1198</v>
      </c>
      <c r="H261" s="60">
        <v>540</v>
      </c>
      <c r="I261" s="45">
        <f>SUM(G261)+H261</f>
        <v>1738</v>
      </c>
      <c r="J261" s="47">
        <v>0</v>
      </c>
      <c r="K261" s="60">
        <f>2803.6+840-1820-983.6-840</f>
        <v>0</v>
      </c>
      <c r="L261" s="47">
        <v>0</v>
      </c>
      <c r="M261" s="45">
        <f>SUM(G261)</f>
        <v>1198</v>
      </c>
      <c r="N261" s="45">
        <f>SUM(H261)</f>
        <v>540</v>
      </c>
      <c r="O261" s="45">
        <f>SUM(I261)</f>
        <v>1738</v>
      </c>
    </row>
    <row r="262" spans="1:16" ht="31.5" x14ac:dyDescent="0.2">
      <c r="A262" s="40"/>
      <c r="B262" s="41" t="s">
        <v>225</v>
      </c>
      <c r="C262" s="42" t="s">
        <v>51</v>
      </c>
      <c r="D262" s="43" t="s">
        <v>321</v>
      </c>
      <c r="E262" s="43" t="s">
        <v>346</v>
      </c>
      <c r="F262" s="44" t="s">
        <v>226</v>
      </c>
      <c r="G262" s="60">
        <v>5785.6</v>
      </c>
      <c r="H262" s="45">
        <v>-540</v>
      </c>
      <c r="I262" s="60">
        <f>SUM(G262)+H262</f>
        <v>5245.6</v>
      </c>
      <c r="J262" s="47">
        <v>0</v>
      </c>
      <c r="K262" s="45"/>
      <c r="L262" s="47">
        <v>0</v>
      </c>
      <c r="M262" s="60">
        <f>SUM(G262)</f>
        <v>5785.6</v>
      </c>
      <c r="N262" s="60">
        <f>SUM(H262)</f>
        <v>-540</v>
      </c>
      <c r="O262" s="60">
        <f>SUM(M262)+N262</f>
        <v>5245.6</v>
      </c>
    </row>
    <row r="263" spans="1:16" ht="15.75" x14ac:dyDescent="0.2">
      <c r="A263" s="40"/>
      <c r="B263" s="41" t="s">
        <v>347</v>
      </c>
      <c r="C263" s="42" t="s">
        <v>51</v>
      </c>
      <c r="D263" s="43" t="s">
        <v>321</v>
      </c>
      <c r="E263" s="43" t="s">
        <v>348</v>
      </c>
      <c r="F263" s="44" t="s">
        <v>11</v>
      </c>
      <c r="G263" s="45">
        <f>G264</f>
        <v>12601.1</v>
      </c>
      <c r="H263" s="45">
        <f>SUM(H264)</f>
        <v>6251.1</v>
      </c>
      <c r="I263" s="45">
        <f>I264</f>
        <v>18852.2</v>
      </c>
      <c r="J263" s="46">
        <f>J264</f>
        <v>72045</v>
      </c>
      <c r="K263" s="70">
        <v>47345.599999999999</v>
      </c>
      <c r="L263" s="46">
        <f>L264</f>
        <v>119390.6</v>
      </c>
      <c r="M263" s="45">
        <f>M264</f>
        <v>84646.1</v>
      </c>
      <c r="N263" s="45">
        <f>N264</f>
        <v>53596.7</v>
      </c>
      <c r="O263" s="45">
        <f>O264</f>
        <v>138242.80000000002</v>
      </c>
    </row>
    <row r="264" spans="1:16" ht="31.5" x14ac:dyDescent="0.2">
      <c r="A264" s="40"/>
      <c r="B264" s="41" t="s">
        <v>225</v>
      </c>
      <c r="C264" s="42" t="s">
        <v>51</v>
      </c>
      <c r="D264" s="43" t="s">
        <v>321</v>
      </c>
      <c r="E264" s="43" t="s">
        <v>348</v>
      </c>
      <c r="F264" s="44" t="s">
        <v>226</v>
      </c>
      <c r="G264" s="45">
        <f>10781.1-840+1820+840</f>
        <v>12601.1</v>
      </c>
      <c r="H264" s="45">
        <f>1440.1+4811</f>
        <v>6251.1</v>
      </c>
      <c r="I264" s="45">
        <f>10781.1-840+1820+840+H264</f>
        <v>18852.2</v>
      </c>
      <c r="J264" s="47">
        <f>60865+11180</f>
        <v>72045</v>
      </c>
      <c r="K264" s="70">
        <v>47345.599999999999</v>
      </c>
      <c r="L264" s="47">
        <f>60865+11180+K264</f>
        <v>119390.6</v>
      </c>
      <c r="M264" s="45">
        <f>10781.1-840+1820+840+J264</f>
        <v>84646.1</v>
      </c>
      <c r="N264" s="45">
        <f>SUM(H264+K264)</f>
        <v>53596.7</v>
      </c>
      <c r="O264" s="45">
        <f>SUM(I264+L264)</f>
        <v>138242.80000000002</v>
      </c>
    </row>
    <row r="265" spans="1:16" ht="15.75" x14ac:dyDescent="0.2">
      <c r="A265" s="40"/>
      <c r="B265" s="41" t="s">
        <v>349</v>
      </c>
      <c r="C265" s="42">
        <v>992</v>
      </c>
      <c r="D265" s="43" t="s">
        <v>321</v>
      </c>
      <c r="E265" s="43">
        <v>1120121140</v>
      </c>
      <c r="F265" s="44"/>
      <c r="G265" s="45">
        <f>SUM(G267)</f>
        <v>8102</v>
      </c>
      <c r="H265" s="45">
        <f>SUM(H267)</f>
        <v>0</v>
      </c>
      <c r="I265" s="45">
        <f>SUM(G265)</f>
        <v>8102</v>
      </c>
      <c r="J265" s="47"/>
      <c r="K265" s="45"/>
      <c r="L265" s="47"/>
      <c r="M265" s="45">
        <f>SUM(G265)</f>
        <v>8102</v>
      </c>
      <c r="N265" s="45">
        <f t="shared" ref="N265:O267" si="38">SUM(H265)</f>
        <v>0</v>
      </c>
      <c r="O265" s="45">
        <f t="shared" si="38"/>
        <v>8102</v>
      </c>
    </row>
    <row r="266" spans="1:16" ht="2.25" customHeight="1" x14ac:dyDescent="0.2">
      <c r="A266" s="40"/>
      <c r="B266" s="41"/>
      <c r="C266" s="42">
        <v>992</v>
      </c>
      <c r="D266" s="43" t="s">
        <v>321</v>
      </c>
      <c r="E266" s="43">
        <v>1120121140</v>
      </c>
      <c r="F266" s="44">
        <v>400</v>
      </c>
      <c r="G266" s="45"/>
      <c r="H266" s="45">
        <f>SUM(H267)</f>
        <v>0</v>
      </c>
      <c r="I266" s="45">
        <f>SUM(H266)</f>
        <v>0</v>
      </c>
      <c r="J266" s="47"/>
      <c r="K266" s="45"/>
      <c r="L266" s="47"/>
      <c r="M266" s="45"/>
      <c r="N266" s="45">
        <f t="shared" si="38"/>
        <v>0</v>
      </c>
      <c r="O266" s="45">
        <f t="shared" si="38"/>
        <v>0</v>
      </c>
    </row>
    <row r="267" spans="1:16" ht="31.5" x14ac:dyDescent="0.2">
      <c r="A267" s="40"/>
      <c r="B267" s="41" t="s">
        <v>225</v>
      </c>
      <c r="C267" s="42">
        <v>992</v>
      </c>
      <c r="D267" s="43" t="s">
        <v>321</v>
      </c>
      <c r="E267" s="43">
        <v>1120121140</v>
      </c>
      <c r="F267" s="44">
        <v>400</v>
      </c>
      <c r="G267" s="45">
        <v>8102</v>
      </c>
      <c r="H267" s="45"/>
      <c r="I267" s="45">
        <f>SUM(G267)</f>
        <v>8102</v>
      </c>
      <c r="J267" s="47"/>
      <c r="K267" s="45"/>
      <c r="L267" s="47"/>
      <c r="M267" s="45">
        <f>SUM(G267)</f>
        <v>8102</v>
      </c>
      <c r="N267" s="45">
        <f t="shared" si="38"/>
        <v>0</v>
      </c>
      <c r="O267" s="45">
        <f t="shared" si="38"/>
        <v>8102</v>
      </c>
    </row>
    <row r="268" spans="1:16" ht="15.75" x14ac:dyDescent="0.2">
      <c r="A268" s="40"/>
      <c r="B268" s="56" t="s">
        <v>350</v>
      </c>
      <c r="C268" s="42">
        <v>992</v>
      </c>
      <c r="D268" s="43" t="s">
        <v>321</v>
      </c>
      <c r="E268" s="43">
        <v>113000000</v>
      </c>
      <c r="F268" s="44"/>
      <c r="G268" s="45">
        <v>1964</v>
      </c>
      <c r="H268" s="45"/>
      <c r="I268" s="45">
        <v>1964</v>
      </c>
      <c r="J268" s="47"/>
      <c r="K268" s="45"/>
      <c r="L268" s="47"/>
      <c r="M268" s="45">
        <v>1964</v>
      </c>
      <c r="N268" s="45"/>
      <c r="O268" s="45">
        <v>1964</v>
      </c>
    </row>
    <row r="269" spans="1:16" ht="47.25" x14ac:dyDescent="0.2">
      <c r="A269" s="40"/>
      <c r="B269" s="56" t="s">
        <v>351</v>
      </c>
      <c r="C269" s="42">
        <v>992</v>
      </c>
      <c r="D269" s="43" t="s">
        <v>321</v>
      </c>
      <c r="E269" s="43">
        <v>113010000</v>
      </c>
      <c r="F269" s="44"/>
      <c r="G269" s="45">
        <v>1964</v>
      </c>
      <c r="H269" s="45"/>
      <c r="I269" s="45">
        <v>1964</v>
      </c>
      <c r="J269" s="47"/>
      <c r="K269" s="45"/>
      <c r="L269" s="47"/>
      <c r="M269" s="45">
        <v>1964</v>
      </c>
      <c r="N269" s="45"/>
      <c r="O269" s="45">
        <v>1964</v>
      </c>
    </row>
    <row r="270" spans="1:16" ht="15.75" x14ac:dyDescent="0.2">
      <c r="A270" s="40"/>
      <c r="B270" s="56" t="s">
        <v>350</v>
      </c>
      <c r="C270" s="42">
        <v>992</v>
      </c>
      <c r="D270" s="43" t="s">
        <v>321</v>
      </c>
      <c r="E270" s="43">
        <v>1130121070</v>
      </c>
      <c r="F270" s="44"/>
      <c r="G270" s="45">
        <v>1964</v>
      </c>
      <c r="H270" s="45"/>
      <c r="I270" s="45">
        <v>1964</v>
      </c>
      <c r="J270" s="47"/>
      <c r="K270" s="45"/>
      <c r="L270" s="47"/>
      <c r="M270" s="45">
        <v>1964</v>
      </c>
      <c r="N270" s="45"/>
      <c r="O270" s="45">
        <v>1964</v>
      </c>
    </row>
    <row r="271" spans="1:16" ht="31.5" x14ac:dyDescent="0.2">
      <c r="A271" s="40"/>
      <c r="B271" s="41" t="s">
        <v>225</v>
      </c>
      <c r="C271" s="42">
        <v>992</v>
      </c>
      <c r="D271" s="43" t="s">
        <v>321</v>
      </c>
      <c r="E271" s="57" t="s">
        <v>352</v>
      </c>
      <c r="F271" s="44">
        <v>400</v>
      </c>
      <c r="G271" s="45">
        <v>1964</v>
      </c>
      <c r="H271" s="38"/>
      <c r="I271" s="45">
        <v>1964</v>
      </c>
      <c r="J271" s="47"/>
      <c r="K271" s="38"/>
      <c r="L271" s="47"/>
      <c r="M271" s="45">
        <v>1964</v>
      </c>
      <c r="N271" s="45"/>
      <c r="O271" s="45">
        <v>1964</v>
      </c>
    </row>
    <row r="272" spans="1:16" ht="15.75" x14ac:dyDescent="0.2">
      <c r="A272" s="33" t="s">
        <v>353</v>
      </c>
      <c r="B272" s="34" t="s">
        <v>354</v>
      </c>
      <c r="C272" s="35" t="s">
        <v>51</v>
      </c>
      <c r="D272" s="36" t="s">
        <v>355</v>
      </c>
      <c r="E272" s="36" t="s">
        <v>11</v>
      </c>
      <c r="F272" s="37" t="s">
        <v>11</v>
      </c>
      <c r="G272" s="38">
        <f>G273+G298+G303+G292+G309</f>
        <v>84908.9</v>
      </c>
      <c r="H272" s="45">
        <f>H273+H292+H298+H309+H303</f>
        <v>1644</v>
      </c>
      <c r="I272" s="38">
        <f>I273+I298+I303+I292+I309</f>
        <v>86552.9</v>
      </c>
      <c r="J272" s="39">
        <f>J273+J298+J303</f>
        <v>75</v>
      </c>
      <c r="K272" s="45">
        <f>K273+K292+K298+K309+K303</f>
        <v>4560</v>
      </c>
      <c r="L272" s="45">
        <f>L273+L292+L298+L309+L303</f>
        <v>4635</v>
      </c>
      <c r="M272" s="38">
        <f>M273+M298+M303+M292+M309</f>
        <v>84983.9</v>
      </c>
      <c r="N272" s="45">
        <f>N273+N292+N298+N309+N303</f>
        <v>6204</v>
      </c>
      <c r="O272" s="38">
        <f>O273+O298+O303+O292+O309</f>
        <v>91187.9</v>
      </c>
      <c r="P272" s="15"/>
    </row>
    <row r="273" spans="1:16" ht="31.5" x14ac:dyDescent="0.2">
      <c r="A273" s="40"/>
      <c r="B273" s="41" t="s">
        <v>245</v>
      </c>
      <c r="C273" s="42" t="s">
        <v>51</v>
      </c>
      <c r="D273" s="43" t="s">
        <v>355</v>
      </c>
      <c r="E273" s="43" t="s">
        <v>246</v>
      </c>
      <c r="F273" s="44" t="s">
        <v>11</v>
      </c>
      <c r="G273" s="45">
        <f t="shared" ref="G273:O274" si="39">G274</f>
        <v>79256.5</v>
      </c>
      <c r="H273" s="45">
        <f t="shared" si="39"/>
        <v>0</v>
      </c>
      <c r="I273" s="45">
        <f t="shared" si="39"/>
        <v>79256.5</v>
      </c>
      <c r="J273" s="46">
        <f t="shared" si="39"/>
        <v>75</v>
      </c>
      <c r="K273" s="45">
        <f t="shared" si="39"/>
        <v>1260</v>
      </c>
      <c r="L273" s="46">
        <f t="shared" si="39"/>
        <v>1335</v>
      </c>
      <c r="M273" s="45">
        <f t="shared" si="39"/>
        <v>79331.5</v>
      </c>
      <c r="N273" s="45">
        <f t="shared" si="39"/>
        <v>1260</v>
      </c>
      <c r="O273" s="45">
        <f t="shared" si="39"/>
        <v>80591.5</v>
      </c>
    </row>
    <row r="274" spans="1:16" ht="15.75" x14ac:dyDescent="0.2">
      <c r="A274" s="40"/>
      <c r="B274" s="41" t="s">
        <v>356</v>
      </c>
      <c r="C274" s="42" t="s">
        <v>51</v>
      </c>
      <c r="D274" s="43" t="s">
        <v>355</v>
      </c>
      <c r="E274" s="43" t="s">
        <v>357</v>
      </c>
      <c r="F274" s="44" t="s">
        <v>11</v>
      </c>
      <c r="G274" s="45">
        <f t="shared" si="39"/>
        <v>79256.5</v>
      </c>
      <c r="H274" s="45">
        <f t="shared" si="39"/>
        <v>0</v>
      </c>
      <c r="I274" s="45">
        <f t="shared" si="39"/>
        <v>79256.5</v>
      </c>
      <c r="J274" s="46">
        <f t="shared" si="39"/>
        <v>75</v>
      </c>
      <c r="K274" s="45">
        <f>K275+K277+K279+K281+K283+K287</f>
        <v>1260</v>
      </c>
      <c r="L274" s="46">
        <f t="shared" si="39"/>
        <v>1335</v>
      </c>
      <c r="M274" s="45">
        <f t="shared" si="39"/>
        <v>79331.5</v>
      </c>
      <c r="N274" s="45">
        <f>N275+N284</f>
        <v>1260</v>
      </c>
      <c r="O274" s="45">
        <f>79331.5+N274</f>
        <v>80591.5</v>
      </c>
    </row>
    <row r="275" spans="1:16" ht="47.25" x14ac:dyDescent="0.2">
      <c r="A275" s="40"/>
      <c r="B275" s="41" t="s">
        <v>358</v>
      </c>
      <c r="C275" s="42" t="s">
        <v>51</v>
      </c>
      <c r="D275" s="43" t="s">
        <v>355</v>
      </c>
      <c r="E275" s="43" t="s">
        <v>359</v>
      </c>
      <c r="F275" s="44" t="s">
        <v>11</v>
      </c>
      <c r="G275" s="45">
        <f>G276+G278+G280+G282+G286+G288+G284</f>
        <v>79256.5</v>
      </c>
      <c r="H275" s="45">
        <f>H276+H282+H278+H288+H284+H290</f>
        <v>0</v>
      </c>
      <c r="I275" s="45">
        <f>I276+I278+I280+I282+I286+I288+I284+I290</f>
        <v>79256.5</v>
      </c>
      <c r="J275" s="46">
        <f>J276+J278+J280+J282+J286+J288</f>
        <v>75</v>
      </c>
      <c r="K275" s="45">
        <f>SUM(K290)</f>
        <v>1260</v>
      </c>
      <c r="L275" s="46">
        <f>L276+L278+L280+L282+L286+L288+L290</f>
        <v>1335</v>
      </c>
      <c r="M275" s="45">
        <f>SUM(G275+J275)</f>
        <v>79331.5</v>
      </c>
      <c r="N275" s="45">
        <f>SUM(H275+K275)</f>
        <v>1260</v>
      </c>
      <c r="O275" s="45">
        <f>SUM(I275+L275)</f>
        <v>80591.5</v>
      </c>
      <c r="P275" s="16"/>
    </row>
    <row r="276" spans="1:16" ht="15.75" x14ac:dyDescent="0.2">
      <c r="A276" s="40"/>
      <c r="B276" s="41" t="s">
        <v>360</v>
      </c>
      <c r="C276" s="42" t="s">
        <v>51</v>
      </c>
      <c r="D276" s="43" t="s">
        <v>355</v>
      </c>
      <c r="E276" s="43" t="s">
        <v>361</v>
      </c>
      <c r="F276" s="44" t="s">
        <v>11</v>
      </c>
      <c r="G276" s="45">
        <f>G277</f>
        <v>54041</v>
      </c>
      <c r="H276" s="45">
        <f>H277</f>
        <v>0</v>
      </c>
      <c r="I276" s="45">
        <f>I277</f>
        <v>54041</v>
      </c>
      <c r="J276" s="46">
        <f>J277</f>
        <v>0</v>
      </c>
      <c r="K276" s="45"/>
      <c r="L276" s="46">
        <f>L277</f>
        <v>0</v>
      </c>
      <c r="M276" s="45">
        <f>M277</f>
        <v>54041</v>
      </c>
      <c r="N276" s="45">
        <f>N277</f>
        <v>0</v>
      </c>
      <c r="O276" s="45">
        <f>O277</f>
        <v>54041</v>
      </c>
    </row>
    <row r="277" spans="1:16" ht="31.5" x14ac:dyDescent="0.2">
      <c r="A277" s="40"/>
      <c r="B277" s="41" t="s">
        <v>40</v>
      </c>
      <c r="C277" s="42" t="s">
        <v>51</v>
      </c>
      <c r="D277" s="43" t="s">
        <v>355</v>
      </c>
      <c r="E277" s="43" t="s">
        <v>361</v>
      </c>
      <c r="F277" s="44" t="s">
        <v>41</v>
      </c>
      <c r="G277" s="45">
        <v>54041</v>
      </c>
      <c r="H277" s="45"/>
      <c r="I277" s="45">
        <f>SUM(G277)</f>
        <v>54041</v>
      </c>
      <c r="J277" s="47"/>
      <c r="K277" s="45"/>
      <c r="L277" s="47"/>
      <c r="M277" s="45">
        <f>SUM(G277)</f>
        <v>54041</v>
      </c>
      <c r="N277" s="45">
        <f>SUM(H277)+K277</f>
        <v>0</v>
      </c>
      <c r="O277" s="45">
        <f>SUM(I277)</f>
        <v>54041</v>
      </c>
    </row>
    <row r="278" spans="1:16" ht="15.75" x14ac:dyDescent="0.2">
      <c r="A278" s="40"/>
      <c r="B278" s="41" t="s">
        <v>362</v>
      </c>
      <c r="C278" s="42" t="s">
        <v>51</v>
      </c>
      <c r="D278" s="43" t="s">
        <v>355</v>
      </c>
      <c r="E278" s="43" t="s">
        <v>363</v>
      </c>
      <c r="F278" s="44" t="s">
        <v>11</v>
      </c>
      <c r="G278" s="45">
        <f>G279</f>
        <v>4842.6000000000004</v>
      </c>
      <c r="H278" s="45">
        <f>H279</f>
        <v>0</v>
      </c>
      <c r="I278" s="45">
        <f>I279</f>
        <v>4842.6000000000004</v>
      </c>
      <c r="J278" s="46">
        <f>J279</f>
        <v>75</v>
      </c>
      <c r="K278" s="45">
        <f>SUM(K279)</f>
        <v>0</v>
      </c>
      <c r="L278" s="46">
        <f>L279</f>
        <v>75</v>
      </c>
      <c r="M278" s="45">
        <f>M279</f>
        <v>4917.6000000000004</v>
      </c>
      <c r="N278" s="45">
        <f>N279</f>
        <v>0</v>
      </c>
      <c r="O278" s="45">
        <f>O279</f>
        <v>4917.6000000000004</v>
      </c>
    </row>
    <row r="279" spans="1:16" ht="31.5" x14ac:dyDescent="0.2">
      <c r="A279" s="40"/>
      <c r="B279" s="41" t="s">
        <v>40</v>
      </c>
      <c r="C279" s="42" t="s">
        <v>51</v>
      </c>
      <c r="D279" s="43" t="s">
        <v>355</v>
      </c>
      <c r="E279" s="43" t="s">
        <v>363</v>
      </c>
      <c r="F279" s="44" t="s">
        <v>41</v>
      </c>
      <c r="G279" s="45">
        <v>4842.6000000000004</v>
      </c>
      <c r="H279" s="45"/>
      <c r="I279" s="45">
        <f>SUM(G279)</f>
        <v>4842.6000000000004</v>
      </c>
      <c r="J279" s="47">
        <v>75</v>
      </c>
      <c r="K279" s="45"/>
      <c r="L279" s="45">
        <f>SUM(J279)</f>
        <v>75</v>
      </c>
      <c r="M279" s="45">
        <f>SUM(G279+J279)</f>
        <v>4917.6000000000004</v>
      </c>
      <c r="N279" s="45">
        <f>SUM(H279)+K279</f>
        <v>0</v>
      </c>
      <c r="O279" s="45">
        <f>SUM(I279+L279)</f>
        <v>4917.6000000000004</v>
      </c>
    </row>
    <row r="280" spans="1:16" ht="15.75" x14ac:dyDescent="0.2">
      <c r="A280" s="40"/>
      <c r="B280" s="41" t="s">
        <v>364</v>
      </c>
      <c r="C280" s="42" t="s">
        <v>51</v>
      </c>
      <c r="D280" s="43" t="s">
        <v>355</v>
      </c>
      <c r="E280" s="43" t="s">
        <v>365</v>
      </c>
      <c r="F280" s="44" t="s">
        <v>11</v>
      </c>
      <c r="G280" s="45">
        <f>G281</f>
        <v>2550</v>
      </c>
      <c r="H280" s="45"/>
      <c r="I280" s="45">
        <f>I281</f>
        <v>2550</v>
      </c>
      <c r="J280" s="46">
        <f>J281</f>
        <v>0</v>
      </c>
      <c r="K280" s="45"/>
      <c r="L280" s="46">
        <f>L281</f>
        <v>0</v>
      </c>
      <c r="M280" s="45">
        <f>M281</f>
        <v>2550</v>
      </c>
      <c r="N280" s="45">
        <f>N281</f>
        <v>0</v>
      </c>
      <c r="O280" s="45">
        <f>O281</f>
        <v>2550</v>
      </c>
    </row>
    <row r="281" spans="1:16" ht="31.5" x14ac:dyDescent="0.2">
      <c r="A281" s="40"/>
      <c r="B281" s="41" t="s">
        <v>40</v>
      </c>
      <c r="C281" s="42" t="s">
        <v>51</v>
      </c>
      <c r="D281" s="43" t="s">
        <v>355</v>
      </c>
      <c r="E281" s="43" t="s">
        <v>365</v>
      </c>
      <c r="F281" s="44" t="s">
        <v>41</v>
      </c>
      <c r="G281" s="45">
        <v>2550</v>
      </c>
      <c r="H281" s="45"/>
      <c r="I281" s="45">
        <v>2550</v>
      </c>
      <c r="J281" s="47"/>
      <c r="K281" s="45"/>
      <c r="L281" s="47"/>
      <c r="M281" s="45">
        <v>2550</v>
      </c>
      <c r="N281" s="45"/>
      <c r="O281" s="45">
        <v>2550</v>
      </c>
    </row>
    <row r="282" spans="1:16" ht="15.75" x14ac:dyDescent="0.2">
      <c r="A282" s="40"/>
      <c r="B282" s="41" t="s">
        <v>366</v>
      </c>
      <c r="C282" s="42" t="s">
        <v>51</v>
      </c>
      <c r="D282" s="43" t="s">
        <v>355</v>
      </c>
      <c r="E282" s="43" t="s">
        <v>367</v>
      </c>
      <c r="F282" s="44" t="s">
        <v>11</v>
      </c>
      <c r="G282" s="45">
        <f>G283</f>
        <v>1597.4</v>
      </c>
      <c r="H282" s="45">
        <f>H283</f>
        <v>0</v>
      </c>
      <c r="I282" s="45">
        <f>I283</f>
        <v>1597.4</v>
      </c>
      <c r="J282" s="46">
        <f>J283</f>
        <v>0</v>
      </c>
      <c r="K282" s="45"/>
      <c r="L282" s="46">
        <f>L283</f>
        <v>0</v>
      </c>
      <c r="M282" s="45">
        <f>M283</f>
        <v>1597.4</v>
      </c>
      <c r="N282" s="45">
        <f>N283</f>
        <v>0</v>
      </c>
      <c r="O282" s="45">
        <f>O283</f>
        <v>1597.4</v>
      </c>
    </row>
    <row r="283" spans="1:16" ht="31.5" x14ac:dyDescent="0.2">
      <c r="A283" s="40"/>
      <c r="B283" s="41" t="s">
        <v>40</v>
      </c>
      <c r="C283" s="42" t="s">
        <v>51</v>
      </c>
      <c r="D283" s="43" t="s">
        <v>355</v>
      </c>
      <c r="E283" s="43" t="s">
        <v>367</v>
      </c>
      <c r="F283" s="44" t="s">
        <v>41</v>
      </c>
      <c r="G283" s="45">
        <v>1597.4</v>
      </c>
      <c r="H283" s="45"/>
      <c r="I283" s="45">
        <f>SUM(G283)</f>
        <v>1597.4</v>
      </c>
      <c r="J283" s="47"/>
      <c r="K283" s="45"/>
      <c r="L283" s="47"/>
      <c r="M283" s="45">
        <f t="shared" ref="M283:O285" si="40">SUM(G283)</f>
        <v>1597.4</v>
      </c>
      <c r="N283" s="45">
        <f t="shared" si="40"/>
        <v>0</v>
      </c>
      <c r="O283" s="45">
        <f t="shared" si="40"/>
        <v>1597.4</v>
      </c>
    </row>
    <row r="284" spans="1:16" ht="31.5" x14ac:dyDescent="0.2">
      <c r="A284" s="40"/>
      <c r="B284" s="56" t="s">
        <v>368</v>
      </c>
      <c r="C284" s="42">
        <v>992</v>
      </c>
      <c r="D284" s="43" t="s">
        <v>355</v>
      </c>
      <c r="E284" s="57" t="s">
        <v>369</v>
      </c>
      <c r="F284" s="44"/>
      <c r="G284" s="45">
        <v>700</v>
      </c>
      <c r="H284" s="45"/>
      <c r="I284" s="45">
        <f>SUM(G284)</f>
        <v>700</v>
      </c>
      <c r="J284" s="47"/>
      <c r="K284" s="45"/>
      <c r="L284" s="47"/>
      <c r="M284" s="45">
        <f t="shared" si="40"/>
        <v>700</v>
      </c>
      <c r="N284" s="45">
        <f t="shared" si="40"/>
        <v>0</v>
      </c>
      <c r="O284" s="45">
        <f t="shared" si="40"/>
        <v>700</v>
      </c>
    </row>
    <row r="285" spans="1:16" ht="31.5" x14ac:dyDescent="0.2">
      <c r="A285" s="40"/>
      <c r="B285" s="41" t="s">
        <v>40</v>
      </c>
      <c r="C285" s="42">
        <v>992</v>
      </c>
      <c r="D285" s="43" t="s">
        <v>355</v>
      </c>
      <c r="E285" s="57" t="s">
        <v>369</v>
      </c>
      <c r="F285" s="44">
        <v>200</v>
      </c>
      <c r="G285" s="45">
        <v>700</v>
      </c>
      <c r="H285" s="45"/>
      <c r="I285" s="45">
        <f>SUM(G285)</f>
        <v>700</v>
      </c>
      <c r="J285" s="47"/>
      <c r="K285" s="45"/>
      <c r="L285" s="47"/>
      <c r="M285" s="45">
        <f t="shared" si="40"/>
        <v>700</v>
      </c>
      <c r="N285" s="45">
        <f t="shared" si="40"/>
        <v>0</v>
      </c>
      <c r="O285" s="45">
        <f t="shared" si="40"/>
        <v>700</v>
      </c>
    </row>
    <row r="286" spans="1:16" ht="31.5" x14ac:dyDescent="0.2">
      <c r="A286" s="40"/>
      <c r="B286" s="41" t="s">
        <v>370</v>
      </c>
      <c r="C286" s="42" t="s">
        <v>51</v>
      </c>
      <c r="D286" s="43" t="s">
        <v>355</v>
      </c>
      <c r="E286" s="43" t="s">
        <v>371</v>
      </c>
      <c r="F286" s="44" t="s">
        <v>11</v>
      </c>
      <c r="G286" s="45">
        <f>G287</f>
        <v>4100</v>
      </c>
      <c r="H286" s="45"/>
      <c r="I286" s="45">
        <f>I287</f>
        <v>4100</v>
      </c>
      <c r="J286" s="46">
        <f>J287</f>
        <v>0</v>
      </c>
      <c r="K286" s="45"/>
      <c r="L286" s="46">
        <f>L287</f>
        <v>0</v>
      </c>
      <c r="M286" s="45">
        <f>M287</f>
        <v>4100</v>
      </c>
      <c r="N286" s="45">
        <f>N287</f>
        <v>0</v>
      </c>
      <c r="O286" s="45">
        <f>O287</f>
        <v>4100</v>
      </c>
    </row>
    <row r="287" spans="1:16" ht="31.5" x14ac:dyDescent="0.2">
      <c r="A287" s="40"/>
      <c r="B287" s="41" t="s">
        <v>40</v>
      </c>
      <c r="C287" s="42" t="s">
        <v>51</v>
      </c>
      <c r="D287" s="43" t="s">
        <v>355</v>
      </c>
      <c r="E287" s="43" t="s">
        <v>371</v>
      </c>
      <c r="F287" s="44" t="s">
        <v>41</v>
      </c>
      <c r="G287" s="45">
        <v>4100</v>
      </c>
      <c r="H287" s="45"/>
      <c r="I287" s="45">
        <v>4100</v>
      </c>
      <c r="J287" s="47"/>
      <c r="K287" s="45"/>
      <c r="L287" s="47"/>
      <c r="M287" s="45">
        <v>4100</v>
      </c>
      <c r="N287" s="45"/>
      <c r="O287" s="45">
        <v>4100</v>
      </c>
    </row>
    <row r="288" spans="1:16" ht="47.25" x14ac:dyDescent="0.2">
      <c r="A288" s="40"/>
      <c r="B288" s="41" t="s">
        <v>372</v>
      </c>
      <c r="C288" s="42" t="s">
        <v>51</v>
      </c>
      <c r="D288" s="43" t="s">
        <v>355</v>
      </c>
      <c r="E288" s="43" t="s">
        <v>373</v>
      </c>
      <c r="F288" s="44" t="s">
        <v>11</v>
      </c>
      <c r="G288" s="45">
        <f>G289</f>
        <v>11425.5</v>
      </c>
      <c r="H288" s="48">
        <f>SUM(H289)</f>
        <v>0</v>
      </c>
      <c r="I288" s="45">
        <f>I289</f>
        <v>11425.5</v>
      </c>
      <c r="J288" s="46">
        <f>J289</f>
        <v>0</v>
      </c>
      <c r="K288" s="48">
        <f>SUM(K289)</f>
        <v>0</v>
      </c>
      <c r="L288" s="46">
        <f>L289</f>
        <v>0</v>
      </c>
      <c r="M288" s="45">
        <f>M289</f>
        <v>11425.5</v>
      </c>
      <c r="N288" s="45">
        <f>N289</f>
        <v>0</v>
      </c>
      <c r="O288" s="45">
        <f>SUM(M288+N288)</f>
        <v>11425.5</v>
      </c>
    </row>
    <row r="289" spans="1:15" ht="31.5" x14ac:dyDescent="0.2">
      <c r="A289" s="40"/>
      <c r="B289" s="41" t="s">
        <v>40</v>
      </c>
      <c r="C289" s="42" t="s">
        <v>51</v>
      </c>
      <c r="D289" s="43" t="s">
        <v>355</v>
      </c>
      <c r="E289" s="43" t="s">
        <v>373</v>
      </c>
      <c r="F289" s="44" t="s">
        <v>41</v>
      </c>
      <c r="G289" s="48">
        <v>11425.5</v>
      </c>
      <c r="H289" s="48"/>
      <c r="I289" s="48">
        <f>SUM(G289)</f>
        <v>11425.5</v>
      </c>
      <c r="J289" s="47">
        <v>0</v>
      </c>
      <c r="K289" s="48"/>
      <c r="L289" s="47">
        <f>SUM(K289)</f>
        <v>0</v>
      </c>
      <c r="M289" s="48">
        <f>SUM(G289)</f>
        <v>11425.5</v>
      </c>
      <c r="N289" s="48">
        <f>SUM(K289)</f>
        <v>0</v>
      </c>
      <c r="O289" s="48">
        <f>SUM(I289)</f>
        <v>11425.5</v>
      </c>
    </row>
    <row r="290" spans="1:15" ht="126" x14ac:dyDescent="0.2">
      <c r="A290" s="40"/>
      <c r="B290" s="56" t="s">
        <v>551</v>
      </c>
      <c r="C290" s="42">
        <v>992</v>
      </c>
      <c r="D290" s="43" t="s">
        <v>355</v>
      </c>
      <c r="E290" s="43" t="s">
        <v>550</v>
      </c>
      <c r="F290" s="44"/>
      <c r="G290" s="48"/>
      <c r="H290" s="48">
        <f>SUM(H291)</f>
        <v>0</v>
      </c>
      <c r="I290" s="48">
        <f>SUM(H290)</f>
        <v>0</v>
      </c>
      <c r="J290" s="47"/>
      <c r="K290" s="48">
        <f>SUM(K291)</f>
        <v>1260</v>
      </c>
      <c r="L290" s="48">
        <f>SUM(L291)</f>
        <v>1260</v>
      </c>
      <c r="M290" s="48"/>
      <c r="N290" s="48">
        <f>SUM(H290+K290)</f>
        <v>1260</v>
      </c>
      <c r="O290" s="48">
        <f>SUM(I290+L290)</f>
        <v>1260</v>
      </c>
    </row>
    <row r="291" spans="1:15" ht="31.5" x14ac:dyDescent="0.2">
      <c r="A291" s="40"/>
      <c r="B291" s="41" t="s">
        <v>40</v>
      </c>
      <c r="C291" s="42">
        <v>992</v>
      </c>
      <c r="D291" s="43" t="s">
        <v>355</v>
      </c>
      <c r="E291" s="43" t="s">
        <v>550</v>
      </c>
      <c r="F291" s="44">
        <v>200</v>
      </c>
      <c r="G291" s="48"/>
      <c r="H291" s="48"/>
      <c r="I291" s="48">
        <f>SUM(H291)</f>
        <v>0</v>
      </c>
      <c r="J291" s="47"/>
      <c r="K291" s="48">
        <v>1260</v>
      </c>
      <c r="L291" s="47">
        <f>SUM(K291)</f>
        <v>1260</v>
      </c>
      <c r="M291" s="48"/>
      <c r="N291" s="48">
        <f>SUM(H291+K291)</f>
        <v>1260</v>
      </c>
      <c r="O291" s="48">
        <f>SUM(I291+L291)</f>
        <v>1260</v>
      </c>
    </row>
    <row r="292" spans="1:15" ht="15.75" x14ac:dyDescent="0.2">
      <c r="A292" s="40"/>
      <c r="B292" s="56" t="s">
        <v>374</v>
      </c>
      <c r="C292" s="42">
        <v>992</v>
      </c>
      <c r="D292" s="43" t="s">
        <v>355</v>
      </c>
      <c r="E292" s="57" t="s">
        <v>375</v>
      </c>
      <c r="F292" s="44"/>
      <c r="G292" s="48">
        <f t="shared" ref="G292:O294" si="41">G293</f>
        <v>1914.2</v>
      </c>
      <c r="H292" s="48">
        <f t="shared" si="41"/>
        <v>1564</v>
      </c>
      <c r="I292" s="48">
        <f t="shared" si="41"/>
        <v>3478.2</v>
      </c>
      <c r="J292" s="47">
        <f t="shared" si="41"/>
        <v>0</v>
      </c>
      <c r="K292" s="48">
        <f t="shared" si="41"/>
        <v>3300</v>
      </c>
      <c r="L292" s="47">
        <f t="shared" si="41"/>
        <v>3300</v>
      </c>
      <c r="M292" s="48">
        <f t="shared" si="41"/>
        <v>1914.2</v>
      </c>
      <c r="N292" s="48">
        <f t="shared" si="41"/>
        <v>4864</v>
      </c>
      <c r="O292" s="48">
        <f t="shared" si="41"/>
        <v>6778.2</v>
      </c>
    </row>
    <row r="293" spans="1:15" ht="31.5" x14ac:dyDescent="0.2">
      <c r="A293" s="40"/>
      <c r="B293" s="56" t="s">
        <v>376</v>
      </c>
      <c r="C293" s="42">
        <v>992</v>
      </c>
      <c r="D293" s="43" t="s">
        <v>355</v>
      </c>
      <c r="E293" s="57" t="s">
        <v>377</v>
      </c>
      <c r="F293" s="44"/>
      <c r="G293" s="48">
        <f t="shared" si="41"/>
        <v>1914.2</v>
      </c>
      <c r="H293" s="48">
        <f>H294+H296</f>
        <v>1564</v>
      </c>
      <c r="I293" s="48">
        <f>I294+I296</f>
        <v>3478.2</v>
      </c>
      <c r="J293" s="47">
        <f t="shared" si="41"/>
        <v>0</v>
      </c>
      <c r="K293" s="48">
        <f>K294+K296</f>
        <v>3300</v>
      </c>
      <c r="L293" s="47">
        <f>L294+K293</f>
        <v>3300</v>
      </c>
      <c r="M293" s="48">
        <f t="shared" si="41"/>
        <v>1914.2</v>
      </c>
      <c r="N293" s="48">
        <f>SUM(H293)+K293</f>
        <v>4864</v>
      </c>
      <c r="O293" s="48">
        <f>O294+N293</f>
        <v>6778.2</v>
      </c>
    </row>
    <row r="294" spans="1:15" ht="15.75" x14ac:dyDescent="0.2">
      <c r="A294" s="40"/>
      <c r="B294" s="56" t="s">
        <v>378</v>
      </c>
      <c r="C294" s="42">
        <v>992</v>
      </c>
      <c r="D294" s="43" t="s">
        <v>355</v>
      </c>
      <c r="E294" s="57" t="s">
        <v>379</v>
      </c>
      <c r="F294" s="44"/>
      <c r="G294" s="48">
        <f t="shared" si="41"/>
        <v>1914.2</v>
      </c>
      <c r="H294" s="48">
        <f t="shared" si="41"/>
        <v>0</v>
      </c>
      <c r="I294" s="48">
        <f t="shared" si="41"/>
        <v>1914.2</v>
      </c>
      <c r="J294" s="47">
        <f t="shared" si="41"/>
        <v>0</v>
      </c>
      <c r="K294" s="45"/>
      <c r="L294" s="47">
        <f t="shared" si="41"/>
        <v>0</v>
      </c>
      <c r="M294" s="48">
        <f t="shared" si="41"/>
        <v>1914.2</v>
      </c>
      <c r="N294" s="48">
        <f t="shared" si="41"/>
        <v>0</v>
      </c>
      <c r="O294" s="48">
        <f t="shared" si="41"/>
        <v>1914.2</v>
      </c>
    </row>
    <row r="295" spans="1:15" ht="31.5" x14ac:dyDescent="0.2">
      <c r="A295" s="40"/>
      <c r="B295" s="41" t="s">
        <v>40</v>
      </c>
      <c r="C295" s="42">
        <v>992</v>
      </c>
      <c r="D295" s="43" t="s">
        <v>355</v>
      </c>
      <c r="E295" s="57" t="s">
        <v>379</v>
      </c>
      <c r="F295" s="44">
        <v>200</v>
      </c>
      <c r="G295" s="48">
        <v>1914.2</v>
      </c>
      <c r="H295" s="45"/>
      <c r="I295" s="48">
        <f>SUM(G295)+H295</f>
        <v>1914.2</v>
      </c>
      <c r="J295" s="47">
        <v>0</v>
      </c>
      <c r="K295" s="45"/>
      <c r="L295" s="47">
        <f>SUM(K295)</f>
        <v>0</v>
      </c>
      <c r="M295" s="48">
        <f>SUM(G295)</f>
        <v>1914.2</v>
      </c>
      <c r="N295" s="45">
        <f>SUM(H295)+K295</f>
        <v>0</v>
      </c>
      <c r="O295" s="48">
        <f>SUM(I295)+L295</f>
        <v>1914.2</v>
      </c>
    </row>
    <row r="296" spans="1:15" ht="47.25" x14ac:dyDescent="0.2">
      <c r="A296" s="40"/>
      <c r="B296" s="41" t="s">
        <v>372</v>
      </c>
      <c r="C296" s="42">
        <v>992</v>
      </c>
      <c r="D296" s="43" t="s">
        <v>355</v>
      </c>
      <c r="E296" s="57" t="s">
        <v>549</v>
      </c>
      <c r="F296" s="44"/>
      <c r="G296" s="48"/>
      <c r="H296" s="45">
        <f>SUM(H297)</f>
        <v>1564</v>
      </c>
      <c r="I296" s="48">
        <f>SUM(H296)</f>
        <v>1564</v>
      </c>
      <c r="J296" s="47"/>
      <c r="K296" s="45">
        <v>3300</v>
      </c>
      <c r="L296" s="47">
        <f>SUM(K296)</f>
        <v>3300</v>
      </c>
      <c r="M296" s="48"/>
      <c r="N296" s="45">
        <f>SUM(H296+K296)</f>
        <v>4864</v>
      </c>
      <c r="O296" s="48">
        <f>SUM(I296+L296)</f>
        <v>4864</v>
      </c>
    </row>
    <row r="297" spans="1:15" ht="31.5" x14ac:dyDescent="0.2">
      <c r="A297" s="40"/>
      <c r="B297" s="41" t="s">
        <v>40</v>
      </c>
      <c r="C297" s="42">
        <v>992</v>
      </c>
      <c r="D297" s="43" t="s">
        <v>355</v>
      </c>
      <c r="E297" s="57" t="s">
        <v>549</v>
      </c>
      <c r="F297" s="44">
        <v>200</v>
      </c>
      <c r="G297" s="48"/>
      <c r="H297" s="45">
        <v>1564</v>
      </c>
      <c r="I297" s="48">
        <f>SUM(H297)</f>
        <v>1564</v>
      </c>
      <c r="J297" s="47"/>
      <c r="K297" s="45">
        <v>3300</v>
      </c>
      <c r="L297" s="47">
        <f>SUM(K297)</f>
        <v>3300</v>
      </c>
      <c r="M297" s="48"/>
      <c r="N297" s="45">
        <f>SUM(H297+K297)</f>
        <v>4864</v>
      </c>
      <c r="O297" s="48">
        <f>SUM(I297+L297)</f>
        <v>4864</v>
      </c>
    </row>
    <row r="298" spans="1:15" ht="47.25" x14ac:dyDescent="0.2">
      <c r="A298" s="40"/>
      <c r="B298" s="41" t="s">
        <v>105</v>
      </c>
      <c r="C298" s="42" t="s">
        <v>51</v>
      </c>
      <c r="D298" s="43" t="s">
        <v>355</v>
      </c>
      <c r="E298" s="43" t="s">
        <v>106</v>
      </c>
      <c r="F298" s="44" t="s">
        <v>11</v>
      </c>
      <c r="G298" s="45">
        <f>G299</f>
        <v>300</v>
      </c>
      <c r="H298" s="45"/>
      <c r="I298" s="45">
        <f>I299</f>
        <v>300</v>
      </c>
      <c r="J298" s="46">
        <f t="shared" ref="G298:O301" si="42">J299</f>
        <v>0</v>
      </c>
      <c r="K298" s="45"/>
      <c r="L298" s="46">
        <f t="shared" si="42"/>
        <v>0</v>
      </c>
      <c r="M298" s="45">
        <f t="shared" si="42"/>
        <v>300</v>
      </c>
      <c r="N298" s="45"/>
      <c r="O298" s="45">
        <f t="shared" si="42"/>
        <v>300</v>
      </c>
    </row>
    <row r="299" spans="1:15" ht="31.5" x14ac:dyDescent="0.2">
      <c r="A299" s="40"/>
      <c r="B299" s="41" t="s">
        <v>107</v>
      </c>
      <c r="C299" s="42" t="s">
        <v>51</v>
      </c>
      <c r="D299" s="43" t="s">
        <v>355</v>
      </c>
      <c r="E299" s="43" t="s">
        <v>108</v>
      </c>
      <c r="F299" s="44" t="s">
        <v>11</v>
      </c>
      <c r="G299" s="45">
        <f t="shared" si="42"/>
        <v>300</v>
      </c>
      <c r="H299" s="45">
        <f t="shared" si="42"/>
        <v>0</v>
      </c>
      <c r="I299" s="45">
        <f t="shared" si="42"/>
        <v>300</v>
      </c>
      <c r="J299" s="46">
        <f t="shared" si="42"/>
        <v>0</v>
      </c>
      <c r="K299" s="45">
        <f>K300</f>
        <v>0</v>
      </c>
      <c r="L299" s="46">
        <f t="shared" si="42"/>
        <v>0</v>
      </c>
      <c r="M299" s="45">
        <f t="shared" si="42"/>
        <v>300</v>
      </c>
      <c r="N299" s="45">
        <f t="shared" si="42"/>
        <v>0</v>
      </c>
      <c r="O299" s="45">
        <f t="shared" si="42"/>
        <v>300</v>
      </c>
    </row>
    <row r="300" spans="1:15" ht="31.5" x14ac:dyDescent="0.2">
      <c r="A300" s="40"/>
      <c r="B300" s="41" t="s">
        <v>109</v>
      </c>
      <c r="C300" s="42" t="s">
        <v>51</v>
      </c>
      <c r="D300" s="43" t="s">
        <v>355</v>
      </c>
      <c r="E300" s="43" t="s">
        <v>110</v>
      </c>
      <c r="F300" s="44" t="s">
        <v>11</v>
      </c>
      <c r="G300" s="45">
        <f t="shared" si="42"/>
        <v>300</v>
      </c>
      <c r="H300" s="45">
        <f t="shared" si="42"/>
        <v>0</v>
      </c>
      <c r="I300" s="45">
        <f t="shared" si="42"/>
        <v>300</v>
      </c>
      <c r="J300" s="46">
        <f t="shared" si="42"/>
        <v>0</v>
      </c>
      <c r="K300" s="45">
        <f>K301</f>
        <v>0</v>
      </c>
      <c r="L300" s="46">
        <f t="shared" si="42"/>
        <v>0</v>
      </c>
      <c r="M300" s="45">
        <f t="shared" si="42"/>
        <v>300</v>
      </c>
      <c r="N300" s="45">
        <f t="shared" si="42"/>
        <v>0</v>
      </c>
      <c r="O300" s="45">
        <f t="shared" si="42"/>
        <v>300</v>
      </c>
    </row>
    <row r="301" spans="1:15" ht="31.5" x14ac:dyDescent="0.2">
      <c r="A301" s="40"/>
      <c r="B301" s="41" t="s">
        <v>114</v>
      </c>
      <c r="C301" s="42" t="s">
        <v>51</v>
      </c>
      <c r="D301" s="43" t="s">
        <v>355</v>
      </c>
      <c r="E301" s="43" t="s">
        <v>115</v>
      </c>
      <c r="F301" s="44" t="s">
        <v>11</v>
      </c>
      <c r="G301" s="45">
        <f>G302</f>
        <v>300</v>
      </c>
      <c r="H301" s="45"/>
      <c r="I301" s="45">
        <f>I302</f>
        <v>300</v>
      </c>
      <c r="J301" s="46">
        <f t="shared" si="42"/>
        <v>0</v>
      </c>
      <c r="K301" s="45"/>
      <c r="L301" s="46">
        <f t="shared" si="42"/>
        <v>0</v>
      </c>
      <c r="M301" s="45">
        <f t="shared" si="42"/>
        <v>300</v>
      </c>
      <c r="N301" s="45">
        <f t="shared" si="42"/>
        <v>0</v>
      </c>
      <c r="O301" s="45">
        <f t="shared" si="42"/>
        <v>300</v>
      </c>
    </row>
    <row r="302" spans="1:15" ht="31.5" x14ac:dyDescent="0.2">
      <c r="A302" s="40"/>
      <c r="B302" s="41" t="s">
        <v>40</v>
      </c>
      <c r="C302" s="42" t="s">
        <v>51</v>
      </c>
      <c r="D302" s="43" t="s">
        <v>355</v>
      </c>
      <c r="E302" s="43" t="s">
        <v>115</v>
      </c>
      <c r="F302" s="44" t="s">
        <v>41</v>
      </c>
      <c r="G302" s="45">
        <v>300</v>
      </c>
      <c r="H302" s="45"/>
      <c r="I302" s="45">
        <v>300</v>
      </c>
      <c r="J302" s="47">
        <v>0</v>
      </c>
      <c r="K302" s="45"/>
      <c r="L302" s="47">
        <v>0</v>
      </c>
      <c r="M302" s="45">
        <v>300</v>
      </c>
      <c r="N302" s="45"/>
      <c r="O302" s="45">
        <v>300</v>
      </c>
    </row>
    <row r="303" spans="1:15" ht="63" x14ac:dyDescent="0.2">
      <c r="A303" s="40"/>
      <c r="B303" s="41" t="s">
        <v>380</v>
      </c>
      <c r="C303" s="42" t="s">
        <v>51</v>
      </c>
      <c r="D303" s="43" t="s">
        <v>355</v>
      </c>
      <c r="E303" s="43" t="s">
        <v>381</v>
      </c>
      <c r="F303" s="44" t="s">
        <v>11</v>
      </c>
      <c r="G303" s="45">
        <f t="shared" ref="G303:O305" si="43">G304</f>
        <v>599.70000000000005</v>
      </c>
      <c r="H303" s="45">
        <f t="shared" si="43"/>
        <v>80</v>
      </c>
      <c r="I303" s="45">
        <f t="shared" si="43"/>
        <v>679.7</v>
      </c>
      <c r="J303" s="46">
        <f t="shared" si="43"/>
        <v>0</v>
      </c>
      <c r="K303" s="45">
        <f>K304</f>
        <v>0</v>
      </c>
      <c r="L303" s="46">
        <f t="shared" si="43"/>
        <v>0</v>
      </c>
      <c r="M303" s="45">
        <f t="shared" si="43"/>
        <v>599.70000000000005</v>
      </c>
      <c r="N303" s="45">
        <f t="shared" si="43"/>
        <v>80</v>
      </c>
      <c r="O303" s="45">
        <f t="shared" si="43"/>
        <v>679.7</v>
      </c>
    </row>
    <row r="304" spans="1:15" ht="47.25" x14ac:dyDescent="0.2">
      <c r="A304" s="40"/>
      <c r="B304" s="41" t="s">
        <v>382</v>
      </c>
      <c r="C304" s="42" t="s">
        <v>51</v>
      </c>
      <c r="D304" s="43" t="s">
        <v>355</v>
      </c>
      <c r="E304" s="43" t="s">
        <v>383</v>
      </c>
      <c r="F304" s="44" t="s">
        <v>11</v>
      </c>
      <c r="G304" s="45">
        <f>G305+G307</f>
        <v>599.70000000000005</v>
      </c>
      <c r="H304" s="45">
        <f>H305+H307</f>
        <v>80</v>
      </c>
      <c r="I304" s="45">
        <f>I305+I307</f>
        <v>679.7</v>
      </c>
      <c r="J304" s="46">
        <f t="shared" si="43"/>
        <v>0</v>
      </c>
      <c r="K304" s="45">
        <f>K305</f>
        <v>0</v>
      </c>
      <c r="L304" s="46">
        <f t="shared" si="43"/>
        <v>0</v>
      </c>
      <c r="M304" s="45">
        <f>M305+M307</f>
        <v>599.70000000000005</v>
      </c>
      <c r="N304" s="45">
        <f>N305+N307</f>
        <v>80</v>
      </c>
      <c r="O304" s="45">
        <f>O305+O307</f>
        <v>679.7</v>
      </c>
    </row>
    <row r="305" spans="1:15" ht="63" x14ac:dyDescent="0.2">
      <c r="A305" s="40"/>
      <c r="B305" s="41" t="s">
        <v>384</v>
      </c>
      <c r="C305" s="42" t="s">
        <v>51</v>
      </c>
      <c r="D305" s="43" t="s">
        <v>355</v>
      </c>
      <c r="E305" s="57" t="s">
        <v>545</v>
      </c>
      <c r="F305" s="44" t="s">
        <v>11</v>
      </c>
      <c r="G305" s="45">
        <f>G306</f>
        <v>200</v>
      </c>
      <c r="H305" s="45">
        <f>H306</f>
        <v>80</v>
      </c>
      <c r="I305" s="45">
        <f>I306</f>
        <v>280</v>
      </c>
      <c r="J305" s="46">
        <f t="shared" si="43"/>
        <v>0</v>
      </c>
      <c r="K305" s="45"/>
      <c r="L305" s="46">
        <f t="shared" si="43"/>
        <v>0</v>
      </c>
      <c r="M305" s="45">
        <f t="shared" si="43"/>
        <v>200</v>
      </c>
      <c r="N305" s="45">
        <f t="shared" si="43"/>
        <v>80</v>
      </c>
      <c r="O305" s="45">
        <f t="shared" si="43"/>
        <v>280</v>
      </c>
    </row>
    <row r="306" spans="1:15" ht="31.5" x14ac:dyDescent="0.2">
      <c r="A306" s="40"/>
      <c r="B306" s="41" t="s">
        <v>40</v>
      </c>
      <c r="C306" s="42" t="s">
        <v>51</v>
      </c>
      <c r="D306" s="43" t="s">
        <v>355</v>
      </c>
      <c r="E306" s="57" t="s">
        <v>545</v>
      </c>
      <c r="F306" s="44" t="s">
        <v>41</v>
      </c>
      <c r="G306" s="45">
        <v>200</v>
      </c>
      <c r="H306" s="66">
        <f>30+50</f>
        <v>80</v>
      </c>
      <c r="I306" s="45">
        <f>200+H306</f>
        <v>280</v>
      </c>
      <c r="J306" s="47">
        <v>0</v>
      </c>
      <c r="K306" s="38"/>
      <c r="L306" s="47">
        <v>0</v>
      </c>
      <c r="M306" s="45">
        <v>200</v>
      </c>
      <c r="N306" s="45">
        <f t="shared" ref="N306:N312" si="44">SUM(H306)</f>
        <v>80</v>
      </c>
      <c r="O306" s="45">
        <f>200+N306</f>
        <v>280</v>
      </c>
    </row>
    <row r="307" spans="1:15" ht="31.5" x14ac:dyDescent="0.2">
      <c r="A307" s="40"/>
      <c r="B307" s="41" t="s">
        <v>385</v>
      </c>
      <c r="C307" s="42">
        <v>992</v>
      </c>
      <c r="D307" s="43" t="s">
        <v>355</v>
      </c>
      <c r="E307" s="43">
        <v>1400124240</v>
      </c>
      <c r="F307" s="44"/>
      <c r="G307" s="45">
        <v>399.7</v>
      </c>
      <c r="H307" s="66"/>
      <c r="I307" s="45">
        <f t="shared" ref="I307:I312" si="45">SUM(G307)</f>
        <v>399.7</v>
      </c>
      <c r="J307" s="47"/>
      <c r="K307" s="38"/>
      <c r="L307" s="47"/>
      <c r="M307" s="45">
        <f>SUM(G307)</f>
        <v>399.7</v>
      </c>
      <c r="N307" s="45">
        <f t="shared" si="44"/>
        <v>0</v>
      </c>
      <c r="O307" s="45">
        <f t="shared" ref="O307:O312" si="46">SUM(I307)</f>
        <v>399.7</v>
      </c>
    </row>
    <row r="308" spans="1:15" ht="31.5" x14ac:dyDescent="0.2">
      <c r="A308" s="40"/>
      <c r="B308" s="41" t="s">
        <v>40</v>
      </c>
      <c r="C308" s="42">
        <v>992</v>
      </c>
      <c r="D308" s="43" t="s">
        <v>355</v>
      </c>
      <c r="E308" s="43">
        <v>1400124240</v>
      </c>
      <c r="F308" s="44">
        <v>200</v>
      </c>
      <c r="G308" s="45">
        <v>399.7</v>
      </c>
      <c r="H308" s="66"/>
      <c r="I308" s="45">
        <f t="shared" si="45"/>
        <v>399.7</v>
      </c>
      <c r="J308" s="47"/>
      <c r="K308" s="38"/>
      <c r="L308" s="47"/>
      <c r="M308" s="45">
        <f>SUM(G308)</f>
        <v>399.7</v>
      </c>
      <c r="N308" s="45">
        <f t="shared" si="44"/>
        <v>0</v>
      </c>
      <c r="O308" s="45">
        <f t="shared" si="46"/>
        <v>399.7</v>
      </c>
    </row>
    <row r="309" spans="1:15" ht="31.5" x14ac:dyDescent="0.2">
      <c r="A309" s="40"/>
      <c r="B309" s="41" t="s">
        <v>66</v>
      </c>
      <c r="C309" s="42">
        <v>992</v>
      </c>
      <c r="D309" s="43" t="s">
        <v>355</v>
      </c>
      <c r="E309" s="43">
        <v>5200000000</v>
      </c>
      <c r="F309" s="44"/>
      <c r="G309" s="45">
        <v>2838.5</v>
      </c>
      <c r="H309" s="66">
        <f>SUM(H311)</f>
        <v>0</v>
      </c>
      <c r="I309" s="45">
        <f t="shared" si="45"/>
        <v>2838.5</v>
      </c>
      <c r="J309" s="47"/>
      <c r="K309" s="38"/>
      <c r="L309" s="47"/>
      <c r="M309" s="45">
        <v>2838.5</v>
      </c>
      <c r="N309" s="45">
        <f t="shared" si="44"/>
        <v>0</v>
      </c>
      <c r="O309" s="45">
        <f t="shared" si="46"/>
        <v>2838.5</v>
      </c>
    </row>
    <row r="310" spans="1:15" ht="31.5" x14ac:dyDescent="0.2">
      <c r="A310" s="40"/>
      <c r="B310" s="41" t="s">
        <v>80</v>
      </c>
      <c r="C310" s="42">
        <v>992</v>
      </c>
      <c r="D310" s="43" t="s">
        <v>355</v>
      </c>
      <c r="E310" s="43">
        <v>5230000000</v>
      </c>
      <c r="F310" s="44"/>
      <c r="G310" s="45">
        <v>2838.5</v>
      </c>
      <c r="H310" s="66">
        <f>SUM(H312)</f>
        <v>0</v>
      </c>
      <c r="I310" s="45">
        <f t="shared" si="45"/>
        <v>2838.5</v>
      </c>
      <c r="J310" s="47"/>
      <c r="K310" s="38"/>
      <c r="L310" s="47"/>
      <c r="M310" s="45">
        <f>SUM(M312)</f>
        <v>2838.5</v>
      </c>
      <c r="N310" s="45">
        <f t="shared" si="44"/>
        <v>0</v>
      </c>
      <c r="O310" s="45">
        <f t="shared" si="46"/>
        <v>2838.5</v>
      </c>
    </row>
    <row r="311" spans="1:15" ht="31.5" x14ac:dyDescent="0.2">
      <c r="A311" s="40"/>
      <c r="B311" s="41" t="s">
        <v>82</v>
      </c>
      <c r="C311" s="42">
        <v>992</v>
      </c>
      <c r="D311" s="43" t="s">
        <v>355</v>
      </c>
      <c r="E311" s="43">
        <v>5230010490</v>
      </c>
      <c r="F311" s="44"/>
      <c r="G311" s="45">
        <v>2838.5</v>
      </c>
      <c r="H311" s="66">
        <f>SUM(H312)</f>
        <v>0</v>
      </c>
      <c r="I311" s="45">
        <f t="shared" si="45"/>
        <v>2838.5</v>
      </c>
      <c r="J311" s="47"/>
      <c r="K311" s="38"/>
      <c r="L311" s="47"/>
      <c r="M311" s="45">
        <f>SUM(G311)</f>
        <v>2838.5</v>
      </c>
      <c r="N311" s="45">
        <f t="shared" si="44"/>
        <v>0</v>
      </c>
      <c r="O311" s="45">
        <f t="shared" si="46"/>
        <v>2838.5</v>
      </c>
    </row>
    <row r="312" spans="1:15" ht="29.25" customHeight="1" x14ac:dyDescent="0.2">
      <c r="A312" s="40"/>
      <c r="B312" s="41" t="s">
        <v>40</v>
      </c>
      <c r="C312" s="42">
        <v>992</v>
      </c>
      <c r="D312" s="43" t="s">
        <v>355</v>
      </c>
      <c r="E312" s="43">
        <v>5230010490</v>
      </c>
      <c r="F312" s="44">
        <v>200</v>
      </c>
      <c r="G312" s="45">
        <v>2838.5</v>
      </c>
      <c r="H312" s="66"/>
      <c r="I312" s="45">
        <f t="shared" si="45"/>
        <v>2838.5</v>
      </c>
      <c r="J312" s="47"/>
      <c r="K312" s="38"/>
      <c r="L312" s="47"/>
      <c r="M312" s="45">
        <f>SUM(G312)</f>
        <v>2838.5</v>
      </c>
      <c r="N312" s="45">
        <f t="shared" si="44"/>
        <v>0</v>
      </c>
      <c r="O312" s="45">
        <f t="shared" si="46"/>
        <v>2838.5</v>
      </c>
    </row>
    <row r="313" spans="1:15" ht="31.5" hidden="1" x14ac:dyDescent="0.2">
      <c r="A313" s="40"/>
      <c r="B313" s="41" t="s">
        <v>40</v>
      </c>
      <c r="C313" s="42"/>
      <c r="D313" s="43"/>
      <c r="E313" s="43"/>
      <c r="F313" s="44"/>
      <c r="G313" s="45"/>
      <c r="H313" s="38"/>
      <c r="I313" s="45"/>
      <c r="J313" s="47"/>
      <c r="K313" s="38"/>
      <c r="L313" s="47"/>
      <c r="M313" s="45"/>
      <c r="N313" s="45"/>
      <c r="O313" s="45"/>
    </row>
    <row r="314" spans="1:15" ht="31.5" x14ac:dyDescent="0.2">
      <c r="A314" s="33" t="s">
        <v>386</v>
      </c>
      <c r="B314" s="34" t="s">
        <v>387</v>
      </c>
      <c r="C314" s="35" t="s">
        <v>51</v>
      </c>
      <c r="D314" s="36" t="s">
        <v>388</v>
      </c>
      <c r="E314" s="36" t="s">
        <v>11</v>
      </c>
      <c r="F314" s="37" t="s">
        <v>11</v>
      </c>
      <c r="G314" s="38">
        <f t="shared" ref="G314:O315" si="47">G315</f>
        <v>91364.800000000003</v>
      </c>
      <c r="H314" s="45">
        <f t="shared" si="47"/>
        <v>0</v>
      </c>
      <c r="I314" s="38">
        <f t="shared" si="47"/>
        <v>91364.800000000003</v>
      </c>
      <c r="J314" s="39">
        <f t="shared" si="47"/>
        <v>0</v>
      </c>
      <c r="K314" s="45">
        <f t="shared" si="47"/>
        <v>0</v>
      </c>
      <c r="L314" s="39">
        <f t="shared" si="47"/>
        <v>0</v>
      </c>
      <c r="M314" s="38">
        <f t="shared" si="47"/>
        <v>91364.800000000003</v>
      </c>
      <c r="N314" s="38">
        <f t="shared" si="47"/>
        <v>0</v>
      </c>
      <c r="O314" s="38">
        <f t="shared" si="47"/>
        <v>91364.800000000003</v>
      </c>
    </row>
    <row r="315" spans="1:15" ht="31.5" x14ac:dyDescent="0.2">
      <c r="A315" s="40"/>
      <c r="B315" s="41" t="s">
        <v>245</v>
      </c>
      <c r="C315" s="42" t="s">
        <v>51</v>
      </c>
      <c r="D315" s="43" t="s">
        <v>388</v>
      </c>
      <c r="E315" s="43" t="s">
        <v>246</v>
      </c>
      <c r="F315" s="44" t="s">
        <v>11</v>
      </c>
      <c r="G315" s="45">
        <f t="shared" si="47"/>
        <v>91364.800000000003</v>
      </c>
      <c r="H315" s="45">
        <f>H316+H319</f>
        <v>0</v>
      </c>
      <c r="I315" s="45">
        <f t="shared" si="47"/>
        <v>91364.800000000003</v>
      </c>
      <c r="J315" s="46">
        <f t="shared" si="47"/>
        <v>0</v>
      </c>
      <c r="K315" s="45">
        <f>K316+K319</f>
        <v>0</v>
      </c>
      <c r="L315" s="46">
        <f t="shared" si="47"/>
        <v>0</v>
      </c>
      <c r="M315" s="45">
        <f t="shared" si="47"/>
        <v>91364.800000000003</v>
      </c>
      <c r="N315" s="45">
        <f t="shared" si="47"/>
        <v>0</v>
      </c>
      <c r="O315" s="45">
        <f t="shared" si="47"/>
        <v>91364.800000000003</v>
      </c>
    </row>
    <row r="316" spans="1:15" ht="15.75" x14ac:dyDescent="0.2">
      <c r="A316" s="40"/>
      <c r="B316" s="41" t="s">
        <v>247</v>
      </c>
      <c r="C316" s="42" t="s">
        <v>51</v>
      </c>
      <c r="D316" s="43" t="s">
        <v>388</v>
      </c>
      <c r="E316" s="43" t="s">
        <v>248</v>
      </c>
      <c r="F316" s="44" t="s">
        <v>11</v>
      </c>
      <c r="G316" s="45">
        <f>G317+G320</f>
        <v>91364.800000000003</v>
      </c>
      <c r="H316" s="45">
        <f>SUM(H320)</f>
        <v>0</v>
      </c>
      <c r="I316" s="45">
        <f>I317+I320</f>
        <v>91364.800000000003</v>
      </c>
      <c r="J316" s="46">
        <f>J317+J320</f>
        <v>0</v>
      </c>
      <c r="K316" s="45">
        <f t="shared" ref="G316:O318" si="48">K317</f>
        <v>0</v>
      </c>
      <c r="L316" s="46">
        <f>L317+L320</f>
        <v>0</v>
      </c>
      <c r="M316" s="45">
        <f>M317+M320+M323+M325</f>
        <v>91364.800000000003</v>
      </c>
      <c r="N316" s="45">
        <f>N317+N320</f>
        <v>0</v>
      </c>
      <c r="O316" s="45">
        <f>O317+O320</f>
        <v>91364.800000000003</v>
      </c>
    </row>
    <row r="317" spans="1:15" ht="31.5" x14ac:dyDescent="0.2">
      <c r="A317" s="40"/>
      <c r="B317" s="41" t="s">
        <v>389</v>
      </c>
      <c r="C317" s="42" t="s">
        <v>51</v>
      </c>
      <c r="D317" s="43" t="s">
        <v>388</v>
      </c>
      <c r="E317" s="43" t="s">
        <v>390</v>
      </c>
      <c r="F317" s="44" t="s">
        <v>11</v>
      </c>
      <c r="G317" s="45">
        <f t="shared" si="48"/>
        <v>7768.7</v>
      </c>
      <c r="H317" s="45">
        <f t="shared" si="48"/>
        <v>0</v>
      </c>
      <c r="I317" s="45">
        <f t="shared" si="48"/>
        <v>7768.7</v>
      </c>
      <c r="J317" s="46">
        <f t="shared" si="48"/>
        <v>0</v>
      </c>
      <c r="K317" s="45">
        <f t="shared" si="48"/>
        <v>0</v>
      </c>
      <c r="L317" s="46">
        <f t="shared" si="48"/>
        <v>0</v>
      </c>
      <c r="M317" s="45">
        <f t="shared" si="48"/>
        <v>7768.7</v>
      </c>
      <c r="N317" s="45">
        <f t="shared" si="48"/>
        <v>0</v>
      </c>
      <c r="O317" s="45">
        <f t="shared" si="48"/>
        <v>7768.7</v>
      </c>
    </row>
    <row r="318" spans="1:15" ht="31.5" x14ac:dyDescent="0.2">
      <c r="A318" s="40"/>
      <c r="B318" s="41" t="s">
        <v>134</v>
      </c>
      <c r="C318" s="42" t="s">
        <v>51</v>
      </c>
      <c r="D318" s="43" t="s">
        <v>388</v>
      </c>
      <c r="E318" s="43" t="s">
        <v>391</v>
      </c>
      <c r="F318" s="44" t="s">
        <v>11</v>
      </c>
      <c r="G318" s="45">
        <f t="shared" si="48"/>
        <v>7768.7</v>
      </c>
      <c r="H318" s="45"/>
      <c r="I318" s="45">
        <f t="shared" si="48"/>
        <v>7768.7</v>
      </c>
      <c r="J318" s="46">
        <f t="shared" si="48"/>
        <v>0</v>
      </c>
      <c r="K318" s="45"/>
      <c r="L318" s="46">
        <f t="shared" si="48"/>
        <v>0</v>
      </c>
      <c r="M318" s="45">
        <f t="shared" si="48"/>
        <v>7768.7</v>
      </c>
      <c r="N318" s="45">
        <f t="shared" si="48"/>
        <v>0</v>
      </c>
      <c r="O318" s="45">
        <f t="shared" si="48"/>
        <v>7768.7</v>
      </c>
    </row>
    <row r="319" spans="1:15" ht="33.6" customHeight="1" x14ac:dyDescent="0.2">
      <c r="A319" s="40"/>
      <c r="B319" s="41" t="s">
        <v>95</v>
      </c>
      <c r="C319" s="42" t="s">
        <v>51</v>
      </c>
      <c r="D319" s="43" t="s">
        <v>388</v>
      </c>
      <c r="E319" s="43" t="s">
        <v>391</v>
      </c>
      <c r="F319" s="44" t="s">
        <v>96</v>
      </c>
      <c r="G319" s="45">
        <v>7768.7</v>
      </c>
      <c r="H319" s="45"/>
      <c r="I319" s="45">
        <v>7768.7</v>
      </c>
      <c r="J319" s="47">
        <v>0</v>
      </c>
      <c r="K319" s="45"/>
      <c r="L319" s="47">
        <v>0</v>
      </c>
      <c r="M319" s="45">
        <v>7768.7</v>
      </c>
      <c r="N319" s="45"/>
      <c r="O319" s="45">
        <v>7768.7</v>
      </c>
    </row>
    <row r="320" spans="1:15" ht="47.25" x14ac:dyDescent="0.2">
      <c r="A320" s="40"/>
      <c r="B320" s="41" t="s">
        <v>249</v>
      </c>
      <c r="C320" s="42" t="s">
        <v>51</v>
      </c>
      <c r="D320" s="43" t="s">
        <v>388</v>
      </c>
      <c r="E320" s="43" t="s">
        <v>250</v>
      </c>
      <c r="F320" s="44" t="s">
        <v>11</v>
      </c>
      <c r="G320" s="45">
        <f>G321+G323+G325</f>
        <v>83596.100000000006</v>
      </c>
      <c r="H320" s="45">
        <f>H321+H325+H323</f>
        <v>0</v>
      </c>
      <c r="I320" s="45">
        <f>I321+I325+I323</f>
        <v>83596.100000000006</v>
      </c>
      <c r="J320" s="46">
        <f t="shared" ref="G320:O321" si="49">J321</f>
        <v>0</v>
      </c>
      <c r="K320" s="45">
        <f t="shared" si="49"/>
        <v>0</v>
      </c>
      <c r="L320" s="46">
        <f t="shared" si="49"/>
        <v>0</v>
      </c>
      <c r="M320" s="45">
        <f t="shared" si="49"/>
        <v>81676.100000000006</v>
      </c>
      <c r="N320" s="45">
        <f>N321+N325+N323</f>
        <v>0</v>
      </c>
      <c r="O320" s="45">
        <f>O321+O325+O323</f>
        <v>83596.100000000006</v>
      </c>
    </row>
    <row r="321" spans="1:16" ht="31.5" x14ac:dyDescent="0.2">
      <c r="A321" s="40"/>
      <c r="B321" s="41" t="s">
        <v>134</v>
      </c>
      <c r="C321" s="42" t="s">
        <v>51</v>
      </c>
      <c r="D321" s="43" t="s">
        <v>388</v>
      </c>
      <c r="E321" s="43" t="s">
        <v>251</v>
      </c>
      <c r="F321" s="44" t="s">
        <v>11</v>
      </c>
      <c r="G321" s="45">
        <f t="shared" si="49"/>
        <v>81676.100000000006</v>
      </c>
      <c r="H321" s="45">
        <f t="shared" si="49"/>
        <v>0</v>
      </c>
      <c r="I321" s="45">
        <f t="shared" si="49"/>
        <v>81676.100000000006</v>
      </c>
      <c r="J321" s="46">
        <f t="shared" si="49"/>
        <v>0</v>
      </c>
      <c r="K321" s="45"/>
      <c r="L321" s="46">
        <f t="shared" si="49"/>
        <v>0</v>
      </c>
      <c r="M321" s="45">
        <f t="shared" si="49"/>
        <v>81676.100000000006</v>
      </c>
      <c r="N321" s="45">
        <f t="shared" si="49"/>
        <v>0</v>
      </c>
      <c r="O321" s="45">
        <f t="shared" si="49"/>
        <v>81676.100000000006</v>
      </c>
    </row>
    <row r="322" spans="1:16" ht="33.6" customHeight="1" x14ac:dyDescent="0.2">
      <c r="A322" s="40"/>
      <c r="B322" s="41" t="s">
        <v>95</v>
      </c>
      <c r="C322" s="42" t="s">
        <v>51</v>
      </c>
      <c r="D322" s="43" t="s">
        <v>388</v>
      </c>
      <c r="E322" s="43" t="s">
        <v>251</v>
      </c>
      <c r="F322" s="44" t="s">
        <v>96</v>
      </c>
      <c r="G322" s="45">
        <v>81676.100000000006</v>
      </c>
      <c r="H322" s="45"/>
      <c r="I322" s="45">
        <f>SUM(G322)+H322</f>
        <v>81676.100000000006</v>
      </c>
      <c r="J322" s="47">
        <v>0</v>
      </c>
      <c r="K322" s="25"/>
      <c r="L322" s="47">
        <v>0</v>
      </c>
      <c r="M322" s="45">
        <f>SUM(G322)</f>
        <v>81676.100000000006</v>
      </c>
      <c r="N322" s="45">
        <f>SUM(H322)</f>
        <v>0</v>
      </c>
      <c r="O322" s="45">
        <f>SUM(M322)+N322</f>
        <v>81676.100000000006</v>
      </c>
    </row>
    <row r="323" spans="1:16" ht="33.6" customHeight="1" x14ac:dyDescent="0.2">
      <c r="A323" s="40"/>
      <c r="B323" s="71" t="s">
        <v>392</v>
      </c>
      <c r="C323" s="42">
        <v>992</v>
      </c>
      <c r="D323" s="43" t="s">
        <v>388</v>
      </c>
      <c r="E323" s="57" t="s">
        <v>393</v>
      </c>
      <c r="F323" s="44"/>
      <c r="G323" s="45">
        <f>SUM(G324)</f>
        <v>779</v>
      </c>
      <c r="H323" s="45"/>
      <c r="I323" s="45">
        <f>SUM(G323)</f>
        <v>779</v>
      </c>
      <c r="J323" s="47"/>
      <c r="K323" s="25"/>
      <c r="L323" s="47"/>
      <c r="M323" s="45">
        <f>SUM(G323)</f>
        <v>779</v>
      </c>
      <c r="N323" s="45">
        <f t="shared" ref="N323:O326" si="50">SUM(H323)</f>
        <v>0</v>
      </c>
      <c r="O323" s="45">
        <f t="shared" si="50"/>
        <v>779</v>
      </c>
    </row>
    <row r="324" spans="1:16" ht="33.6" customHeight="1" x14ac:dyDescent="0.2">
      <c r="A324" s="40"/>
      <c r="B324" s="41" t="s">
        <v>95</v>
      </c>
      <c r="C324" s="42">
        <v>992</v>
      </c>
      <c r="D324" s="43" t="s">
        <v>388</v>
      </c>
      <c r="E324" s="57" t="s">
        <v>393</v>
      </c>
      <c r="F324" s="44">
        <v>600</v>
      </c>
      <c r="G324" s="45">
        <v>779</v>
      </c>
      <c r="H324" s="45"/>
      <c r="I324" s="45">
        <f>SUM(G324)</f>
        <v>779</v>
      </c>
      <c r="J324" s="47"/>
      <c r="K324" s="25"/>
      <c r="L324" s="47"/>
      <c r="M324" s="45">
        <f>SUM(G324)</f>
        <v>779</v>
      </c>
      <c r="N324" s="45">
        <f t="shared" si="50"/>
        <v>0</v>
      </c>
      <c r="O324" s="45">
        <f t="shared" si="50"/>
        <v>779</v>
      </c>
    </row>
    <row r="325" spans="1:16" ht="51" customHeight="1" x14ac:dyDescent="0.2">
      <c r="A325" s="40"/>
      <c r="B325" s="41" t="s">
        <v>283</v>
      </c>
      <c r="C325" s="42">
        <v>992</v>
      </c>
      <c r="D325" s="43" t="s">
        <v>388</v>
      </c>
      <c r="E325" s="57" t="s">
        <v>284</v>
      </c>
      <c r="F325" s="44"/>
      <c r="G325" s="45">
        <f>SUM(G326)</f>
        <v>1141</v>
      </c>
      <c r="H325" s="45">
        <f>SUM(H326)</f>
        <v>0</v>
      </c>
      <c r="I325" s="45">
        <f>SUM(G325)</f>
        <v>1141</v>
      </c>
      <c r="J325" s="47"/>
      <c r="K325" s="25"/>
      <c r="L325" s="47"/>
      <c r="M325" s="45">
        <f>SUM(G325)</f>
        <v>1141</v>
      </c>
      <c r="N325" s="45">
        <f t="shared" si="50"/>
        <v>0</v>
      </c>
      <c r="O325" s="45">
        <f t="shared" si="50"/>
        <v>1141</v>
      </c>
    </row>
    <row r="326" spans="1:16" ht="33.6" customHeight="1" x14ac:dyDescent="0.2">
      <c r="A326" s="40"/>
      <c r="B326" s="41" t="s">
        <v>95</v>
      </c>
      <c r="C326" s="42">
        <v>992</v>
      </c>
      <c r="D326" s="43" t="s">
        <v>388</v>
      </c>
      <c r="E326" s="57" t="s">
        <v>284</v>
      </c>
      <c r="F326" s="44">
        <v>600</v>
      </c>
      <c r="G326" s="45">
        <v>1141</v>
      </c>
      <c r="H326" s="45"/>
      <c r="I326" s="45">
        <f>SUM(G326)</f>
        <v>1141</v>
      </c>
      <c r="J326" s="47"/>
      <c r="K326" s="25"/>
      <c r="L326" s="47"/>
      <c r="M326" s="45">
        <f>SUM(G326)</f>
        <v>1141</v>
      </c>
      <c r="N326" s="45">
        <f t="shared" si="50"/>
        <v>0</v>
      </c>
      <c r="O326" s="45">
        <f t="shared" si="50"/>
        <v>1141</v>
      </c>
    </row>
    <row r="327" spans="1:16" ht="15.75" x14ac:dyDescent="0.2">
      <c r="A327" s="20" t="s">
        <v>394</v>
      </c>
      <c r="B327" s="21" t="s">
        <v>395</v>
      </c>
      <c r="C327" s="22" t="s">
        <v>51</v>
      </c>
      <c r="D327" s="23" t="s">
        <v>396</v>
      </c>
      <c r="E327" s="23" t="s">
        <v>11</v>
      </c>
      <c r="F327" s="24" t="s">
        <v>11</v>
      </c>
      <c r="G327" s="25">
        <f>G328</f>
        <v>13912.1</v>
      </c>
      <c r="H327" s="38">
        <f>H328</f>
        <v>0</v>
      </c>
      <c r="I327" s="25">
        <f>I328</f>
        <v>13912.1</v>
      </c>
      <c r="J327" s="26">
        <f>J328</f>
        <v>156</v>
      </c>
      <c r="K327" s="38">
        <f>K328+K341</f>
        <v>0</v>
      </c>
      <c r="L327" s="26">
        <f>L328</f>
        <v>156</v>
      </c>
      <c r="M327" s="25">
        <f>M328</f>
        <v>14068.1</v>
      </c>
      <c r="N327" s="25">
        <f>N328</f>
        <v>0</v>
      </c>
      <c r="O327" s="25">
        <f>O328</f>
        <v>14068.1</v>
      </c>
      <c r="P327" s="17"/>
    </row>
    <row r="328" spans="1:16" ht="15.75" x14ac:dyDescent="0.2">
      <c r="A328" s="33" t="s">
        <v>397</v>
      </c>
      <c r="B328" s="34" t="s">
        <v>398</v>
      </c>
      <c r="C328" s="35" t="s">
        <v>51</v>
      </c>
      <c r="D328" s="36" t="s">
        <v>399</v>
      </c>
      <c r="E328" s="36" t="s">
        <v>11</v>
      </c>
      <c r="F328" s="37" t="s">
        <v>11</v>
      </c>
      <c r="G328" s="38">
        <f>G329+G344</f>
        <v>13912.1</v>
      </c>
      <c r="H328" s="45">
        <f>H329+H334</f>
        <v>0</v>
      </c>
      <c r="I328" s="38">
        <f>I329+I344</f>
        <v>13912.1</v>
      </c>
      <c r="J328" s="39">
        <f>J329+J344</f>
        <v>156</v>
      </c>
      <c r="K328" s="45">
        <f>K329+K334</f>
        <v>0</v>
      </c>
      <c r="L328" s="39">
        <f>L329+L344</f>
        <v>156</v>
      </c>
      <c r="M328" s="38">
        <f>M329+M344</f>
        <v>14068.1</v>
      </c>
      <c r="N328" s="38">
        <f>N329+N344</f>
        <v>0</v>
      </c>
      <c r="O328" s="38">
        <f>O329+O344</f>
        <v>14068.1</v>
      </c>
      <c r="P328" s="15"/>
    </row>
    <row r="329" spans="1:16" ht="31.5" x14ac:dyDescent="0.2">
      <c r="A329" s="40"/>
      <c r="B329" s="41" t="s">
        <v>400</v>
      </c>
      <c r="C329" s="42" t="s">
        <v>51</v>
      </c>
      <c r="D329" s="43" t="s">
        <v>399</v>
      </c>
      <c r="E329" s="43" t="s">
        <v>401</v>
      </c>
      <c r="F329" s="44" t="s">
        <v>11</v>
      </c>
      <c r="G329" s="45">
        <f>G330+G335</f>
        <v>13832.1</v>
      </c>
      <c r="H329" s="45">
        <f>H330+H332+H335+H340</f>
        <v>0</v>
      </c>
      <c r="I329" s="45">
        <f>I330+I335</f>
        <v>13832.1</v>
      </c>
      <c r="J329" s="45">
        <f>J330+J332+J335+J342</f>
        <v>156</v>
      </c>
      <c r="K329" s="45">
        <f>K330+K332+K335+K342</f>
        <v>0</v>
      </c>
      <c r="L329" s="45">
        <f>L330+L332+L335+L342</f>
        <v>156</v>
      </c>
      <c r="M329" s="45">
        <f>M330+M335</f>
        <v>13988.1</v>
      </c>
      <c r="N329" s="45">
        <f>N330+N335+K329</f>
        <v>0</v>
      </c>
      <c r="O329" s="45">
        <f>O330+O335+O342</f>
        <v>13988.1</v>
      </c>
    </row>
    <row r="330" spans="1:16" ht="47.25" x14ac:dyDescent="0.2">
      <c r="A330" s="40"/>
      <c r="B330" s="41" t="s">
        <v>402</v>
      </c>
      <c r="C330" s="42" t="s">
        <v>51</v>
      </c>
      <c r="D330" s="43" t="s">
        <v>399</v>
      </c>
      <c r="E330" s="43" t="s">
        <v>403</v>
      </c>
      <c r="F330" s="44" t="s">
        <v>11</v>
      </c>
      <c r="G330" s="45">
        <f>G331+G333</f>
        <v>2346.5</v>
      </c>
      <c r="H330" s="45">
        <f>H331</f>
        <v>0</v>
      </c>
      <c r="I330" s="45">
        <f>I331+I333</f>
        <v>2346.5</v>
      </c>
      <c r="J330" s="46">
        <f>J331+J333</f>
        <v>0</v>
      </c>
      <c r="K330" s="45">
        <f>K331</f>
        <v>0</v>
      </c>
      <c r="L330" s="46">
        <f>L331+L333</f>
        <v>0</v>
      </c>
      <c r="M330" s="45">
        <f>M331+M333</f>
        <v>2346.5</v>
      </c>
      <c r="N330" s="45">
        <f>N331+N333</f>
        <v>0</v>
      </c>
      <c r="O330" s="45">
        <f>O331+O333</f>
        <v>2346.5</v>
      </c>
    </row>
    <row r="331" spans="1:16" ht="47.25" x14ac:dyDescent="0.2">
      <c r="A331" s="40"/>
      <c r="B331" s="41" t="s">
        <v>404</v>
      </c>
      <c r="C331" s="42" t="s">
        <v>51</v>
      </c>
      <c r="D331" s="43" t="s">
        <v>399</v>
      </c>
      <c r="E331" s="43" t="s">
        <v>405</v>
      </c>
      <c r="F331" s="44" t="s">
        <v>11</v>
      </c>
      <c r="G331" s="45">
        <f>G332</f>
        <v>1500</v>
      </c>
      <c r="H331" s="45"/>
      <c r="I331" s="45">
        <f>I332</f>
        <v>1500</v>
      </c>
      <c r="J331" s="46">
        <f>J332</f>
        <v>0</v>
      </c>
      <c r="K331" s="45"/>
      <c r="L331" s="46">
        <f>L332</f>
        <v>0</v>
      </c>
      <c r="M331" s="45">
        <f>M332</f>
        <v>1500</v>
      </c>
      <c r="N331" s="45">
        <f>N332</f>
        <v>0</v>
      </c>
      <c r="O331" s="45">
        <f>O332</f>
        <v>1500</v>
      </c>
    </row>
    <row r="332" spans="1:16" ht="78.75" x14ac:dyDescent="0.2">
      <c r="A332" s="40"/>
      <c r="B332" s="41" t="s">
        <v>61</v>
      </c>
      <c r="C332" s="42" t="s">
        <v>51</v>
      </c>
      <c r="D332" s="43" t="s">
        <v>399</v>
      </c>
      <c r="E332" s="43" t="s">
        <v>405</v>
      </c>
      <c r="F332" s="44" t="s">
        <v>62</v>
      </c>
      <c r="G332" s="45">
        <v>1500</v>
      </c>
      <c r="H332" s="45"/>
      <c r="I332" s="45">
        <v>1500</v>
      </c>
      <c r="J332" s="47">
        <v>0</v>
      </c>
      <c r="K332" s="45"/>
      <c r="L332" s="47">
        <v>0</v>
      </c>
      <c r="M332" s="45">
        <v>1500</v>
      </c>
      <c r="N332" s="45"/>
      <c r="O332" s="45">
        <v>1500</v>
      </c>
    </row>
    <row r="333" spans="1:16" ht="47.25" x14ac:dyDescent="0.2">
      <c r="A333" s="40"/>
      <c r="B333" s="41" t="s">
        <v>406</v>
      </c>
      <c r="C333" s="42" t="s">
        <v>51</v>
      </c>
      <c r="D333" s="43" t="s">
        <v>399</v>
      </c>
      <c r="E333" s="43" t="s">
        <v>407</v>
      </c>
      <c r="F333" s="44" t="s">
        <v>11</v>
      </c>
      <c r="G333" s="45">
        <f>G334</f>
        <v>846.5</v>
      </c>
      <c r="H333" s="45"/>
      <c r="I333" s="45">
        <f>I334</f>
        <v>846.5</v>
      </c>
      <c r="J333" s="46">
        <f>J334</f>
        <v>0</v>
      </c>
      <c r="K333" s="45"/>
      <c r="L333" s="46">
        <f>L334</f>
        <v>0</v>
      </c>
      <c r="M333" s="45">
        <f>M334</f>
        <v>846.5</v>
      </c>
      <c r="N333" s="45">
        <f>N334</f>
        <v>0</v>
      </c>
      <c r="O333" s="45">
        <f>O334</f>
        <v>846.5</v>
      </c>
    </row>
    <row r="334" spans="1:16" ht="31.5" x14ac:dyDescent="0.2">
      <c r="A334" s="40"/>
      <c r="B334" s="41" t="s">
        <v>408</v>
      </c>
      <c r="C334" s="42" t="s">
        <v>51</v>
      </c>
      <c r="D334" s="43" t="s">
        <v>399</v>
      </c>
      <c r="E334" s="43" t="s">
        <v>407</v>
      </c>
      <c r="F334" s="44" t="s">
        <v>41</v>
      </c>
      <c r="G334" s="45">
        <v>846.5</v>
      </c>
      <c r="H334" s="45"/>
      <c r="I334" s="45">
        <v>846.5</v>
      </c>
      <c r="J334" s="47">
        <v>0</v>
      </c>
      <c r="K334" s="45"/>
      <c r="L334" s="47">
        <v>0</v>
      </c>
      <c r="M334" s="45">
        <v>846.5</v>
      </c>
      <c r="N334" s="45"/>
      <c r="O334" s="45">
        <v>846.5</v>
      </c>
    </row>
    <row r="335" spans="1:16" ht="49.15" customHeight="1" x14ac:dyDescent="0.2">
      <c r="A335" s="40"/>
      <c r="B335" s="41" t="s">
        <v>409</v>
      </c>
      <c r="C335" s="42" t="s">
        <v>51</v>
      </c>
      <c r="D335" s="43" t="s">
        <v>399</v>
      </c>
      <c r="E335" s="43" t="s">
        <v>410</v>
      </c>
      <c r="F335" s="44" t="s">
        <v>11</v>
      </c>
      <c r="G335" s="45">
        <f>G336+G340</f>
        <v>11485.6</v>
      </c>
      <c r="H335" s="45">
        <f>H336</f>
        <v>0</v>
      </c>
      <c r="I335" s="45">
        <f>I336+I340</f>
        <v>11485.6</v>
      </c>
      <c r="J335" s="46">
        <f>J336+J340</f>
        <v>0</v>
      </c>
      <c r="K335" s="45">
        <f>K336+K337+K342</f>
        <v>0</v>
      </c>
      <c r="L335" s="46">
        <f>L336+L340</f>
        <v>0</v>
      </c>
      <c r="M335" s="45">
        <f>M336+M340</f>
        <v>11641.6</v>
      </c>
      <c r="N335" s="45">
        <f>N336+N340</f>
        <v>0</v>
      </c>
      <c r="O335" s="45">
        <f>O336+O340</f>
        <v>11485.6</v>
      </c>
    </row>
    <row r="336" spans="1:16" ht="31.5" x14ac:dyDescent="0.2">
      <c r="A336" s="40"/>
      <c r="B336" s="41" t="s">
        <v>134</v>
      </c>
      <c r="C336" s="42" t="s">
        <v>51</v>
      </c>
      <c r="D336" s="43" t="s">
        <v>399</v>
      </c>
      <c r="E336" s="43" t="s">
        <v>411</v>
      </c>
      <c r="F336" s="44" t="s">
        <v>11</v>
      </c>
      <c r="G336" s="45">
        <f>G337+G338+G339</f>
        <v>10600.5</v>
      </c>
      <c r="H336" s="45">
        <f>H337+H338+H339</f>
        <v>0</v>
      </c>
      <c r="I336" s="45">
        <f>I337+I338+I339</f>
        <v>10600.5</v>
      </c>
      <c r="J336" s="46">
        <f>J337+J338+J339</f>
        <v>0</v>
      </c>
      <c r="K336" s="45">
        <f>SUM(K338)</f>
        <v>0</v>
      </c>
      <c r="L336" s="46">
        <f>L337+L338+L339</f>
        <v>0</v>
      </c>
      <c r="M336" s="45">
        <f>M337+M338+M339</f>
        <v>10600.5</v>
      </c>
      <c r="N336" s="45">
        <f>N337+N338+N339</f>
        <v>0</v>
      </c>
      <c r="O336" s="45">
        <f>O337+O338+O339</f>
        <v>10600.5</v>
      </c>
    </row>
    <row r="337" spans="1:16" ht="78.75" x14ac:dyDescent="0.2">
      <c r="A337" s="40"/>
      <c r="B337" s="41" t="s">
        <v>61</v>
      </c>
      <c r="C337" s="42" t="s">
        <v>51</v>
      </c>
      <c r="D337" s="43" t="s">
        <v>399</v>
      </c>
      <c r="E337" s="43" t="s">
        <v>411</v>
      </c>
      <c r="F337" s="44" t="s">
        <v>62</v>
      </c>
      <c r="G337" s="45">
        <v>8018.2</v>
      </c>
      <c r="H337" s="45"/>
      <c r="I337" s="45">
        <f>SUM(G337)</f>
        <v>8018.2</v>
      </c>
      <c r="J337" s="47">
        <v>0</v>
      </c>
      <c r="K337" s="45"/>
      <c r="L337" s="47">
        <v>0</v>
      </c>
      <c r="M337" s="45">
        <f>SUM(G337)</f>
        <v>8018.2</v>
      </c>
      <c r="N337" s="45">
        <f>SUM(H337)</f>
        <v>0</v>
      </c>
      <c r="O337" s="45">
        <f>SUM(I337)</f>
        <v>8018.2</v>
      </c>
    </row>
    <row r="338" spans="1:16" ht="31.5" x14ac:dyDescent="0.2">
      <c r="A338" s="40"/>
      <c r="B338" s="41" t="s">
        <v>40</v>
      </c>
      <c r="C338" s="42" t="s">
        <v>51</v>
      </c>
      <c r="D338" s="43" t="s">
        <v>399</v>
      </c>
      <c r="E338" s="43" t="s">
        <v>411</v>
      </c>
      <c r="F338" s="44" t="s">
        <v>41</v>
      </c>
      <c r="G338" s="45">
        <v>2578.6</v>
      </c>
      <c r="H338" s="45"/>
      <c r="I338" s="45">
        <f>SUM(G338)</f>
        <v>2578.6</v>
      </c>
      <c r="J338" s="47">
        <v>0</v>
      </c>
      <c r="K338" s="45"/>
      <c r="L338" s="46">
        <f>K338</f>
        <v>0</v>
      </c>
      <c r="M338" s="45">
        <f>SUM(G338)</f>
        <v>2578.6</v>
      </c>
      <c r="N338" s="45">
        <f>SUM(H338+K338)</f>
        <v>0</v>
      </c>
      <c r="O338" s="45">
        <f>SUM(I338)</f>
        <v>2578.6</v>
      </c>
    </row>
    <row r="339" spans="1:16" ht="15.75" x14ac:dyDescent="0.2">
      <c r="A339" s="40"/>
      <c r="B339" s="41" t="s">
        <v>338</v>
      </c>
      <c r="C339" s="42" t="s">
        <v>51</v>
      </c>
      <c r="D339" s="43" t="s">
        <v>399</v>
      </c>
      <c r="E339" s="43" t="s">
        <v>411</v>
      </c>
      <c r="F339" s="44" t="s">
        <v>71</v>
      </c>
      <c r="G339" s="45">
        <v>3.7</v>
      </c>
      <c r="H339" s="45"/>
      <c r="I339" s="45">
        <v>3.7</v>
      </c>
      <c r="J339" s="47">
        <v>0</v>
      </c>
      <c r="K339" s="45"/>
      <c r="L339" s="47">
        <v>0</v>
      </c>
      <c r="M339" s="45">
        <v>3.7</v>
      </c>
      <c r="N339" s="45"/>
      <c r="O339" s="45">
        <v>3.7</v>
      </c>
    </row>
    <row r="340" spans="1:16" ht="31.5" x14ac:dyDescent="0.2">
      <c r="A340" s="40"/>
      <c r="B340" s="41" t="s">
        <v>412</v>
      </c>
      <c r="C340" s="42" t="s">
        <v>51</v>
      </c>
      <c r="D340" s="43" t="s">
        <v>399</v>
      </c>
      <c r="E340" s="43" t="s">
        <v>413</v>
      </c>
      <c r="F340" s="44" t="s">
        <v>11</v>
      </c>
      <c r="G340" s="45">
        <f>G341</f>
        <v>885.1</v>
      </c>
      <c r="H340" s="45"/>
      <c r="I340" s="45">
        <f>I341</f>
        <v>885.1</v>
      </c>
      <c r="J340" s="46">
        <f>J341</f>
        <v>0</v>
      </c>
      <c r="K340" s="45"/>
      <c r="L340" s="46">
        <f>L341</f>
        <v>0</v>
      </c>
      <c r="M340" s="45">
        <f>M341+M342</f>
        <v>1041.0999999999999</v>
      </c>
      <c r="N340" s="45">
        <f>N341</f>
        <v>0</v>
      </c>
      <c r="O340" s="45">
        <f>O341</f>
        <v>885.1</v>
      </c>
    </row>
    <row r="341" spans="1:16" ht="31.5" x14ac:dyDescent="0.2">
      <c r="A341" s="40"/>
      <c r="B341" s="41" t="s">
        <v>40</v>
      </c>
      <c r="C341" s="42" t="s">
        <v>51</v>
      </c>
      <c r="D341" s="43" t="s">
        <v>399</v>
      </c>
      <c r="E341" s="43" t="s">
        <v>413</v>
      </c>
      <c r="F341" s="44" t="s">
        <v>41</v>
      </c>
      <c r="G341" s="45">
        <v>885.1</v>
      </c>
      <c r="H341" s="45"/>
      <c r="I341" s="45">
        <f>SUM(G341)</f>
        <v>885.1</v>
      </c>
      <c r="J341" s="47">
        <v>0</v>
      </c>
      <c r="K341" s="45"/>
      <c r="L341" s="47">
        <v>0</v>
      </c>
      <c r="M341" s="45">
        <f>SUM(G341)</f>
        <v>885.1</v>
      </c>
      <c r="N341" s="45">
        <f>SUM(H341)</f>
        <v>0</v>
      </c>
      <c r="O341" s="45">
        <f>SUM(M341)</f>
        <v>885.1</v>
      </c>
    </row>
    <row r="342" spans="1:16" ht="78.75" x14ac:dyDescent="0.2">
      <c r="A342" s="40"/>
      <c r="B342" s="68" t="s">
        <v>414</v>
      </c>
      <c r="C342" s="42">
        <v>992</v>
      </c>
      <c r="D342" s="43" t="s">
        <v>399</v>
      </c>
      <c r="E342" s="57" t="s">
        <v>415</v>
      </c>
      <c r="F342" s="44"/>
      <c r="G342" s="45"/>
      <c r="H342" s="45"/>
      <c r="I342" s="45"/>
      <c r="J342" s="47">
        <v>156</v>
      </c>
      <c r="K342" s="45"/>
      <c r="L342" s="47">
        <f>SUM(L343)</f>
        <v>156</v>
      </c>
      <c r="M342" s="45">
        <f t="shared" ref="M342:O343" si="51">SUM(J342)</f>
        <v>156</v>
      </c>
      <c r="N342" s="45">
        <f t="shared" si="51"/>
        <v>0</v>
      </c>
      <c r="O342" s="45">
        <f t="shared" si="51"/>
        <v>156</v>
      </c>
    </row>
    <row r="343" spans="1:16" ht="31.5" x14ac:dyDescent="0.2">
      <c r="A343" s="40"/>
      <c r="B343" s="41" t="s">
        <v>40</v>
      </c>
      <c r="C343" s="42">
        <v>992</v>
      </c>
      <c r="D343" s="43" t="s">
        <v>399</v>
      </c>
      <c r="E343" s="57" t="s">
        <v>415</v>
      </c>
      <c r="F343" s="44">
        <v>200</v>
      </c>
      <c r="G343" s="45"/>
      <c r="H343" s="45"/>
      <c r="I343" s="45"/>
      <c r="J343" s="47">
        <v>156</v>
      </c>
      <c r="K343" s="45"/>
      <c r="L343" s="47">
        <f>SUM(J343)</f>
        <v>156</v>
      </c>
      <c r="M343" s="45">
        <f t="shared" si="51"/>
        <v>156</v>
      </c>
      <c r="N343" s="45">
        <f t="shared" si="51"/>
        <v>0</v>
      </c>
      <c r="O343" s="45">
        <f t="shared" si="51"/>
        <v>156</v>
      </c>
    </row>
    <row r="344" spans="1:16" ht="31.5" x14ac:dyDescent="0.2">
      <c r="A344" s="40"/>
      <c r="B344" s="41" t="s">
        <v>87</v>
      </c>
      <c r="C344" s="42" t="s">
        <v>51</v>
      </c>
      <c r="D344" s="43" t="s">
        <v>399</v>
      </c>
      <c r="E344" s="43" t="s">
        <v>88</v>
      </c>
      <c r="F344" s="44" t="s">
        <v>11</v>
      </c>
      <c r="G344" s="45">
        <f t="shared" ref="G344:O347" si="52">G345</f>
        <v>80</v>
      </c>
      <c r="H344" s="45">
        <f t="shared" si="52"/>
        <v>0</v>
      </c>
      <c r="I344" s="45">
        <f t="shared" si="52"/>
        <v>80</v>
      </c>
      <c r="J344" s="46">
        <f t="shared" si="52"/>
        <v>0</v>
      </c>
      <c r="K344" s="45">
        <f>K345</f>
        <v>0</v>
      </c>
      <c r="L344" s="46">
        <f t="shared" si="52"/>
        <v>0</v>
      </c>
      <c r="M344" s="45">
        <f t="shared" si="52"/>
        <v>80</v>
      </c>
      <c r="N344" s="45">
        <f t="shared" si="52"/>
        <v>0</v>
      </c>
      <c r="O344" s="45">
        <f t="shared" si="52"/>
        <v>80</v>
      </c>
    </row>
    <row r="345" spans="1:16" ht="47.25" x14ac:dyDescent="0.2">
      <c r="A345" s="40"/>
      <c r="B345" s="41" t="s">
        <v>89</v>
      </c>
      <c r="C345" s="42" t="s">
        <v>51</v>
      </c>
      <c r="D345" s="43" t="s">
        <v>399</v>
      </c>
      <c r="E345" s="43" t="s">
        <v>90</v>
      </c>
      <c r="F345" s="44" t="s">
        <v>11</v>
      </c>
      <c r="G345" s="45">
        <f t="shared" si="52"/>
        <v>80</v>
      </c>
      <c r="H345" s="45">
        <f t="shared" si="52"/>
        <v>0</v>
      </c>
      <c r="I345" s="45">
        <f t="shared" si="52"/>
        <v>80</v>
      </c>
      <c r="J345" s="46">
        <f t="shared" si="52"/>
        <v>0</v>
      </c>
      <c r="K345" s="45">
        <f>K346</f>
        <v>0</v>
      </c>
      <c r="L345" s="46">
        <f t="shared" si="52"/>
        <v>0</v>
      </c>
      <c r="M345" s="45">
        <f t="shared" si="52"/>
        <v>80</v>
      </c>
      <c r="N345" s="45">
        <f t="shared" si="52"/>
        <v>0</v>
      </c>
      <c r="O345" s="45">
        <f t="shared" si="52"/>
        <v>80</v>
      </c>
    </row>
    <row r="346" spans="1:16" ht="78.75" x14ac:dyDescent="0.2">
      <c r="A346" s="40"/>
      <c r="B346" s="41" t="s">
        <v>91</v>
      </c>
      <c r="C346" s="42" t="s">
        <v>51</v>
      </c>
      <c r="D346" s="43" t="s">
        <v>399</v>
      </c>
      <c r="E346" s="43" t="s">
        <v>92</v>
      </c>
      <c r="F346" s="44" t="s">
        <v>11</v>
      </c>
      <c r="G346" s="45">
        <f t="shared" si="52"/>
        <v>80</v>
      </c>
      <c r="H346" s="45">
        <f t="shared" si="52"/>
        <v>0</v>
      </c>
      <c r="I346" s="45">
        <f t="shared" si="52"/>
        <v>80</v>
      </c>
      <c r="J346" s="46">
        <f t="shared" si="52"/>
        <v>0</v>
      </c>
      <c r="K346" s="45">
        <f>K347</f>
        <v>0</v>
      </c>
      <c r="L346" s="46">
        <f t="shared" si="52"/>
        <v>0</v>
      </c>
      <c r="M346" s="45">
        <f t="shared" si="52"/>
        <v>80</v>
      </c>
      <c r="N346" s="45">
        <f t="shared" si="52"/>
        <v>0</v>
      </c>
      <c r="O346" s="45">
        <f t="shared" si="52"/>
        <v>80</v>
      </c>
    </row>
    <row r="347" spans="1:16" ht="47.25" x14ac:dyDescent="0.2">
      <c r="A347" s="40"/>
      <c r="B347" s="41" t="s">
        <v>93</v>
      </c>
      <c r="C347" s="42" t="s">
        <v>51</v>
      </c>
      <c r="D347" s="43" t="s">
        <v>399</v>
      </c>
      <c r="E347" s="43" t="s">
        <v>94</v>
      </c>
      <c r="F347" s="44" t="s">
        <v>11</v>
      </c>
      <c r="G347" s="45">
        <f>G348</f>
        <v>80</v>
      </c>
      <c r="H347" s="45"/>
      <c r="I347" s="45">
        <f>I348</f>
        <v>80</v>
      </c>
      <c r="J347" s="46">
        <f t="shared" si="52"/>
        <v>0</v>
      </c>
      <c r="K347" s="45"/>
      <c r="L347" s="46">
        <f t="shared" si="52"/>
        <v>0</v>
      </c>
      <c r="M347" s="45">
        <f t="shared" si="52"/>
        <v>80</v>
      </c>
      <c r="N347" s="45">
        <f t="shared" si="52"/>
        <v>0</v>
      </c>
      <c r="O347" s="45">
        <f t="shared" si="52"/>
        <v>80</v>
      </c>
    </row>
    <row r="348" spans="1:16" ht="30.6" customHeight="1" x14ac:dyDescent="0.2">
      <c r="A348" s="40"/>
      <c r="B348" s="41" t="s">
        <v>95</v>
      </c>
      <c r="C348" s="42" t="s">
        <v>51</v>
      </c>
      <c r="D348" s="43" t="s">
        <v>399</v>
      </c>
      <c r="E348" s="43" t="s">
        <v>94</v>
      </c>
      <c r="F348" s="44" t="s">
        <v>96</v>
      </c>
      <c r="G348" s="45">
        <v>80</v>
      </c>
      <c r="H348" s="25"/>
      <c r="I348" s="45">
        <v>80</v>
      </c>
      <c r="J348" s="47">
        <v>0</v>
      </c>
      <c r="K348" s="25"/>
      <c r="L348" s="47">
        <v>0</v>
      </c>
      <c r="M348" s="45">
        <v>80</v>
      </c>
      <c r="N348" s="45"/>
      <c r="O348" s="45">
        <v>80</v>
      </c>
    </row>
    <row r="349" spans="1:16" ht="15.75" x14ac:dyDescent="0.2">
      <c r="A349" s="20" t="s">
        <v>416</v>
      </c>
      <c r="B349" s="21" t="s">
        <v>417</v>
      </c>
      <c r="C349" s="22" t="s">
        <v>51</v>
      </c>
      <c r="D349" s="23" t="s">
        <v>418</v>
      </c>
      <c r="E349" s="23" t="s">
        <v>11</v>
      </c>
      <c r="F349" s="24" t="s">
        <v>11</v>
      </c>
      <c r="G349" s="25">
        <f>G350+G356+G362+G368</f>
        <v>11586.2</v>
      </c>
      <c r="H349" s="38">
        <f>H350</f>
        <v>0</v>
      </c>
      <c r="I349" s="25">
        <f>I350+I356+I362+I368</f>
        <v>11586.2</v>
      </c>
      <c r="J349" s="26">
        <f>J350+J356+J362+J368</f>
        <v>3074.2</v>
      </c>
      <c r="K349" s="38">
        <f>K350</f>
        <v>0</v>
      </c>
      <c r="L349" s="26">
        <f>L350+L356+L362+L368</f>
        <v>3074.2</v>
      </c>
      <c r="M349" s="25">
        <f>M350+M356+M362+M368</f>
        <v>14660.4</v>
      </c>
      <c r="N349" s="25">
        <f>N350+N356+N362+N368</f>
        <v>0</v>
      </c>
      <c r="O349" s="25">
        <f>O350+O356+O362+O368</f>
        <v>14660.4</v>
      </c>
      <c r="P349" s="17"/>
    </row>
    <row r="350" spans="1:16" ht="15.75" x14ac:dyDescent="0.2">
      <c r="A350" s="33" t="s">
        <v>419</v>
      </c>
      <c r="B350" s="34" t="s">
        <v>420</v>
      </c>
      <c r="C350" s="35" t="s">
        <v>51</v>
      </c>
      <c r="D350" s="36" t="s">
        <v>421</v>
      </c>
      <c r="E350" s="36" t="s">
        <v>11</v>
      </c>
      <c r="F350" s="37" t="s">
        <v>11</v>
      </c>
      <c r="G350" s="38">
        <f>G351</f>
        <v>4040</v>
      </c>
      <c r="H350" s="45">
        <f>H351</f>
        <v>0</v>
      </c>
      <c r="I350" s="38">
        <f>I351</f>
        <v>4040</v>
      </c>
      <c r="J350" s="39">
        <f t="shared" ref="J350:O354" si="53">J351</f>
        <v>0</v>
      </c>
      <c r="K350" s="45">
        <f>K351</f>
        <v>0</v>
      </c>
      <c r="L350" s="39">
        <f t="shared" si="53"/>
        <v>0</v>
      </c>
      <c r="M350" s="38">
        <f t="shared" si="53"/>
        <v>4040</v>
      </c>
      <c r="N350" s="38">
        <f t="shared" si="53"/>
        <v>0</v>
      </c>
      <c r="O350" s="38">
        <f t="shared" si="53"/>
        <v>4040</v>
      </c>
    </row>
    <row r="351" spans="1:16" ht="31.5" x14ac:dyDescent="0.2">
      <c r="A351" s="40"/>
      <c r="B351" s="41" t="s">
        <v>87</v>
      </c>
      <c r="C351" s="42" t="s">
        <v>51</v>
      </c>
      <c r="D351" s="43" t="s">
        <v>421</v>
      </c>
      <c r="E351" s="43" t="s">
        <v>88</v>
      </c>
      <c r="F351" s="44" t="s">
        <v>11</v>
      </c>
      <c r="G351" s="45">
        <f>G352</f>
        <v>4040</v>
      </c>
      <c r="H351" s="45">
        <f>H352</f>
        <v>0</v>
      </c>
      <c r="I351" s="45">
        <f>I352</f>
        <v>4040</v>
      </c>
      <c r="J351" s="46">
        <f t="shared" si="53"/>
        <v>0</v>
      </c>
      <c r="K351" s="45">
        <f>K352</f>
        <v>0</v>
      </c>
      <c r="L351" s="46">
        <f t="shared" si="53"/>
        <v>0</v>
      </c>
      <c r="M351" s="45">
        <f t="shared" si="53"/>
        <v>4040</v>
      </c>
      <c r="N351" s="45">
        <f t="shared" si="53"/>
        <v>0</v>
      </c>
      <c r="O351" s="45">
        <f t="shared" si="53"/>
        <v>4040</v>
      </c>
    </row>
    <row r="352" spans="1:16" ht="31.5" x14ac:dyDescent="0.2">
      <c r="A352" s="40"/>
      <c r="B352" s="41" t="s">
        <v>422</v>
      </c>
      <c r="C352" s="42" t="s">
        <v>51</v>
      </c>
      <c r="D352" s="43" t="s">
        <v>421</v>
      </c>
      <c r="E352" s="43" t="s">
        <v>423</v>
      </c>
      <c r="F352" s="44" t="s">
        <v>11</v>
      </c>
      <c r="G352" s="45">
        <f>G353</f>
        <v>4040</v>
      </c>
      <c r="H352" s="45">
        <f>H353</f>
        <v>0</v>
      </c>
      <c r="I352" s="45">
        <f>I353</f>
        <v>4040</v>
      </c>
      <c r="J352" s="46">
        <f t="shared" si="53"/>
        <v>0</v>
      </c>
      <c r="K352" s="45">
        <f>K353</f>
        <v>0</v>
      </c>
      <c r="L352" s="46">
        <f t="shared" si="53"/>
        <v>0</v>
      </c>
      <c r="M352" s="45">
        <f t="shared" si="53"/>
        <v>4040</v>
      </c>
      <c r="N352" s="45">
        <f t="shared" si="53"/>
        <v>0</v>
      </c>
      <c r="O352" s="45">
        <f t="shared" si="53"/>
        <v>4040</v>
      </c>
    </row>
    <row r="353" spans="1:15" ht="47.25" x14ac:dyDescent="0.2">
      <c r="A353" s="40"/>
      <c r="B353" s="41" t="s">
        <v>424</v>
      </c>
      <c r="C353" s="42" t="s">
        <v>51</v>
      </c>
      <c r="D353" s="43" t="s">
        <v>421</v>
      </c>
      <c r="E353" s="43" t="s">
        <v>425</v>
      </c>
      <c r="F353" s="44" t="s">
        <v>11</v>
      </c>
      <c r="G353" s="45">
        <f>G354</f>
        <v>4040</v>
      </c>
      <c r="H353" s="45">
        <f>H354</f>
        <v>0</v>
      </c>
      <c r="I353" s="45">
        <f>I354</f>
        <v>4040</v>
      </c>
      <c r="J353" s="46">
        <f t="shared" si="53"/>
        <v>0</v>
      </c>
      <c r="K353" s="45">
        <f>K354</f>
        <v>0</v>
      </c>
      <c r="L353" s="46">
        <f t="shared" si="53"/>
        <v>0</v>
      </c>
      <c r="M353" s="45">
        <f t="shared" si="53"/>
        <v>4040</v>
      </c>
      <c r="N353" s="45">
        <f t="shared" si="53"/>
        <v>0</v>
      </c>
      <c r="O353" s="45">
        <f t="shared" si="53"/>
        <v>4040</v>
      </c>
    </row>
    <row r="354" spans="1:15" ht="33" customHeight="1" x14ac:dyDescent="0.2">
      <c r="A354" s="40"/>
      <c r="B354" s="41" t="s">
        <v>426</v>
      </c>
      <c r="C354" s="42" t="s">
        <v>51</v>
      </c>
      <c r="D354" s="43" t="s">
        <v>421</v>
      </c>
      <c r="E354" s="43" t="s">
        <v>427</v>
      </c>
      <c r="F354" s="44" t="s">
        <v>11</v>
      </c>
      <c r="G354" s="45">
        <f>G355</f>
        <v>4040</v>
      </c>
      <c r="H354" s="45"/>
      <c r="I354" s="45">
        <f>I355</f>
        <v>4040</v>
      </c>
      <c r="J354" s="46">
        <f t="shared" si="53"/>
        <v>0</v>
      </c>
      <c r="K354" s="45"/>
      <c r="L354" s="46">
        <f t="shared" si="53"/>
        <v>0</v>
      </c>
      <c r="M354" s="45">
        <f t="shared" si="53"/>
        <v>4040</v>
      </c>
      <c r="N354" s="45">
        <f t="shared" si="53"/>
        <v>0</v>
      </c>
      <c r="O354" s="45">
        <f t="shared" si="53"/>
        <v>4040</v>
      </c>
    </row>
    <row r="355" spans="1:15" ht="31.5" x14ac:dyDescent="0.2">
      <c r="A355" s="40"/>
      <c r="B355" s="41" t="s">
        <v>112</v>
      </c>
      <c r="C355" s="42" t="s">
        <v>51</v>
      </c>
      <c r="D355" s="43" t="s">
        <v>421</v>
      </c>
      <c r="E355" s="43" t="s">
        <v>427</v>
      </c>
      <c r="F355" s="44" t="s">
        <v>113</v>
      </c>
      <c r="G355" s="45">
        <v>4040</v>
      </c>
      <c r="H355" s="38"/>
      <c r="I355" s="45">
        <v>4040</v>
      </c>
      <c r="J355" s="47">
        <v>0</v>
      </c>
      <c r="K355" s="38"/>
      <c r="L355" s="47">
        <v>0</v>
      </c>
      <c r="M355" s="45">
        <v>4040</v>
      </c>
      <c r="N355" s="45"/>
      <c r="O355" s="45">
        <v>4040</v>
      </c>
    </row>
    <row r="356" spans="1:15" ht="15.75" x14ac:dyDescent="0.2">
      <c r="A356" s="33" t="s">
        <v>428</v>
      </c>
      <c r="B356" s="34" t="s">
        <v>429</v>
      </c>
      <c r="C356" s="35" t="s">
        <v>51</v>
      </c>
      <c r="D356" s="36" t="s">
        <v>430</v>
      </c>
      <c r="E356" s="36" t="s">
        <v>11</v>
      </c>
      <c r="F356" s="37" t="s">
        <v>11</v>
      </c>
      <c r="G356" s="38">
        <f t="shared" ref="G356:O360" si="54">G357</f>
        <v>4496</v>
      </c>
      <c r="H356" s="45">
        <f t="shared" si="54"/>
        <v>0</v>
      </c>
      <c r="I356" s="38">
        <f t="shared" si="54"/>
        <v>4496</v>
      </c>
      <c r="J356" s="39">
        <f t="shared" si="54"/>
        <v>0</v>
      </c>
      <c r="K356" s="45">
        <f>K357</f>
        <v>0</v>
      </c>
      <c r="L356" s="39">
        <f t="shared" si="54"/>
        <v>0</v>
      </c>
      <c r="M356" s="38">
        <f t="shared" si="54"/>
        <v>4496</v>
      </c>
      <c r="N356" s="38">
        <f t="shared" si="54"/>
        <v>0</v>
      </c>
      <c r="O356" s="38">
        <f t="shared" si="54"/>
        <v>4496</v>
      </c>
    </row>
    <row r="357" spans="1:15" ht="31.5" x14ac:dyDescent="0.2">
      <c r="A357" s="40"/>
      <c r="B357" s="41" t="s">
        <v>87</v>
      </c>
      <c r="C357" s="42" t="s">
        <v>51</v>
      </c>
      <c r="D357" s="43" t="s">
        <v>430</v>
      </c>
      <c r="E357" s="43" t="s">
        <v>88</v>
      </c>
      <c r="F357" s="44" t="s">
        <v>11</v>
      </c>
      <c r="G357" s="45">
        <f t="shared" si="54"/>
        <v>4496</v>
      </c>
      <c r="H357" s="45">
        <f t="shared" si="54"/>
        <v>0</v>
      </c>
      <c r="I357" s="45">
        <f t="shared" si="54"/>
        <v>4496</v>
      </c>
      <c r="J357" s="46">
        <f t="shared" si="54"/>
        <v>0</v>
      </c>
      <c r="K357" s="45">
        <f>K358</f>
        <v>0</v>
      </c>
      <c r="L357" s="46">
        <f t="shared" si="54"/>
        <v>0</v>
      </c>
      <c r="M357" s="45">
        <f t="shared" si="54"/>
        <v>4496</v>
      </c>
      <c r="N357" s="45">
        <f t="shared" si="54"/>
        <v>0</v>
      </c>
      <c r="O357" s="45">
        <f t="shared" si="54"/>
        <v>4496</v>
      </c>
    </row>
    <row r="358" spans="1:15" ht="31.5" x14ac:dyDescent="0.2">
      <c r="A358" s="40"/>
      <c r="B358" s="41" t="s">
        <v>422</v>
      </c>
      <c r="C358" s="42" t="s">
        <v>51</v>
      </c>
      <c r="D358" s="43" t="s">
        <v>430</v>
      </c>
      <c r="E358" s="43" t="s">
        <v>423</v>
      </c>
      <c r="F358" s="44" t="s">
        <v>11</v>
      </c>
      <c r="G358" s="45">
        <f t="shared" si="54"/>
        <v>4496</v>
      </c>
      <c r="H358" s="45">
        <f t="shared" si="54"/>
        <v>0</v>
      </c>
      <c r="I358" s="45">
        <f t="shared" si="54"/>
        <v>4496</v>
      </c>
      <c r="J358" s="46">
        <f t="shared" si="54"/>
        <v>0</v>
      </c>
      <c r="K358" s="45">
        <f>K359</f>
        <v>0</v>
      </c>
      <c r="L358" s="46">
        <f t="shared" si="54"/>
        <v>0</v>
      </c>
      <c r="M358" s="45">
        <f t="shared" si="54"/>
        <v>4496</v>
      </c>
      <c r="N358" s="45">
        <f t="shared" si="54"/>
        <v>0</v>
      </c>
      <c r="O358" s="45">
        <f t="shared" si="54"/>
        <v>4496</v>
      </c>
    </row>
    <row r="359" spans="1:15" ht="31.5" x14ac:dyDescent="0.2">
      <c r="A359" s="40"/>
      <c r="B359" s="41" t="s">
        <v>431</v>
      </c>
      <c r="C359" s="42" t="s">
        <v>51</v>
      </c>
      <c r="D359" s="43" t="s">
        <v>430</v>
      </c>
      <c r="E359" s="43" t="s">
        <v>432</v>
      </c>
      <c r="F359" s="44" t="s">
        <v>11</v>
      </c>
      <c r="G359" s="45">
        <f t="shared" si="54"/>
        <v>4496</v>
      </c>
      <c r="H359" s="45">
        <f t="shared" si="54"/>
        <v>0</v>
      </c>
      <c r="I359" s="45">
        <f t="shared" si="54"/>
        <v>4496</v>
      </c>
      <c r="J359" s="46">
        <f t="shared" si="54"/>
        <v>0</v>
      </c>
      <c r="K359" s="45">
        <f>K360</f>
        <v>0</v>
      </c>
      <c r="L359" s="46">
        <f t="shared" si="54"/>
        <v>0</v>
      </c>
      <c r="M359" s="45">
        <f t="shared" si="54"/>
        <v>4496</v>
      </c>
      <c r="N359" s="45">
        <f t="shared" si="54"/>
        <v>0</v>
      </c>
      <c r="O359" s="45">
        <f t="shared" si="54"/>
        <v>4496</v>
      </c>
    </row>
    <row r="360" spans="1:15" ht="21" customHeight="1" x14ac:dyDescent="0.2">
      <c r="A360" s="40"/>
      <c r="B360" s="41" t="s">
        <v>433</v>
      </c>
      <c r="C360" s="42" t="s">
        <v>51</v>
      </c>
      <c r="D360" s="43" t="s">
        <v>430</v>
      </c>
      <c r="E360" s="43" t="s">
        <v>434</v>
      </c>
      <c r="F360" s="44" t="s">
        <v>11</v>
      </c>
      <c r="G360" s="45">
        <f>G361</f>
        <v>4496</v>
      </c>
      <c r="H360" s="45"/>
      <c r="I360" s="45">
        <f>I361</f>
        <v>4496</v>
      </c>
      <c r="J360" s="46">
        <f t="shared" si="54"/>
        <v>0</v>
      </c>
      <c r="K360" s="45"/>
      <c r="L360" s="46">
        <f t="shared" si="54"/>
        <v>0</v>
      </c>
      <c r="M360" s="45">
        <f t="shared" si="54"/>
        <v>4496</v>
      </c>
      <c r="N360" s="45">
        <f t="shared" si="54"/>
        <v>0</v>
      </c>
      <c r="O360" s="45">
        <f t="shared" si="54"/>
        <v>4496</v>
      </c>
    </row>
    <row r="361" spans="1:15" ht="31.5" x14ac:dyDescent="0.2">
      <c r="A361" s="40"/>
      <c r="B361" s="41" t="s">
        <v>112</v>
      </c>
      <c r="C361" s="42" t="s">
        <v>51</v>
      </c>
      <c r="D361" s="43" t="s">
        <v>430</v>
      </c>
      <c r="E361" s="43" t="s">
        <v>434</v>
      </c>
      <c r="F361" s="44" t="s">
        <v>113</v>
      </c>
      <c r="G361" s="45">
        <v>4496</v>
      </c>
      <c r="H361" s="38"/>
      <c r="I361" s="45">
        <v>4496</v>
      </c>
      <c r="J361" s="47">
        <v>0</v>
      </c>
      <c r="K361" s="38"/>
      <c r="L361" s="47">
        <v>0</v>
      </c>
      <c r="M361" s="45">
        <v>4496</v>
      </c>
      <c r="N361" s="45"/>
      <c r="O361" s="45">
        <v>4496</v>
      </c>
    </row>
    <row r="362" spans="1:15" ht="15.75" x14ac:dyDescent="0.2">
      <c r="A362" s="33" t="s">
        <v>435</v>
      </c>
      <c r="B362" s="34" t="s">
        <v>436</v>
      </c>
      <c r="C362" s="35" t="s">
        <v>51</v>
      </c>
      <c r="D362" s="36" t="s">
        <v>437</v>
      </c>
      <c r="E362" s="36" t="s">
        <v>11</v>
      </c>
      <c r="F362" s="37" t="s">
        <v>11</v>
      </c>
      <c r="G362" s="38">
        <f t="shared" ref="G362:O366" si="55">G363</f>
        <v>2930.2</v>
      </c>
      <c r="H362" s="45">
        <f t="shared" si="55"/>
        <v>0</v>
      </c>
      <c r="I362" s="38">
        <f t="shared" si="55"/>
        <v>2930.2</v>
      </c>
      <c r="J362" s="39">
        <f t="shared" si="55"/>
        <v>3074.2</v>
      </c>
      <c r="K362" s="45">
        <f>K363</f>
        <v>0</v>
      </c>
      <c r="L362" s="39">
        <f t="shared" si="55"/>
        <v>3074.2</v>
      </c>
      <c r="M362" s="38">
        <f t="shared" si="55"/>
        <v>6004.4</v>
      </c>
      <c r="N362" s="38">
        <f t="shared" si="55"/>
        <v>0</v>
      </c>
      <c r="O362" s="38">
        <f t="shared" si="55"/>
        <v>6004.4</v>
      </c>
    </row>
    <row r="363" spans="1:15" ht="31.5" x14ac:dyDescent="0.2">
      <c r="A363" s="40"/>
      <c r="B363" s="41" t="s">
        <v>245</v>
      </c>
      <c r="C363" s="42" t="s">
        <v>51</v>
      </c>
      <c r="D363" s="43" t="s">
        <v>437</v>
      </c>
      <c r="E363" s="43" t="s">
        <v>246</v>
      </c>
      <c r="F363" s="44" t="s">
        <v>11</v>
      </c>
      <c r="G363" s="45">
        <f t="shared" si="55"/>
        <v>2930.2</v>
      </c>
      <c r="H363" s="45">
        <f t="shared" si="55"/>
        <v>0</v>
      </c>
      <c r="I363" s="45">
        <f t="shared" si="55"/>
        <v>2930.2</v>
      </c>
      <c r="J363" s="46">
        <f t="shared" si="55"/>
        <v>3074.2</v>
      </c>
      <c r="K363" s="45">
        <f>K364</f>
        <v>0</v>
      </c>
      <c r="L363" s="46">
        <f t="shared" si="55"/>
        <v>3074.2</v>
      </c>
      <c r="M363" s="45">
        <f t="shared" si="55"/>
        <v>6004.4</v>
      </c>
      <c r="N363" s="45">
        <f t="shared" si="55"/>
        <v>0</v>
      </c>
      <c r="O363" s="45">
        <f t="shared" si="55"/>
        <v>6004.4</v>
      </c>
    </row>
    <row r="364" spans="1:15" ht="31.5" x14ac:dyDescent="0.2">
      <c r="A364" s="40"/>
      <c r="B364" s="41" t="s">
        <v>438</v>
      </c>
      <c r="C364" s="42" t="s">
        <v>51</v>
      </c>
      <c r="D364" s="43" t="s">
        <v>437</v>
      </c>
      <c r="E364" s="43" t="s">
        <v>439</v>
      </c>
      <c r="F364" s="44" t="s">
        <v>11</v>
      </c>
      <c r="G364" s="45">
        <f t="shared" si="55"/>
        <v>2930.2</v>
      </c>
      <c r="H364" s="45">
        <f t="shared" si="55"/>
        <v>0</v>
      </c>
      <c r="I364" s="45">
        <f t="shared" si="55"/>
        <v>2930.2</v>
      </c>
      <c r="J364" s="46">
        <f t="shared" si="55"/>
        <v>3074.2</v>
      </c>
      <c r="K364" s="45">
        <f>K365</f>
        <v>0</v>
      </c>
      <c r="L364" s="46">
        <f t="shared" si="55"/>
        <v>3074.2</v>
      </c>
      <c r="M364" s="45">
        <f t="shared" si="55"/>
        <v>6004.4</v>
      </c>
      <c r="N364" s="45">
        <f t="shared" si="55"/>
        <v>0</v>
      </c>
      <c r="O364" s="45">
        <f t="shared" si="55"/>
        <v>6004.4</v>
      </c>
    </row>
    <row r="365" spans="1:15" ht="31.5" x14ac:dyDescent="0.2">
      <c r="A365" s="40"/>
      <c r="B365" s="41" t="s">
        <v>440</v>
      </c>
      <c r="C365" s="42" t="s">
        <v>51</v>
      </c>
      <c r="D365" s="43" t="s">
        <v>437</v>
      </c>
      <c r="E365" s="43" t="s">
        <v>441</v>
      </c>
      <c r="F365" s="44" t="s">
        <v>11</v>
      </c>
      <c r="G365" s="45">
        <f t="shared" si="55"/>
        <v>2930.2</v>
      </c>
      <c r="H365" s="45">
        <f t="shared" si="55"/>
        <v>0</v>
      </c>
      <c r="I365" s="45">
        <f t="shared" si="55"/>
        <v>2930.2</v>
      </c>
      <c r="J365" s="46">
        <f t="shared" si="55"/>
        <v>3074.2</v>
      </c>
      <c r="K365" s="45">
        <f>K366</f>
        <v>0</v>
      </c>
      <c r="L365" s="46">
        <f t="shared" si="55"/>
        <v>3074.2</v>
      </c>
      <c r="M365" s="45">
        <f t="shared" si="55"/>
        <v>6004.4</v>
      </c>
      <c r="N365" s="45">
        <f t="shared" si="55"/>
        <v>0</v>
      </c>
      <c r="O365" s="45">
        <f t="shared" si="55"/>
        <v>6004.4</v>
      </c>
    </row>
    <row r="366" spans="1:15" ht="31.5" x14ac:dyDescent="0.2">
      <c r="A366" s="40"/>
      <c r="B366" s="41" t="s">
        <v>442</v>
      </c>
      <c r="C366" s="42" t="s">
        <v>51</v>
      </c>
      <c r="D366" s="43" t="s">
        <v>437</v>
      </c>
      <c r="E366" s="43" t="s">
        <v>443</v>
      </c>
      <c r="F366" s="44" t="s">
        <v>11</v>
      </c>
      <c r="G366" s="45">
        <f>G367</f>
        <v>2930.2</v>
      </c>
      <c r="H366" s="45"/>
      <c r="I366" s="45">
        <f>I367</f>
        <v>2930.2</v>
      </c>
      <c r="J366" s="46">
        <f t="shared" si="55"/>
        <v>3074.2</v>
      </c>
      <c r="K366" s="45"/>
      <c r="L366" s="46">
        <f t="shared" si="55"/>
        <v>3074.2</v>
      </c>
      <c r="M366" s="45">
        <f t="shared" si="55"/>
        <v>6004.4</v>
      </c>
      <c r="N366" s="45">
        <f t="shared" si="55"/>
        <v>0</v>
      </c>
      <c r="O366" s="45">
        <f t="shared" si="55"/>
        <v>6004.4</v>
      </c>
    </row>
    <row r="367" spans="1:15" ht="31.5" x14ac:dyDescent="0.2">
      <c r="A367" s="40"/>
      <c r="B367" s="41" t="s">
        <v>112</v>
      </c>
      <c r="C367" s="42" t="s">
        <v>51</v>
      </c>
      <c r="D367" s="43" t="s">
        <v>437</v>
      </c>
      <c r="E367" s="43" t="s">
        <v>443</v>
      </c>
      <c r="F367" s="44" t="s">
        <v>113</v>
      </c>
      <c r="G367" s="45">
        <v>2930.2</v>
      </c>
      <c r="H367" s="38"/>
      <c r="I367" s="45">
        <v>2930.2</v>
      </c>
      <c r="J367" s="47">
        <v>3074.2</v>
      </c>
      <c r="K367" s="38"/>
      <c r="L367" s="47">
        <v>3074.2</v>
      </c>
      <c r="M367" s="45">
        <f>2930.2+J367</f>
        <v>6004.4</v>
      </c>
      <c r="N367" s="45"/>
      <c r="O367" s="45">
        <f>2930.2+L367</f>
        <v>6004.4</v>
      </c>
    </row>
    <row r="368" spans="1:15" ht="15.75" x14ac:dyDescent="0.2">
      <c r="A368" s="33" t="s">
        <v>444</v>
      </c>
      <c r="B368" s="34" t="s">
        <v>445</v>
      </c>
      <c r="C368" s="35" t="s">
        <v>51</v>
      </c>
      <c r="D368" s="36" t="s">
        <v>446</v>
      </c>
      <c r="E368" s="36" t="s">
        <v>11</v>
      </c>
      <c r="F368" s="37" t="s">
        <v>11</v>
      </c>
      <c r="G368" s="38">
        <f t="shared" ref="G368:O372" si="56">G369</f>
        <v>120</v>
      </c>
      <c r="H368" s="45">
        <f t="shared" si="56"/>
        <v>0</v>
      </c>
      <c r="I368" s="38">
        <f t="shared" si="56"/>
        <v>120</v>
      </c>
      <c r="J368" s="39">
        <f t="shared" si="56"/>
        <v>0</v>
      </c>
      <c r="K368" s="45">
        <f>K369</f>
        <v>0</v>
      </c>
      <c r="L368" s="39">
        <f t="shared" si="56"/>
        <v>0</v>
      </c>
      <c r="M368" s="38">
        <f t="shared" si="56"/>
        <v>120</v>
      </c>
      <c r="N368" s="38">
        <f t="shared" si="56"/>
        <v>0</v>
      </c>
      <c r="O368" s="38">
        <f t="shared" si="56"/>
        <v>120</v>
      </c>
    </row>
    <row r="369" spans="1:15" ht="31.5" x14ac:dyDescent="0.2">
      <c r="A369" s="40"/>
      <c r="B369" s="41" t="s">
        <v>87</v>
      </c>
      <c r="C369" s="42" t="s">
        <v>51</v>
      </c>
      <c r="D369" s="43" t="s">
        <v>446</v>
      </c>
      <c r="E369" s="43" t="s">
        <v>88</v>
      </c>
      <c r="F369" s="44" t="s">
        <v>11</v>
      </c>
      <c r="G369" s="45">
        <f t="shared" si="56"/>
        <v>120</v>
      </c>
      <c r="H369" s="45">
        <f t="shared" si="56"/>
        <v>0</v>
      </c>
      <c r="I369" s="45">
        <f t="shared" si="56"/>
        <v>120</v>
      </c>
      <c r="J369" s="46">
        <f t="shared" si="56"/>
        <v>0</v>
      </c>
      <c r="K369" s="45">
        <f>K370</f>
        <v>0</v>
      </c>
      <c r="L369" s="46">
        <f t="shared" si="56"/>
        <v>0</v>
      </c>
      <c r="M369" s="45">
        <f t="shared" si="56"/>
        <v>120</v>
      </c>
      <c r="N369" s="45">
        <f t="shared" si="56"/>
        <v>0</v>
      </c>
      <c r="O369" s="45">
        <f t="shared" si="56"/>
        <v>120</v>
      </c>
    </row>
    <row r="370" spans="1:15" ht="47.25" x14ac:dyDescent="0.2">
      <c r="A370" s="40"/>
      <c r="B370" s="41" t="s">
        <v>89</v>
      </c>
      <c r="C370" s="42" t="s">
        <v>51</v>
      </c>
      <c r="D370" s="43" t="s">
        <v>446</v>
      </c>
      <c r="E370" s="43" t="s">
        <v>90</v>
      </c>
      <c r="F370" s="44" t="s">
        <v>11</v>
      </c>
      <c r="G370" s="45">
        <f t="shared" si="56"/>
        <v>120</v>
      </c>
      <c r="H370" s="45">
        <f t="shared" si="56"/>
        <v>0</v>
      </c>
      <c r="I370" s="45">
        <f t="shared" si="56"/>
        <v>120</v>
      </c>
      <c r="J370" s="46">
        <f t="shared" si="56"/>
        <v>0</v>
      </c>
      <c r="K370" s="45">
        <f>K371</f>
        <v>0</v>
      </c>
      <c r="L370" s="46">
        <f t="shared" si="56"/>
        <v>0</v>
      </c>
      <c r="M370" s="45">
        <f t="shared" si="56"/>
        <v>120</v>
      </c>
      <c r="N370" s="45">
        <f t="shared" si="56"/>
        <v>0</v>
      </c>
      <c r="O370" s="45">
        <f t="shared" si="56"/>
        <v>120</v>
      </c>
    </row>
    <row r="371" spans="1:15" ht="78.75" x14ac:dyDescent="0.2">
      <c r="A371" s="40"/>
      <c r="B371" s="41" t="s">
        <v>91</v>
      </c>
      <c r="C371" s="42" t="s">
        <v>51</v>
      </c>
      <c r="D371" s="43" t="s">
        <v>446</v>
      </c>
      <c r="E371" s="43" t="s">
        <v>92</v>
      </c>
      <c r="F371" s="44" t="s">
        <v>11</v>
      </c>
      <c r="G371" s="45">
        <f t="shared" si="56"/>
        <v>120</v>
      </c>
      <c r="H371" s="45">
        <f t="shared" si="56"/>
        <v>0</v>
      </c>
      <c r="I371" s="45">
        <f t="shared" si="56"/>
        <v>120</v>
      </c>
      <c r="J371" s="46">
        <f t="shared" si="56"/>
        <v>0</v>
      </c>
      <c r="K371" s="45">
        <f>K372</f>
        <v>0</v>
      </c>
      <c r="L371" s="46">
        <f t="shared" si="56"/>
        <v>0</v>
      </c>
      <c r="M371" s="45">
        <f t="shared" si="56"/>
        <v>120</v>
      </c>
      <c r="N371" s="45">
        <f t="shared" si="56"/>
        <v>0</v>
      </c>
      <c r="O371" s="45">
        <f t="shared" si="56"/>
        <v>120</v>
      </c>
    </row>
    <row r="372" spans="1:15" ht="47.25" x14ac:dyDescent="0.2">
      <c r="A372" s="40"/>
      <c r="B372" s="41" t="s">
        <v>93</v>
      </c>
      <c r="C372" s="42" t="s">
        <v>51</v>
      </c>
      <c r="D372" s="43" t="s">
        <v>446</v>
      </c>
      <c r="E372" s="43" t="s">
        <v>94</v>
      </c>
      <c r="F372" s="44" t="s">
        <v>11</v>
      </c>
      <c r="G372" s="45">
        <f>G373</f>
        <v>120</v>
      </c>
      <c r="H372" s="45"/>
      <c r="I372" s="45">
        <f>I373</f>
        <v>120</v>
      </c>
      <c r="J372" s="46">
        <f t="shared" si="56"/>
        <v>0</v>
      </c>
      <c r="K372" s="45"/>
      <c r="L372" s="46">
        <f t="shared" si="56"/>
        <v>0</v>
      </c>
      <c r="M372" s="45">
        <f t="shared" si="56"/>
        <v>120</v>
      </c>
      <c r="N372" s="45">
        <f t="shared" si="56"/>
        <v>0</v>
      </c>
      <c r="O372" s="45">
        <f t="shared" si="56"/>
        <v>120</v>
      </c>
    </row>
    <row r="373" spans="1:15" ht="33.6" customHeight="1" x14ac:dyDescent="0.2">
      <c r="A373" s="40"/>
      <c r="B373" s="41" t="s">
        <v>95</v>
      </c>
      <c r="C373" s="42" t="s">
        <v>51</v>
      </c>
      <c r="D373" s="43" t="s">
        <v>446</v>
      </c>
      <c r="E373" s="43" t="s">
        <v>94</v>
      </c>
      <c r="F373" s="44" t="s">
        <v>96</v>
      </c>
      <c r="G373" s="45">
        <v>120</v>
      </c>
      <c r="H373" s="25"/>
      <c r="I373" s="45">
        <v>120</v>
      </c>
      <c r="J373" s="47">
        <v>0</v>
      </c>
      <c r="K373" s="25"/>
      <c r="L373" s="47">
        <v>0</v>
      </c>
      <c r="M373" s="45">
        <v>120</v>
      </c>
      <c r="N373" s="45"/>
      <c r="O373" s="45">
        <v>120</v>
      </c>
    </row>
    <row r="374" spans="1:15" ht="15.75" x14ac:dyDescent="0.2">
      <c r="A374" s="20" t="s">
        <v>447</v>
      </c>
      <c r="B374" s="21" t="s">
        <v>448</v>
      </c>
      <c r="C374" s="22" t="s">
        <v>51</v>
      </c>
      <c r="D374" s="23" t="s">
        <v>449</v>
      </c>
      <c r="E374" s="23" t="s">
        <v>11</v>
      </c>
      <c r="F374" s="24" t="s">
        <v>11</v>
      </c>
      <c r="G374" s="25">
        <f>G375</f>
        <v>1863.8</v>
      </c>
      <c r="H374" s="38">
        <f>H375+H380</f>
        <v>0</v>
      </c>
      <c r="I374" s="25">
        <f>I375</f>
        <v>1863.8</v>
      </c>
      <c r="J374" s="26">
        <f>J375</f>
        <v>0</v>
      </c>
      <c r="K374" s="38">
        <f>K375+K380</f>
        <v>0</v>
      </c>
      <c r="L374" s="26">
        <f>L375</f>
        <v>0</v>
      </c>
      <c r="M374" s="25">
        <f>M375</f>
        <v>1863.8</v>
      </c>
      <c r="N374" s="25">
        <f>N375</f>
        <v>0</v>
      </c>
      <c r="O374" s="25">
        <f>O375</f>
        <v>1863.8</v>
      </c>
    </row>
    <row r="375" spans="1:15" ht="15.75" x14ac:dyDescent="0.2">
      <c r="A375" s="33" t="s">
        <v>450</v>
      </c>
      <c r="B375" s="34" t="s">
        <v>451</v>
      </c>
      <c r="C375" s="35" t="s">
        <v>51</v>
      </c>
      <c r="D375" s="36" t="s">
        <v>452</v>
      </c>
      <c r="E375" s="36" t="s">
        <v>11</v>
      </c>
      <c r="F375" s="37" t="s">
        <v>11</v>
      </c>
      <c r="G375" s="38">
        <f>G376+G381</f>
        <v>1863.8</v>
      </c>
      <c r="H375" s="45">
        <f t="shared" ref="G375:O377" si="57">H376</f>
        <v>0</v>
      </c>
      <c r="I375" s="38">
        <f>I376+I381</f>
        <v>1863.8</v>
      </c>
      <c r="J375" s="39">
        <f>J376+J381</f>
        <v>0</v>
      </c>
      <c r="K375" s="45">
        <f t="shared" si="57"/>
        <v>0</v>
      </c>
      <c r="L375" s="39">
        <f>L376+L381</f>
        <v>0</v>
      </c>
      <c r="M375" s="38">
        <f>M376+M381</f>
        <v>1863.8</v>
      </c>
      <c r="N375" s="38">
        <f>N376+N381</f>
        <v>0</v>
      </c>
      <c r="O375" s="38">
        <f>O376+O381</f>
        <v>1863.8</v>
      </c>
    </row>
    <row r="376" spans="1:15" ht="31.5" x14ac:dyDescent="0.2">
      <c r="A376" s="40"/>
      <c r="B376" s="41" t="s">
        <v>453</v>
      </c>
      <c r="C376" s="42" t="s">
        <v>51</v>
      </c>
      <c r="D376" s="43" t="s">
        <v>452</v>
      </c>
      <c r="E376" s="43" t="s">
        <v>454</v>
      </c>
      <c r="F376" s="44" t="s">
        <v>11</v>
      </c>
      <c r="G376" s="45">
        <f t="shared" si="57"/>
        <v>1813.8</v>
      </c>
      <c r="H376" s="45">
        <f t="shared" si="57"/>
        <v>0</v>
      </c>
      <c r="I376" s="45">
        <f t="shared" si="57"/>
        <v>1813.8</v>
      </c>
      <c r="J376" s="46">
        <f t="shared" si="57"/>
        <v>0</v>
      </c>
      <c r="K376" s="45">
        <f t="shared" si="57"/>
        <v>0</v>
      </c>
      <c r="L376" s="46">
        <f t="shared" si="57"/>
        <v>0</v>
      </c>
      <c r="M376" s="45">
        <f t="shared" si="57"/>
        <v>1813.8</v>
      </c>
      <c r="N376" s="45">
        <f t="shared" si="57"/>
        <v>0</v>
      </c>
      <c r="O376" s="45">
        <f t="shared" si="57"/>
        <v>1813.8</v>
      </c>
    </row>
    <row r="377" spans="1:15" ht="63" x14ac:dyDescent="0.2">
      <c r="A377" s="40"/>
      <c r="B377" s="41" t="s">
        <v>455</v>
      </c>
      <c r="C377" s="42" t="s">
        <v>51</v>
      </c>
      <c r="D377" s="43" t="s">
        <v>452</v>
      </c>
      <c r="E377" s="43" t="s">
        <v>456</v>
      </c>
      <c r="F377" s="44" t="s">
        <v>11</v>
      </c>
      <c r="G377" s="45">
        <f t="shared" si="57"/>
        <v>1813.8</v>
      </c>
      <c r="H377" s="45">
        <f>H378+H379</f>
        <v>0</v>
      </c>
      <c r="I377" s="45">
        <f t="shared" si="57"/>
        <v>1813.8</v>
      </c>
      <c r="J377" s="46">
        <f t="shared" si="57"/>
        <v>0</v>
      </c>
      <c r="K377" s="45">
        <f>K378+K379</f>
        <v>0</v>
      </c>
      <c r="L377" s="46">
        <f t="shared" si="57"/>
        <v>0</v>
      </c>
      <c r="M377" s="45">
        <f t="shared" si="57"/>
        <v>1813.8</v>
      </c>
      <c r="N377" s="45">
        <f t="shared" si="57"/>
        <v>0</v>
      </c>
      <c r="O377" s="45">
        <f t="shared" si="57"/>
        <v>1813.8</v>
      </c>
    </row>
    <row r="378" spans="1:15" ht="47.25" x14ac:dyDescent="0.2">
      <c r="A378" s="40"/>
      <c r="B378" s="41" t="s">
        <v>457</v>
      </c>
      <c r="C378" s="42" t="s">
        <v>51</v>
      </c>
      <c r="D378" s="43" t="s">
        <v>452</v>
      </c>
      <c r="E378" s="43" t="s">
        <v>458</v>
      </c>
      <c r="F378" s="44" t="s">
        <v>11</v>
      </c>
      <c r="G378" s="45">
        <f>G379+G380</f>
        <v>1813.8</v>
      </c>
      <c r="H378" s="45"/>
      <c r="I378" s="45">
        <f>I379+I380</f>
        <v>1813.8</v>
      </c>
      <c r="J378" s="46">
        <f>J379+J380</f>
        <v>0</v>
      </c>
      <c r="K378" s="45"/>
      <c r="L378" s="46">
        <f>L379+L380</f>
        <v>0</v>
      </c>
      <c r="M378" s="45">
        <f>M379+M380</f>
        <v>1813.8</v>
      </c>
      <c r="N378" s="45">
        <f>N379+N380</f>
        <v>0</v>
      </c>
      <c r="O378" s="45">
        <f>O379+O380</f>
        <v>1813.8</v>
      </c>
    </row>
    <row r="379" spans="1:15" ht="31.5" x14ac:dyDescent="0.2">
      <c r="A379" s="40"/>
      <c r="B379" s="41" t="s">
        <v>40</v>
      </c>
      <c r="C379" s="42" t="s">
        <v>51</v>
      </c>
      <c r="D379" s="43" t="s">
        <v>452</v>
      </c>
      <c r="E379" s="43" t="s">
        <v>458</v>
      </c>
      <c r="F379" s="44" t="s">
        <v>41</v>
      </c>
      <c r="G379" s="45">
        <v>300</v>
      </c>
      <c r="H379" s="45"/>
      <c r="I379" s="45">
        <v>300</v>
      </c>
      <c r="J379" s="47">
        <v>0</v>
      </c>
      <c r="K379" s="45"/>
      <c r="L379" s="47">
        <v>0</v>
      </c>
      <c r="M379" s="45">
        <v>300</v>
      </c>
      <c r="N379" s="45"/>
      <c r="O379" s="45">
        <v>300</v>
      </c>
    </row>
    <row r="380" spans="1:15" ht="31.5" x14ac:dyDescent="0.2">
      <c r="A380" s="40"/>
      <c r="B380" s="41" t="s">
        <v>112</v>
      </c>
      <c r="C380" s="42" t="s">
        <v>51</v>
      </c>
      <c r="D380" s="43" t="s">
        <v>452</v>
      </c>
      <c r="E380" s="43" t="s">
        <v>458</v>
      </c>
      <c r="F380" s="44" t="s">
        <v>113</v>
      </c>
      <c r="G380" s="45">
        <v>1513.8</v>
      </c>
      <c r="H380" s="45"/>
      <c r="I380" s="45">
        <v>1513.8</v>
      </c>
      <c r="J380" s="47">
        <v>0</v>
      </c>
      <c r="K380" s="45"/>
      <c r="L380" s="47">
        <v>0</v>
      </c>
      <c r="M380" s="45">
        <v>1513.8</v>
      </c>
      <c r="N380" s="45"/>
      <c r="O380" s="45">
        <v>1513.8</v>
      </c>
    </row>
    <row r="381" spans="1:15" ht="15.75" x14ac:dyDescent="0.2">
      <c r="A381" s="40"/>
      <c r="B381" s="41" t="s">
        <v>459</v>
      </c>
      <c r="C381" s="42" t="s">
        <v>51</v>
      </c>
      <c r="D381" s="43" t="s">
        <v>452</v>
      </c>
      <c r="E381" s="43" t="s">
        <v>460</v>
      </c>
      <c r="F381" s="44" t="s">
        <v>11</v>
      </c>
      <c r="G381" s="45">
        <f t="shared" ref="G381:O383" si="58">G382</f>
        <v>50</v>
      </c>
      <c r="H381" s="45">
        <f t="shared" si="58"/>
        <v>0</v>
      </c>
      <c r="I381" s="45">
        <f t="shared" si="58"/>
        <v>50</v>
      </c>
      <c r="J381" s="46">
        <f t="shared" si="58"/>
        <v>0</v>
      </c>
      <c r="K381" s="45">
        <f>K382</f>
        <v>0</v>
      </c>
      <c r="L381" s="46">
        <f t="shared" si="58"/>
        <v>0</v>
      </c>
      <c r="M381" s="45">
        <f t="shared" si="58"/>
        <v>50</v>
      </c>
      <c r="N381" s="45">
        <f t="shared" si="58"/>
        <v>0</v>
      </c>
      <c r="O381" s="45">
        <f t="shared" si="58"/>
        <v>50</v>
      </c>
    </row>
    <row r="382" spans="1:15" ht="63" x14ac:dyDescent="0.2">
      <c r="A382" s="40"/>
      <c r="B382" s="41" t="s">
        <v>461</v>
      </c>
      <c r="C382" s="42" t="s">
        <v>51</v>
      </c>
      <c r="D382" s="43" t="s">
        <v>452</v>
      </c>
      <c r="E382" s="43" t="s">
        <v>462</v>
      </c>
      <c r="F382" s="44" t="s">
        <v>11</v>
      </c>
      <c r="G382" s="45">
        <f t="shared" si="58"/>
        <v>50</v>
      </c>
      <c r="H382" s="45">
        <f t="shared" si="58"/>
        <v>0</v>
      </c>
      <c r="I382" s="45">
        <f t="shared" si="58"/>
        <v>50</v>
      </c>
      <c r="J382" s="46">
        <f t="shared" si="58"/>
        <v>0</v>
      </c>
      <c r="K382" s="45">
        <f>K383</f>
        <v>0</v>
      </c>
      <c r="L382" s="46">
        <f t="shared" si="58"/>
        <v>0</v>
      </c>
      <c r="M382" s="45">
        <f t="shared" si="58"/>
        <v>50</v>
      </c>
      <c r="N382" s="45">
        <f t="shared" si="58"/>
        <v>0</v>
      </c>
      <c r="O382" s="45">
        <f t="shared" si="58"/>
        <v>50</v>
      </c>
    </row>
    <row r="383" spans="1:15" ht="31.5" x14ac:dyDescent="0.2">
      <c r="A383" s="40"/>
      <c r="B383" s="41" t="s">
        <v>463</v>
      </c>
      <c r="C383" s="42" t="s">
        <v>51</v>
      </c>
      <c r="D383" s="43" t="s">
        <v>452</v>
      </c>
      <c r="E383" s="43" t="s">
        <v>464</v>
      </c>
      <c r="F383" s="44" t="s">
        <v>11</v>
      </c>
      <c r="G383" s="45">
        <f>G384</f>
        <v>50</v>
      </c>
      <c r="H383" s="45"/>
      <c r="I383" s="45">
        <f>I384</f>
        <v>50</v>
      </c>
      <c r="J383" s="46">
        <f t="shared" si="58"/>
        <v>0</v>
      </c>
      <c r="K383" s="45"/>
      <c r="L383" s="46">
        <f t="shared" si="58"/>
        <v>0</v>
      </c>
      <c r="M383" s="45">
        <f t="shared" si="58"/>
        <v>50</v>
      </c>
      <c r="N383" s="45">
        <f t="shared" si="58"/>
        <v>0</v>
      </c>
      <c r="O383" s="45">
        <f t="shared" si="58"/>
        <v>50</v>
      </c>
    </row>
    <row r="384" spans="1:15" ht="31.5" x14ac:dyDescent="0.2">
      <c r="A384" s="40"/>
      <c r="B384" s="41" t="s">
        <v>40</v>
      </c>
      <c r="C384" s="42" t="s">
        <v>51</v>
      </c>
      <c r="D384" s="43" t="s">
        <v>452</v>
      </c>
      <c r="E384" s="43" t="s">
        <v>464</v>
      </c>
      <c r="F384" s="44" t="s">
        <v>41</v>
      </c>
      <c r="G384" s="45">
        <v>50</v>
      </c>
      <c r="H384" s="25"/>
      <c r="I384" s="45">
        <v>50</v>
      </c>
      <c r="J384" s="47"/>
      <c r="K384" s="25">
        <f t="shared" ref="G384:O390" si="59">K385</f>
        <v>0</v>
      </c>
      <c r="L384" s="47"/>
      <c r="M384" s="45">
        <v>50</v>
      </c>
      <c r="N384" s="45"/>
      <c r="O384" s="45">
        <v>50</v>
      </c>
    </row>
    <row r="385" spans="1:16" ht="31.5" x14ac:dyDescent="0.2">
      <c r="A385" s="20" t="s">
        <v>465</v>
      </c>
      <c r="B385" s="21" t="s">
        <v>466</v>
      </c>
      <c r="C385" s="22" t="s">
        <v>51</v>
      </c>
      <c r="D385" s="23" t="s">
        <v>467</v>
      </c>
      <c r="E385" s="23" t="s">
        <v>11</v>
      </c>
      <c r="F385" s="24" t="s">
        <v>11</v>
      </c>
      <c r="G385" s="25">
        <f t="shared" si="59"/>
        <v>6970.8</v>
      </c>
      <c r="H385" s="38">
        <f t="shared" si="59"/>
        <v>-6960.3</v>
      </c>
      <c r="I385" s="25">
        <f t="shared" si="59"/>
        <v>10.5</v>
      </c>
      <c r="J385" s="26">
        <f t="shared" si="59"/>
        <v>0</v>
      </c>
      <c r="K385" s="38">
        <f t="shared" si="59"/>
        <v>0</v>
      </c>
      <c r="L385" s="26">
        <f t="shared" si="59"/>
        <v>0</v>
      </c>
      <c r="M385" s="25">
        <f t="shared" si="59"/>
        <v>6970.8</v>
      </c>
      <c r="N385" s="25">
        <f t="shared" si="59"/>
        <v>-6960.3</v>
      </c>
      <c r="O385" s="25">
        <f t="shared" si="59"/>
        <v>10.5</v>
      </c>
    </row>
    <row r="386" spans="1:16" ht="31.5" x14ac:dyDescent="0.2">
      <c r="A386" s="33" t="s">
        <v>468</v>
      </c>
      <c r="B386" s="34" t="s">
        <v>469</v>
      </c>
      <c r="C386" s="35" t="s">
        <v>51</v>
      </c>
      <c r="D386" s="36" t="s">
        <v>470</v>
      </c>
      <c r="E386" s="36" t="s">
        <v>11</v>
      </c>
      <c r="F386" s="37" t="s">
        <v>11</v>
      </c>
      <c r="G386" s="38">
        <f t="shared" si="59"/>
        <v>6970.8</v>
      </c>
      <c r="H386" s="45">
        <f t="shared" si="59"/>
        <v>-6960.3</v>
      </c>
      <c r="I386" s="38">
        <f t="shared" si="59"/>
        <v>10.5</v>
      </c>
      <c r="J386" s="39">
        <f t="shared" si="59"/>
        <v>0</v>
      </c>
      <c r="K386" s="45">
        <f t="shared" si="59"/>
        <v>0</v>
      </c>
      <c r="L386" s="39">
        <f t="shared" si="59"/>
        <v>0</v>
      </c>
      <c r="M386" s="38">
        <f t="shared" si="59"/>
        <v>6970.8</v>
      </c>
      <c r="N386" s="38">
        <f t="shared" si="59"/>
        <v>-6960.3</v>
      </c>
      <c r="O386" s="38">
        <f t="shared" si="59"/>
        <v>10.5</v>
      </c>
    </row>
    <row r="387" spans="1:16" ht="31.5" x14ac:dyDescent="0.2">
      <c r="A387" s="40"/>
      <c r="B387" s="41" t="s">
        <v>128</v>
      </c>
      <c r="C387" s="42" t="s">
        <v>51</v>
      </c>
      <c r="D387" s="43" t="s">
        <v>470</v>
      </c>
      <c r="E387" s="43" t="s">
        <v>129</v>
      </c>
      <c r="F387" s="44" t="s">
        <v>11</v>
      </c>
      <c r="G387" s="45">
        <f t="shared" si="59"/>
        <v>6970.8</v>
      </c>
      <c r="H387" s="45">
        <f t="shared" si="59"/>
        <v>-6960.3</v>
      </c>
      <c r="I387" s="45">
        <f t="shared" si="59"/>
        <v>10.5</v>
      </c>
      <c r="J387" s="46">
        <f t="shared" si="59"/>
        <v>0</v>
      </c>
      <c r="K387" s="45">
        <f t="shared" si="59"/>
        <v>0</v>
      </c>
      <c r="L387" s="46">
        <f t="shared" si="59"/>
        <v>0</v>
      </c>
      <c r="M387" s="45">
        <f t="shared" si="59"/>
        <v>6970.8</v>
      </c>
      <c r="N387" s="45">
        <f t="shared" si="59"/>
        <v>-6960.3</v>
      </c>
      <c r="O387" s="45">
        <f t="shared" si="59"/>
        <v>10.5</v>
      </c>
    </row>
    <row r="388" spans="1:16" ht="15.75" x14ac:dyDescent="0.2">
      <c r="A388" s="40"/>
      <c r="B388" s="41" t="s">
        <v>141</v>
      </c>
      <c r="C388" s="42" t="s">
        <v>51</v>
      </c>
      <c r="D388" s="43" t="s">
        <v>470</v>
      </c>
      <c r="E388" s="43" t="s">
        <v>142</v>
      </c>
      <c r="F388" s="44" t="s">
        <v>11</v>
      </c>
      <c r="G388" s="45">
        <f t="shared" si="59"/>
        <v>6970.8</v>
      </c>
      <c r="H388" s="45">
        <f t="shared" si="59"/>
        <v>-6960.3</v>
      </c>
      <c r="I388" s="45">
        <f t="shared" si="59"/>
        <v>10.5</v>
      </c>
      <c r="J388" s="46">
        <f t="shared" si="59"/>
        <v>0</v>
      </c>
      <c r="K388" s="45">
        <f t="shared" si="59"/>
        <v>0</v>
      </c>
      <c r="L388" s="46">
        <f t="shared" si="59"/>
        <v>0</v>
      </c>
      <c r="M388" s="45">
        <f t="shared" si="59"/>
        <v>6970.8</v>
      </c>
      <c r="N388" s="45">
        <f t="shared" si="59"/>
        <v>-6960.3</v>
      </c>
      <c r="O388" s="45">
        <f t="shared" si="59"/>
        <v>10.5</v>
      </c>
    </row>
    <row r="389" spans="1:16" ht="47.25" x14ac:dyDescent="0.2">
      <c r="A389" s="40"/>
      <c r="B389" s="41" t="s">
        <v>143</v>
      </c>
      <c r="C389" s="42" t="s">
        <v>51</v>
      </c>
      <c r="D389" s="43" t="s">
        <v>470</v>
      </c>
      <c r="E389" s="43" t="s">
        <v>144</v>
      </c>
      <c r="F389" s="44" t="s">
        <v>11</v>
      </c>
      <c r="G389" s="45">
        <f t="shared" si="59"/>
        <v>6970.8</v>
      </c>
      <c r="H389" s="45">
        <f>SUM(H390)</f>
        <v>-6960.3</v>
      </c>
      <c r="I389" s="45">
        <f t="shared" si="59"/>
        <v>10.5</v>
      </c>
      <c r="J389" s="46">
        <f t="shared" si="59"/>
        <v>0</v>
      </c>
      <c r="K389" s="45">
        <f t="shared" si="59"/>
        <v>0</v>
      </c>
      <c r="L389" s="46">
        <f t="shared" si="59"/>
        <v>0</v>
      </c>
      <c r="M389" s="45">
        <f t="shared" si="59"/>
        <v>6970.8</v>
      </c>
      <c r="N389" s="45">
        <f t="shared" si="59"/>
        <v>-6960.3</v>
      </c>
      <c r="O389" s="45">
        <f t="shared" si="59"/>
        <v>10.5</v>
      </c>
    </row>
    <row r="390" spans="1:16" ht="15.75" x14ac:dyDescent="0.2">
      <c r="A390" s="40"/>
      <c r="B390" s="41" t="s">
        <v>471</v>
      </c>
      <c r="C390" s="42" t="s">
        <v>51</v>
      </c>
      <c r="D390" s="43" t="s">
        <v>470</v>
      </c>
      <c r="E390" s="43" t="s">
        <v>472</v>
      </c>
      <c r="F390" s="44" t="s">
        <v>11</v>
      </c>
      <c r="G390" s="45">
        <f t="shared" si="59"/>
        <v>6970.8</v>
      </c>
      <c r="H390" s="45">
        <f t="shared" si="59"/>
        <v>-6960.3</v>
      </c>
      <c r="I390" s="45">
        <f t="shared" si="59"/>
        <v>10.5</v>
      </c>
      <c r="J390" s="46">
        <f t="shared" si="59"/>
        <v>0</v>
      </c>
      <c r="K390" s="48"/>
      <c r="L390" s="46">
        <f t="shared" si="59"/>
        <v>0</v>
      </c>
      <c r="M390" s="45">
        <f t="shared" si="59"/>
        <v>6970.8</v>
      </c>
      <c r="N390" s="45">
        <f t="shared" si="59"/>
        <v>-6960.3</v>
      </c>
      <c r="O390" s="45">
        <f t="shared" si="59"/>
        <v>10.5</v>
      </c>
    </row>
    <row r="391" spans="1:16" ht="31.5" x14ac:dyDescent="0.2">
      <c r="A391" s="40"/>
      <c r="B391" s="41" t="s">
        <v>473</v>
      </c>
      <c r="C391" s="42" t="s">
        <v>51</v>
      </c>
      <c r="D391" s="43" t="s">
        <v>470</v>
      </c>
      <c r="E391" s="43" t="s">
        <v>472</v>
      </c>
      <c r="F391" s="44" t="s">
        <v>474</v>
      </c>
      <c r="G391" s="48">
        <f>4650000/1000+2320.8</f>
        <v>6970.8</v>
      </c>
      <c r="H391" s="25">
        <f>-567-890-480-240-50-4733.3</f>
        <v>-6960.3</v>
      </c>
      <c r="I391" s="48">
        <f>4650000/1000+2320.8+H391</f>
        <v>10.5</v>
      </c>
      <c r="J391" s="47">
        <v>0</v>
      </c>
      <c r="K391" s="25"/>
      <c r="L391" s="47">
        <v>0</v>
      </c>
      <c r="M391" s="48">
        <f>4650000/1000+2320.8</f>
        <v>6970.8</v>
      </c>
      <c r="N391" s="48">
        <f>SUM(H391)</f>
        <v>-6960.3</v>
      </c>
      <c r="O391" s="48">
        <f>4650000/1000+2320.8+N391</f>
        <v>10.5</v>
      </c>
    </row>
    <row r="392" spans="1:16" ht="31.5" x14ac:dyDescent="0.2">
      <c r="A392" s="20" t="s">
        <v>475</v>
      </c>
      <c r="B392" s="21" t="s">
        <v>476</v>
      </c>
      <c r="C392" s="22" t="s">
        <v>477</v>
      </c>
      <c r="D392" s="23" t="s">
        <v>11</v>
      </c>
      <c r="E392" s="23" t="s">
        <v>11</v>
      </c>
      <c r="F392" s="24" t="s">
        <v>11</v>
      </c>
      <c r="G392" s="25">
        <f>G393</f>
        <v>138173.9</v>
      </c>
      <c r="H392" s="25">
        <f>H393+H419+H425</f>
        <v>-674</v>
      </c>
      <c r="I392" s="25">
        <f>I393</f>
        <v>137499.9</v>
      </c>
      <c r="J392" s="26">
        <f>J393</f>
        <v>8708.7000000000007</v>
      </c>
      <c r="K392" s="25">
        <f>K393+K419+K425</f>
        <v>-3300</v>
      </c>
      <c r="L392" s="26">
        <f>L393</f>
        <v>5408.7</v>
      </c>
      <c r="M392" s="25">
        <f>M393</f>
        <v>146882.6</v>
      </c>
      <c r="N392" s="25">
        <f>N393</f>
        <v>-3974</v>
      </c>
      <c r="O392" s="25">
        <f>O393</f>
        <v>142908.6</v>
      </c>
      <c r="P392" s="18"/>
    </row>
    <row r="393" spans="1:16" ht="15.75" x14ac:dyDescent="0.2">
      <c r="A393" s="20" t="s">
        <v>478</v>
      </c>
      <c r="B393" s="21" t="s">
        <v>479</v>
      </c>
      <c r="C393" s="22" t="s">
        <v>477</v>
      </c>
      <c r="D393" s="23" t="s">
        <v>480</v>
      </c>
      <c r="E393" s="23" t="s">
        <v>11</v>
      </c>
      <c r="F393" s="24" t="s">
        <v>11</v>
      </c>
      <c r="G393" s="25">
        <f>G394+G420+G426</f>
        <v>138173.9</v>
      </c>
      <c r="H393" s="38">
        <f>H394+H426</f>
        <v>-674</v>
      </c>
      <c r="I393" s="25">
        <f>I394+I420+I426</f>
        <v>137499.9</v>
      </c>
      <c r="J393" s="26">
        <f>J394+J420+J426</f>
        <v>8708.7000000000007</v>
      </c>
      <c r="K393" s="38">
        <f>K394</f>
        <v>-3300</v>
      </c>
      <c r="L393" s="26">
        <f>L394+L420+L426</f>
        <v>5408.7</v>
      </c>
      <c r="M393" s="25">
        <f>M394+M420+M426</f>
        <v>146882.6</v>
      </c>
      <c r="N393" s="25">
        <f>N394+N420+N426</f>
        <v>-3974</v>
      </c>
      <c r="O393" s="25">
        <f>O394+O420+O426</f>
        <v>142908.6</v>
      </c>
      <c r="P393" s="17"/>
    </row>
    <row r="394" spans="1:16" ht="15.75" x14ac:dyDescent="0.2">
      <c r="A394" s="33" t="s">
        <v>481</v>
      </c>
      <c r="B394" s="34" t="s">
        <v>482</v>
      </c>
      <c r="C394" s="35" t="s">
        <v>477</v>
      </c>
      <c r="D394" s="36" t="s">
        <v>483</v>
      </c>
      <c r="E394" s="36" t="s">
        <v>11</v>
      </c>
      <c r="F394" s="37" t="s">
        <v>11</v>
      </c>
      <c r="G394" s="38">
        <f>G395</f>
        <v>111130.5</v>
      </c>
      <c r="H394" s="45">
        <f>H395+H403</f>
        <v>-674</v>
      </c>
      <c r="I394" s="38">
        <f>I395</f>
        <v>110456.5</v>
      </c>
      <c r="J394" s="39">
        <f>J395</f>
        <v>8708.7000000000007</v>
      </c>
      <c r="K394" s="45">
        <f>K395+K403</f>
        <v>-3300</v>
      </c>
      <c r="L394" s="39">
        <f>L395</f>
        <v>5408.7</v>
      </c>
      <c r="M394" s="38">
        <f>M395</f>
        <v>119839.2</v>
      </c>
      <c r="N394" s="38">
        <f>N395</f>
        <v>-3974</v>
      </c>
      <c r="O394" s="38">
        <f>O395</f>
        <v>115865.2</v>
      </c>
      <c r="P394" s="15"/>
    </row>
    <row r="395" spans="1:16" ht="31.5" x14ac:dyDescent="0.2">
      <c r="A395" s="40"/>
      <c r="B395" s="41" t="s">
        <v>484</v>
      </c>
      <c r="C395" s="42" t="s">
        <v>477</v>
      </c>
      <c r="D395" s="43" t="s">
        <v>483</v>
      </c>
      <c r="E395" s="43" t="s">
        <v>485</v>
      </c>
      <c r="F395" s="44" t="s">
        <v>11</v>
      </c>
      <c r="G395" s="45">
        <f>G396+G404</f>
        <v>111130.5</v>
      </c>
      <c r="H395" s="45">
        <f>H396+H411+H406+H413</f>
        <v>-674</v>
      </c>
      <c r="I395" s="45">
        <f>I396+I404</f>
        <v>110456.5</v>
      </c>
      <c r="J395" s="46">
        <f>J396+J404</f>
        <v>8708.7000000000007</v>
      </c>
      <c r="K395" s="45">
        <f>K396+K404</f>
        <v>-3300</v>
      </c>
      <c r="L395" s="46">
        <f>L396+L404</f>
        <v>5408.7</v>
      </c>
      <c r="M395" s="45">
        <f>M396+M404</f>
        <v>119839.2</v>
      </c>
      <c r="N395" s="45">
        <f>N396+N411+N406+N413</f>
        <v>-3974</v>
      </c>
      <c r="O395" s="45">
        <f>O396+O404</f>
        <v>115865.2</v>
      </c>
      <c r="P395" s="16"/>
    </row>
    <row r="396" spans="1:16" ht="15.75" x14ac:dyDescent="0.2">
      <c r="A396" s="40"/>
      <c r="B396" s="41" t="s">
        <v>486</v>
      </c>
      <c r="C396" s="42" t="s">
        <v>477</v>
      </c>
      <c r="D396" s="43" t="s">
        <v>483</v>
      </c>
      <c r="E396" s="43" t="s">
        <v>487</v>
      </c>
      <c r="F396" s="44" t="s">
        <v>11</v>
      </c>
      <c r="G396" s="45">
        <f>G397</f>
        <v>6334.3</v>
      </c>
      <c r="H396" s="45">
        <f>H397+H401</f>
        <v>0</v>
      </c>
      <c r="I396" s="45">
        <f>I397</f>
        <v>6334.3</v>
      </c>
      <c r="J396" s="46">
        <f>J397</f>
        <v>0</v>
      </c>
      <c r="K396" s="45">
        <f>K397+K399+K401</f>
        <v>0</v>
      </c>
      <c r="L396" s="46">
        <f>L397</f>
        <v>0</v>
      </c>
      <c r="M396" s="45">
        <f>M397</f>
        <v>6334.3</v>
      </c>
      <c r="N396" s="45">
        <f>N397</f>
        <v>0</v>
      </c>
      <c r="O396" s="45">
        <f>O397</f>
        <v>6334.3</v>
      </c>
    </row>
    <row r="397" spans="1:16" ht="15.75" x14ac:dyDescent="0.2">
      <c r="A397" s="40"/>
      <c r="B397" s="41" t="s">
        <v>488</v>
      </c>
      <c r="C397" s="42" t="s">
        <v>477</v>
      </c>
      <c r="D397" s="43" t="s">
        <v>483</v>
      </c>
      <c r="E397" s="43" t="s">
        <v>489</v>
      </c>
      <c r="F397" s="44" t="s">
        <v>11</v>
      </c>
      <c r="G397" s="45">
        <f>G398+G400+G402</f>
        <v>6334.3</v>
      </c>
      <c r="H397" s="45">
        <f>H398</f>
        <v>0</v>
      </c>
      <c r="I397" s="45">
        <f>I398+I400+I402</f>
        <v>6334.3</v>
      </c>
      <c r="J397" s="46">
        <f>J398+J400+J402</f>
        <v>0</v>
      </c>
      <c r="K397" s="45">
        <f>K398</f>
        <v>0</v>
      </c>
      <c r="L397" s="46">
        <f>L398+L400+L402</f>
        <v>0</v>
      </c>
      <c r="M397" s="45">
        <f>M398+M400+M402</f>
        <v>6334.3</v>
      </c>
      <c r="N397" s="45">
        <f>N398+N400+N402</f>
        <v>0</v>
      </c>
      <c r="O397" s="45">
        <f>O398+O400+O402</f>
        <v>6334.3</v>
      </c>
    </row>
    <row r="398" spans="1:16" ht="15.75" x14ac:dyDescent="0.2">
      <c r="A398" s="40"/>
      <c r="B398" s="41" t="s">
        <v>490</v>
      </c>
      <c r="C398" s="42" t="s">
        <v>477</v>
      </c>
      <c r="D398" s="43" t="s">
        <v>483</v>
      </c>
      <c r="E398" s="43" t="s">
        <v>491</v>
      </c>
      <c r="F398" s="44" t="s">
        <v>11</v>
      </c>
      <c r="G398" s="45">
        <f>G399</f>
        <v>6034.3</v>
      </c>
      <c r="H398" s="45">
        <f>H399</f>
        <v>0</v>
      </c>
      <c r="I398" s="45">
        <f>I399</f>
        <v>6034.3</v>
      </c>
      <c r="J398" s="46">
        <f>J399</f>
        <v>0</v>
      </c>
      <c r="K398" s="45"/>
      <c r="L398" s="46">
        <f>L399</f>
        <v>0</v>
      </c>
      <c r="M398" s="45">
        <f>M399</f>
        <v>6034.3</v>
      </c>
      <c r="N398" s="45">
        <f>N399</f>
        <v>0</v>
      </c>
      <c r="O398" s="45">
        <f>O399</f>
        <v>6034.3</v>
      </c>
    </row>
    <row r="399" spans="1:16" ht="31.5" x14ac:dyDescent="0.2">
      <c r="A399" s="40"/>
      <c r="B399" s="41" t="s">
        <v>40</v>
      </c>
      <c r="C399" s="42" t="s">
        <v>477</v>
      </c>
      <c r="D399" s="43" t="s">
        <v>483</v>
      </c>
      <c r="E399" s="43" t="s">
        <v>491</v>
      </c>
      <c r="F399" s="44" t="s">
        <v>41</v>
      </c>
      <c r="G399" s="45">
        <v>6034.3</v>
      </c>
      <c r="H399" s="45"/>
      <c r="I399" s="45">
        <f>SUM(G399+H399)</f>
        <v>6034.3</v>
      </c>
      <c r="J399" s="47">
        <v>0</v>
      </c>
      <c r="K399" s="45"/>
      <c r="L399" s="47">
        <v>0</v>
      </c>
      <c r="M399" s="45">
        <f>SUM(G399)</f>
        <v>6034.3</v>
      </c>
      <c r="N399" s="45">
        <f>SUM(H399)</f>
        <v>0</v>
      </c>
      <c r="O399" s="45">
        <f>SUM(M399+N399)</f>
        <v>6034.3</v>
      </c>
    </row>
    <row r="400" spans="1:16" ht="15.75" x14ac:dyDescent="0.2">
      <c r="A400" s="40"/>
      <c r="B400" s="41" t="s">
        <v>492</v>
      </c>
      <c r="C400" s="42" t="s">
        <v>477</v>
      </c>
      <c r="D400" s="43" t="s">
        <v>483</v>
      </c>
      <c r="E400" s="43" t="s">
        <v>493</v>
      </c>
      <c r="F400" s="44" t="s">
        <v>11</v>
      </c>
      <c r="G400" s="45">
        <f>G401</f>
        <v>300</v>
      </c>
      <c r="H400" s="45"/>
      <c r="I400" s="45">
        <f>I401</f>
        <v>300</v>
      </c>
      <c r="J400" s="46">
        <f>J401</f>
        <v>0</v>
      </c>
      <c r="K400" s="45"/>
      <c r="L400" s="46">
        <f>L401</f>
        <v>0</v>
      </c>
      <c r="M400" s="45">
        <f>M401</f>
        <v>300</v>
      </c>
      <c r="N400" s="45">
        <f>N401</f>
        <v>0</v>
      </c>
      <c r="O400" s="45">
        <f>O401</f>
        <v>300</v>
      </c>
    </row>
    <row r="401" spans="1:16" ht="31.5" x14ac:dyDescent="0.2">
      <c r="A401" s="40"/>
      <c r="B401" s="41" t="s">
        <v>40</v>
      </c>
      <c r="C401" s="42" t="s">
        <v>477</v>
      </c>
      <c r="D401" s="43" t="s">
        <v>483</v>
      </c>
      <c r="E401" s="43" t="s">
        <v>493</v>
      </c>
      <c r="F401" s="44" t="s">
        <v>41</v>
      </c>
      <c r="G401" s="45">
        <f>300000/1000</f>
        <v>300</v>
      </c>
      <c r="H401" s="45"/>
      <c r="I401" s="45">
        <f>300000/1000</f>
        <v>300</v>
      </c>
      <c r="J401" s="47">
        <v>0</v>
      </c>
      <c r="K401" s="45"/>
      <c r="L401" s="47">
        <v>0</v>
      </c>
      <c r="M401" s="45">
        <f>300000/1000</f>
        <v>300</v>
      </c>
      <c r="N401" s="45"/>
      <c r="O401" s="45">
        <f>300000/1000</f>
        <v>300</v>
      </c>
    </row>
    <row r="402" spans="1:16" ht="15.75" x14ac:dyDescent="0.2">
      <c r="A402" s="40"/>
      <c r="B402" s="41" t="s">
        <v>378</v>
      </c>
      <c r="C402" s="42" t="s">
        <v>477</v>
      </c>
      <c r="D402" s="43" t="s">
        <v>483</v>
      </c>
      <c r="E402" s="43" t="s">
        <v>494</v>
      </c>
      <c r="F402" s="44" t="s">
        <v>11</v>
      </c>
      <c r="G402" s="45">
        <f>G403</f>
        <v>0</v>
      </c>
      <c r="H402" s="45"/>
      <c r="I402" s="45">
        <f>I403</f>
        <v>0</v>
      </c>
      <c r="J402" s="46">
        <f>J403</f>
        <v>0</v>
      </c>
      <c r="K402" s="45"/>
      <c r="L402" s="46">
        <f>L403</f>
        <v>0</v>
      </c>
      <c r="M402" s="45">
        <f>M403</f>
        <v>0</v>
      </c>
      <c r="N402" s="45">
        <f>N403</f>
        <v>0</v>
      </c>
      <c r="O402" s="45">
        <f>O403</f>
        <v>0</v>
      </c>
    </row>
    <row r="403" spans="1:16" ht="31.5" x14ac:dyDescent="0.2">
      <c r="A403" s="40"/>
      <c r="B403" s="41" t="s">
        <v>40</v>
      </c>
      <c r="C403" s="42" t="s">
        <v>477</v>
      </c>
      <c r="D403" s="43" t="s">
        <v>483</v>
      </c>
      <c r="E403" s="43" t="s">
        <v>494</v>
      </c>
      <c r="F403" s="44" t="s">
        <v>41</v>
      </c>
      <c r="G403" s="45"/>
      <c r="H403" s="45"/>
      <c r="I403" s="45"/>
      <c r="J403" s="47">
        <v>0</v>
      </c>
      <c r="K403" s="45"/>
      <c r="L403" s="47">
        <v>0</v>
      </c>
      <c r="M403" s="45"/>
      <c r="N403" s="45"/>
      <c r="O403" s="45"/>
    </row>
    <row r="404" spans="1:16" ht="47.25" x14ac:dyDescent="0.2">
      <c r="A404" s="40"/>
      <c r="B404" s="41" t="s">
        <v>495</v>
      </c>
      <c r="C404" s="42" t="s">
        <v>477</v>
      </c>
      <c r="D404" s="43" t="s">
        <v>483</v>
      </c>
      <c r="E404" s="43" t="s">
        <v>496</v>
      </c>
      <c r="F404" s="44" t="s">
        <v>11</v>
      </c>
      <c r="G404" s="45">
        <f>G405</f>
        <v>104796.2</v>
      </c>
      <c r="H404" s="45">
        <f>H405+H410+H414+H417</f>
        <v>-674</v>
      </c>
      <c r="I404" s="45">
        <f>I405</f>
        <v>104122.2</v>
      </c>
      <c r="J404" s="46">
        <f>J405</f>
        <v>8708.7000000000007</v>
      </c>
      <c r="K404" s="45">
        <f>K405+K410+K414+K417</f>
        <v>-3300</v>
      </c>
      <c r="L404" s="46">
        <f>L405</f>
        <v>5408.7</v>
      </c>
      <c r="M404" s="45">
        <f>M405+M411</f>
        <v>113504.9</v>
      </c>
      <c r="N404" s="45">
        <f>N405</f>
        <v>-3974</v>
      </c>
      <c r="O404" s="45">
        <f>O405</f>
        <v>109530.9</v>
      </c>
      <c r="P404" s="16"/>
    </row>
    <row r="405" spans="1:16" ht="47.25" x14ac:dyDescent="0.2">
      <c r="A405" s="40"/>
      <c r="B405" s="41" t="s">
        <v>497</v>
      </c>
      <c r="C405" s="42" t="s">
        <v>477</v>
      </c>
      <c r="D405" s="43" t="s">
        <v>483</v>
      </c>
      <c r="E405" s="43" t="s">
        <v>498</v>
      </c>
      <c r="F405" s="44" t="s">
        <v>11</v>
      </c>
      <c r="G405" s="45">
        <f>G406+G413+G415+G418+G411</f>
        <v>104796.2</v>
      </c>
      <c r="H405" s="45">
        <f>H406+H407+H409+H411+H413</f>
        <v>-674</v>
      </c>
      <c r="I405" s="45">
        <f>I406+I413+I415+I418+I411</f>
        <v>104122.2</v>
      </c>
      <c r="J405" s="46">
        <f>J406+J413+J415+J418+J411</f>
        <v>8708.7000000000007</v>
      </c>
      <c r="K405" s="45">
        <f>K406+K407+K408+K409+K411</f>
        <v>-3300</v>
      </c>
      <c r="L405" s="46">
        <f>L406+L413+L415+L418+L411</f>
        <v>5408.7</v>
      </c>
      <c r="M405" s="45">
        <f>M406+M413+M415+M418</f>
        <v>108082</v>
      </c>
      <c r="N405" s="45">
        <f>N406+N407+N409+N411+N413</f>
        <v>-3974</v>
      </c>
      <c r="O405" s="45">
        <f>O406+O413+O415+O418+O411</f>
        <v>109530.9</v>
      </c>
      <c r="P405" s="16"/>
    </row>
    <row r="406" spans="1:16" ht="31.5" x14ac:dyDescent="0.2">
      <c r="A406" s="40"/>
      <c r="B406" s="41" t="s">
        <v>134</v>
      </c>
      <c r="C406" s="42" t="s">
        <v>477</v>
      </c>
      <c r="D406" s="43" t="s">
        <v>483</v>
      </c>
      <c r="E406" s="43" t="s">
        <v>499</v>
      </c>
      <c r="F406" s="44" t="s">
        <v>11</v>
      </c>
      <c r="G406" s="45">
        <f>G407+G408+G409+G410</f>
        <v>99978.700000000012</v>
      </c>
      <c r="H406" s="45">
        <f>SUM(H408)</f>
        <v>0</v>
      </c>
      <c r="I406" s="45">
        <f>I407+I408+I409+I410</f>
        <v>99978.700000000012</v>
      </c>
      <c r="J406" s="46">
        <f>J407+J408+J409+J410</f>
        <v>0</v>
      </c>
      <c r="K406" s="45"/>
      <c r="L406" s="46">
        <f>L407+L408+L409+L410</f>
        <v>0</v>
      </c>
      <c r="M406" s="45">
        <f>M407+M408+M409+M410</f>
        <v>99978.700000000012</v>
      </c>
      <c r="N406" s="45">
        <f>N407+N408+N409+N410</f>
        <v>0</v>
      </c>
      <c r="O406" s="45">
        <f>O407+O408+O409+O410</f>
        <v>99978.700000000012</v>
      </c>
    </row>
    <row r="407" spans="1:16" ht="78.75" x14ac:dyDescent="0.2">
      <c r="A407" s="40"/>
      <c r="B407" s="41" t="s">
        <v>61</v>
      </c>
      <c r="C407" s="42" t="s">
        <v>477</v>
      </c>
      <c r="D407" s="43" t="s">
        <v>483</v>
      </c>
      <c r="E407" s="43" t="s">
        <v>499</v>
      </c>
      <c r="F407" s="44" t="s">
        <v>62</v>
      </c>
      <c r="G407" s="45">
        <f>16503800/1000</f>
        <v>16503.8</v>
      </c>
      <c r="H407" s="45"/>
      <c r="I407" s="45">
        <f>16503800/1000</f>
        <v>16503.8</v>
      </c>
      <c r="J407" s="47">
        <v>0</v>
      </c>
      <c r="K407" s="45"/>
      <c r="L407" s="47">
        <v>0</v>
      </c>
      <c r="M407" s="45">
        <f>16503800/1000</f>
        <v>16503.8</v>
      </c>
      <c r="N407" s="45"/>
      <c r="O407" s="45">
        <f>16503800/1000</f>
        <v>16503.8</v>
      </c>
    </row>
    <row r="408" spans="1:16" ht="31.5" x14ac:dyDescent="0.2">
      <c r="A408" s="40"/>
      <c r="B408" s="41" t="s">
        <v>40</v>
      </c>
      <c r="C408" s="42" t="s">
        <v>477</v>
      </c>
      <c r="D408" s="43" t="s">
        <v>483</v>
      </c>
      <c r="E408" s="43" t="s">
        <v>499</v>
      </c>
      <c r="F408" s="44" t="s">
        <v>41</v>
      </c>
      <c r="G408" s="45">
        <v>6317.8</v>
      </c>
      <c r="H408" s="48"/>
      <c r="I408" s="45">
        <f>SUM(G408)</f>
        <v>6317.8</v>
      </c>
      <c r="J408" s="47">
        <v>0</v>
      </c>
      <c r="K408" s="48"/>
      <c r="L408" s="47">
        <v>0</v>
      </c>
      <c r="M408" s="45">
        <f>SUM(G408)</f>
        <v>6317.8</v>
      </c>
      <c r="N408" s="45">
        <f>SUM(H408)</f>
        <v>0</v>
      </c>
      <c r="O408" s="45">
        <f>SUM(I408)</f>
        <v>6317.8</v>
      </c>
    </row>
    <row r="409" spans="1:16" ht="39" customHeight="1" x14ac:dyDescent="0.2">
      <c r="A409" s="40"/>
      <c r="B409" s="41" t="s">
        <v>95</v>
      </c>
      <c r="C409" s="42" t="s">
        <v>477</v>
      </c>
      <c r="D409" s="43" t="s">
        <v>483</v>
      </c>
      <c r="E409" s="43" t="s">
        <v>499</v>
      </c>
      <c r="F409" s="44" t="s">
        <v>96</v>
      </c>
      <c r="G409" s="48">
        <f>75925300/1000+1213.2</f>
        <v>77138.5</v>
      </c>
      <c r="H409" s="45"/>
      <c r="I409" s="48">
        <f>75925300/1000+1213.2</f>
        <v>77138.5</v>
      </c>
      <c r="J409" s="47">
        <v>0</v>
      </c>
      <c r="K409" s="45"/>
      <c r="L409" s="47">
        <v>0</v>
      </c>
      <c r="M409" s="48">
        <f>75925300/1000+1213.2</f>
        <v>77138.5</v>
      </c>
      <c r="N409" s="48"/>
      <c r="O409" s="48">
        <f>75925300/1000+1213.2</f>
        <v>77138.5</v>
      </c>
    </row>
    <row r="410" spans="1:16" ht="15.75" x14ac:dyDescent="0.2">
      <c r="A410" s="40"/>
      <c r="B410" s="41" t="s">
        <v>338</v>
      </c>
      <c r="C410" s="42" t="s">
        <v>477</v>
      </c>
      <c r="D410" s="43" t="s">
        <v>483</v>
      </c>
      <c r="E410" s="43" t="s">
        <v>499</v>
      </c>
      <c r="F410" s="44" t="s">
        <v>71</v>
      </c>
      <c r="G410" s="45">
        <f>18600/1000</f>
        <v>18.600000000000001</v>
      </c>
      <c r="H410" s="45"/>
      <c r="I410" s="45">
        <f>18600/1000</f>
        <v>18.600000000000001</v>
      </c>
      <c r="J410" s="47">
        <v>0</v>
      </c>
      <c r="K410" s="45"/>
      <c r="L410" s="47">
        <v>0</v>
      </c>
      <c r="M410" s="45">
        <f>18600/1000</f>
        <v>18.600000000000001</v>
      </c>
      <c r="N410" s="45"/>
      <c r="O410" s="45">
        <f>18600/1000</f>
        <v>18.600000000000001</v>
      </c>
    </row>
    <row r="411" spans="1:16" ht="31.5" x14ac:dyDescent="0.2">
      <c r="A411" s="40"/>
      <c r="B411" s="41" t="s">
        <v>500</v>
      </c>
      <c r="C411" s="42">
        <v>993</v>
      </c>
      <c r="D411" s="43" t="s">
        <v>483</v>
      </c>
      <c r="E411" s="57" t="s">
        <v>501</v>
      </c>
      <c r="F411" s="44"/>
      <c r="G411" s="45">
        <f>SUM(F411)+G412</f>
        <v>2122.9</v>
      </c>
      <c r="H411" s="45">
        <f>SUM(H412)</f>
        <v>-674</v>
      </c>
      <c r="I411" s="45">
        <f>SUM(G411)+H411</f>
        <v>1448.9</v>
      </c>
      <c r="J411" s="47">
        <f>SUM(J412)</f>
        <v>3300</v>
      </c>
      <c r="K411" s="45">
        <f>SUM(K412)</f>
        <v>-3300</v>
      </c>
      <c r="L411" s="47">
        <f>SUM(J411)+K411</f>
        <v>0</v>
      </c>
      <c r="M411" s="45">
        <f>SUM(G411+J411)</f>
        <v>5422.9</v>
      </c>
      <c r="N411" s="45">
        <f>SUM(K411)+H411</f>
        <v>-3974</v>
      </c>
      <c r="O411" s="45">
        <f>SUM(I411)+L411</f>
        <v>1448.9</v>
      </c>
    </row>
    <row r="412" spans="1:16" ht="47.25" x14ac:dyDescent="0.2">
      <c r="A412" s="40"/>
      <c r="B412" s="41" t="s">
        <v>95</v>
      </c>
      <c r="C412" s="42">
        <v>993</v>
      </c>
      <c r="D412" s="43" t="s">
        <v>483</v>
      </c>
      <c r="E412" s="57" t="s">
        <v>501</v>
      </c>
      <c r="F412" s="44">
        <v>600</v>
      </c>
      <c r="G412" s="45">
        <v>2122.9</v>
      </c>
      <c r="H412" s="45">
        <f>-2122.9+558.9+890</f>
        <v>-674</v>
      </c>
      <c r="I412" s="45">
        <f>SUM(G412)+H412</f>
        <v>1448.9</v>
      </c>
      <c r="J412" s="47">
        <v>3300</v>
      </c>
      <c r="K412" s="45">
        <v>-3300</v>
      </c>
      <c r="L412" s="47">
        <f>SUM(J412)+K412</f>
        <v>0</v>
      </c>
      <c r="M412" s="45">
        <f>SUM(G412+J412)</f>
        <v>5422.9</v>
      </c>
      <c r="N412" s="45">
        <f>SUM(K412)+H412</f>
        <v>-3974</v>
      </c>
      <c r="O412" s="45">
        <f>SUM(I412)+L412</f>
        <v>1448.9</v>
      </c>
    </row>
    <row r="413" spans="1:16" ht="47.25" x14ac:dyDescent="0.2">
      <c r="A413" s="40"/>
      <c r="B413" s="41" t="s">
        <v>283</v>
      </c>
      <c r="C413" s="42" t="s">
        <v>477</v>
      </c>
      <c r="D413" s="43" t="s">
        <v>483</v>
      </c>
      <c r="E413" s="43" t="s">
        <v>502</v>
      </c>
      <c r="F413" s="44" t="s">
        <v>11</v>
      </c>
      <c r="G413" s="45">
        <f>G414</f>
        <v>1814</v>
      </c>
      <c r="H413" s="45">
        <f>SUM(H414)</f>
        <v>0</v>
      </c>
      <c r="I413" s="45">
        <f>SUM(G413)</f>
        <v>1814</v>
      </c>
      <c r="J413" s="46">
        <f>J414</f>
        <v>0</v>
      </c>
      <c r="K413" s="45"/>
      <c r="L413" s="46">
        <f>L414</f>
        <v>0</v>
      </c>
      <c r="M413" s="45">
        <f>M414</f>
        <v>1814</v>
      </c>
      <c r="N413" s="45">
        <f>N414</f>
        <v>0</v>
      </c>
      <c r="O413" s="45">
        <f>O414</f>
        <v>1814</v>
      </c>
    </row>
    <row r="414" spans="1:16" ht="36" customHeight="1" x14ac:dyDescent="0.2">
      <c r="A414" s="40"/>
      <c r="B414" s="41" t="s">
        <v>95</v>
      </c>
      <c r="C414" s="42" t="s">
        <v>477</v>
      </c>
      <c r="D414" s="43" t="s">
        <v>483</v>
      </c>
      <c r="E414" s="43" t="s">
        <v>502</v>
      </c>
      <c r="F414" s="44" t="s">
        <v>96</v>
      </c>
      <c r="G414" s="45">
        <v>1814</v>
      </c>
      <c r="H414" s="45"/>
      <c r="I414" s="45">
        <f>SUM(G414)</f>
        <v>1814</v>
      </c>
      <c r="J414" s="47"/>
      <c r="K414" s="45"/>
      <c r="L414" s="47"/>
      <c r="M414" s="45">
        <f>SUM(G414)</f>
        <v>1814</v>
      </c>
      <c r="N414" s="45">
        <f>SUM(H414)</f>
        <v>0</v>
      </c>
      <c r="O414" s="45">
        <f>SUM(M414)</f>
        <v>1814</v>
      </c>
    </row>
    <row r="415" spans="1:16" ht="31.5" x14ac:dyDescent="0.2">
      <c r="A415" s="40"/>
      <c r="B415" s="41" t="s">
        <v>503</v>
      </c>
      <c r="C415" s="42" t="s">
        <v>477</v>
      </c>
      <c r="D415" s="43" t="s">
        <v>483</v>
      </c>
      <c r="E415" s="43" t="s">
        <v>504</v>
      </c>
      <c r="F415" s="44" t="s">
        <v>11</v>
      </c>
      <c r="G415" s="45">
        <f>G416</f>
        <v>626.20000000000005</v>
      </c>
      <c r="H415" s="45"/>
      <c r="I415" s="45">
        <f>I416</f>
        <v>626.20000000000005</v>
      </c>
      <c r="J415" s="46">
        <f>J416</f>
        <v>3846.2</v>
      </c>
      <c r="K415" s="45"/>
      <c r="L415" s="46">
        <f>L416</f>
        <v>3846.2</v>
      </c>
      <c r="M415" s="45">
        <f>M416</f>
        <v>4472.3999999999996</v>
      </c>
      <c r="N415" s="45">
        <f>N416</f>
        <v>0</v>
      </c>
      <c r="O415" s="45">
        <f>O416</f>
        <v>4472.3999999999996</v>
      </c>
    </row>
    <row r="416" spans="1:16" ht="36" customHeight="1" x14ac:dyDescent="0.2">
      <c r="A416" s="40"/>
      <c r="B416" s="41" t="s">
        <v>95</v>
      </c>
      <c r="C416" s="42" t="s">
        <v>477</v>
      </c>
      <c r="D416" s="43" t="s">
        <v>483</v>
      </c>
      <c r="E416" s="43" t="s">
        <v>504</v>
      </c>
      <c r="F416" s="44" t="s">
        <v>96</v>
      </c>
      <c r="G416" s="45">
        <v>626.20000000000005</v>
      </c>
      <c r="H416" s="45"/>
      <c r="I416" s="45">
        <v>626.20000000000005</v>
      </c>
      <c r="J416" s="47">
        <v>3846.2</v>
      </c>
      <c r="K416" s="45"/>
      <c r="L416" s="47">
        <v>3846.2</v>
      </c>
      <c r="M416" s="45">
        <f>626.2+J416</f>
        <v>4472.3999999999996</v>
      </c>
      <c r="N416" s="45"/>
      <c r="O416" s="45">
        <f>626.2+L416</f>
        <v>4472.3999999999996</v>
      </c>
    </row>
    <row r="417" spans="1:15" ht="36" customHeight="1" x14ac:dyDescent="0.2">
      <c r="A417" s="40"/>
      <c r="B417" s="56" t="s">
        <v>505</v>
      </c>
      <c r="C417" s="42">
        <v>993</v>
      </c>
      <c r="D417" s="43" t="s">
        <v>483</v>
      </c>
      <c r="E417" s="43" t="s">
        <v>506</v>
      </c>
      <c r="F417" s="44"/>
      <c r="G417" s="45">
        <v>254.4</v>
      </c>
      <c r="H417" s="45"/>
      <c r="I417" s="45">
        <v>254.4</v>
      </c>
      <c r="J417" s="47">
        <v>1562.5</v>
      </c>
      <c r="K417" s="45"/>
      <c r="L417" s="47">
        <v>1562.5</v>
      </c>
      <c r="M417" s="45">
        <f>254.4+J417</f>
        <v>1816.9</v>
      </c>
      <c r="N417" s="45"/>
      <c r="O417" s="45">
        <f>254.4+L417</f>
        <v>1816.9</v>
      </c>
    </row>
    <row r="418" spans="1:15" ht="36" customHeight="1" x14ac:dyDescent="0.2">
      <c r="A418" s="40"/>
      <c r="B418" s="56" t="s">
        <v>507</v>
      </c>
      <c r="C418" s="42">
        <v>993</v>
      </c>
      <c r="D418" s="43" t="s">
        <v>483</v>
      </c>
      <c r="E418" s="43" t="s">
        <v>508</v>
      </c>
      <c r="F418" s="44"/>
      <c r="G418" s="45">
        <v>254.4</v>
      </c>
      <c r="H418" s="45"/>
      <c r="I418" s="45">
        <v>254.4</v>
      </c>
      <c r="J418" s="47">
        <v>1562.5</v>
      </c>
      <c r="K418" s="45"/>
      <c r="L418" s="47">
        <v>1562.5</v>
      </c>
      <c r="M418" s="45">
        <f>254.4+J418</f>
        <v>1816.9</v>
      </c>
      <c r="N418" s="45"/>
      <c r="O418" s="45">
        <f>254.4+L418</f>
        <v>1816.9</v>
      </c>
    </row>
    <row r="419" spans="1:15" ht="36" customHeight="1" x14ac:dyDescent="0.2">
      <c r="A419" s="40"/>
      <c r="B419" s="41" t="s">
        <v>95</v>
      </c>
      <c r="C419" s="42">
        <v>993</v>
      </c>
      <c r="D419" s="43" t="s">
        <v>483</v>
      </c>
      <c r="E419" s="43" t="s">
        <v>508</v>
      </c>
      <c r="F419" s="44">
        <v>600</v>
      </c>
      <c r="G419" s="45">
        <v>254.4</v>
      </c>
      <c r="H419" s="38"/>
      <c r="I419" s="45">
        <v>254.4</v>
      </c>
      <c r="J419" s="47">
        <v>1562.5</v>
      </c>
      <c r="K419" s="38"/>
      <c r="L419" s="47">
        <v>1562.5</v>
      </c>
      <c r="M419" s="45">
        <f>254.4+J419</f>
        <v>1816.9</v>
      </c>
      <c r="N419" s="45"/>
      <c r="O419" s="45">
        <f>254.4+L419</f>
        <v>1816.9</v>
      </c>
    </row>
    <row r="420" spans="1:15" ht="15.75" x14ac:dyDescent="0.2">
      <c r="A420" s="33" t="s">
        <v>509</v>
      </c>
      <c r="B420" s="34" t="s">
        <v>510</v>
      </c>
      <c r="C420" s="35" t="s">
        <v>477</v>
      </c>
      <c r="D420" s="36" t="s">
        <v>511</v>
      </c>
      <c r="E420" s="36" t="s">
        <v>11</v>
      </c>
      <c r="F420" s="37" t="s">
        <v>11</v>
      </c>
      <c r="G420" s="38">
        <f t="shared" ref="G420:O424" si="60">G421</f>
        <v>10735.7</v>
      </c>
      <c r="H420" s="45">
        <f t="shared" si="60"/>
        <v>0</v>
      </c>
      <c r="I420" s="38">
        <f t="shared" si="60"/>
        <v>10735.7</v>
      </c>
      <c r="J420" s="39">
        <f t="shared" si="60"/>
        <v>0</v>
      </c>
      <c r="K420" s="45">
        <f>K421</f>
        <v>0</v>
      </c>
      <c r="L420" s="39">
        <f t="shared" si="60"/>
        <v>0</v>
      </c>
      <c r="M420" s="38">
        <f t="shared" si="60"/>
        <v>10735.7</v>
      </c>
      <c r="N420" s="38">
        <f t="shared" si="60"/>
        <v>0</v>
      </c>
      <c r="O420" s="38">
        <f t="shared" si="60"/>
        <v>10735.7</v>
      </c>
    </row>
    <row r="421" spans="1:15" ht="31.5" x14ac:dyDescent="0.2">
      <c r="A421" s="40"/>
      <c r="B421" s="41" t="s">
        <v>484</v>
      </c>
      <c r="C421" s="42" t="s">
        <v>477</v>
      </c>
      <c r="D421" s="43" t="s">
        <v>511</v>
      </c>
      <c r="E421" s="43" t="s">
        <v>485</v>
      </c>
      <c r="F421" s="44" t="s">
        <v>11</v>
      </c>
      <c r="G421" s="45">
        <f t="shared" si="60"/>
        <v>10735.7</v>
      </c>
      <c r="H421" s="45">
        <f t="shared" si="60"/>
        <v>0</v>
      </c>
      <c r="I421" s="45">
        <f t="shared" si="60"/>
        <v>10735.7</v>
      </c>
      <c r="J421" s="46">
        <f t="shared" si="60"/>
        <v>0</v>
      </c>
      <c r="K421" s="45">
        <f>K422</f>
        <v>0</v>
      </c>
      <c r="L421" s="46">
        <f t="shared" si="60"/>
        <v>0</v>
      </c>
      <c r="M421" s="45">
        <f t="shared" si="60"/>
        <v>10735.7</v>
      </c>
      <c r="N421" s="45">
        <f t="shared" si="60"/>
        <v>0</v>
      </c>
      <c r="O421" s="45">
        <f t="shared" si="60"/>
        <v>10735.7</v>
      </c>
    </row>
    <row r="422" spans="1:15" ht="47.25" x14ac:dyDescent="0.2">
      <c r="A422" s="40"/>
      <c r="B422" s="41" t="s">
        <v>495</v>
      </c>
      <c r="C422" s="42" t="s">
        <v>477</v>
      </c>
      <c r="D422" s="43" t="s">
        <v>511</v>
      </c>
      <c r="E422" s="43" t="s">
        <v>496</v>
      </c>
      <c r="F422" s="44" t="s">
        <v>11</v>
      </c>
      <c r="G422" s="45">
        <f t="shared" si="60"/>
        <v>10735.7</v>
      </c>
      <c r="H422" s="45">
        <f t="shared" si="60"/>
        <v>0</v>
      </c>
      <c r="I422" s="45">
        <f t="shared" si="60"/>
        <v>10735.7</v>
      </c>
      <c r="J422" s="46">
        <f t="shared" si="60"/>
        <v>0</v>
      </c>
      <c r="K422" s="45">
        <f>K423</f>
        <v>0</v>
      </c>
      <c r="L422" s="46">
        <f t="shared" si="60"/>
        <v>0</v>
      </c>
      <c r="M422" s="45">
        <f t="shared" si="60"/>
        <v>10735.7</v>
      </c>
      <c r="N422" s="45">
        <f t="shared" si="60"/>
        <v>0</v>
      </c>
      <c r="O422" s="45">
        <f t="shared" si="60"/>
        <v>10735.7</v>
      </c>
    </row>
    <row r="423" spans="1:15" ht="47.25" x14ac:dyDescent="0.2">
      <c r="A423" s="40"/>
      <c r="B423" s="41" t="s">
        <v>497</v>
      </c>
      <c r="C423" s="42" t="s">
        <v>477</v>
      </c>
      <c r="D423" s="43" t="s">
        <v>511</v>
      </c>
      <c r="E423" s="43" t="s">
        <v>498</v>
      </c>
      <c r="F423" s="44" t="s">
        <v>11</v>
      </c>
      <c r="G423" s="45">
        <f t="shared" si="60"/>
        <v>10735.7</v>
      </c>
      <c r="H423" s="45">
        <f t="shared" si="60"/>
        <v>0</v>
      </c>
      <c r="I423" s="45">
        <f t="shared" si="60"/>
        <v>10735.7</v>
      </c>
      <c r="J423" s="46">
        <f t="shared" si="60"/>
        <v>0</v>
      </c>
      <c r="K423" s="45">
        <f>K424</f>
        <v>0</v>
      </c>
      <c r="L423" s="46">
        <f t="shared" si="60"/>
        <v>0</v>
      </c>
      <c r="M423" s="45">
        <f t="shared" si="60"/>
        <v>10735.7</v>
      </c>
      <c r="N423" s="45">
        <f t="shared" si="60"/>
        <v>0</v>
      </c>
      <c r="O423" s="45">
        <f t="shared" si="60"/>
        <v>10735.7</v>
      </c>
    </row>
    <row r="424" spans="1:15" ht="31.5" x14ac:dyDescent="0.2">
      <c r="A424" s="40"/>
      <c r="B424" s="41" t="s">
        <v>134</v>
      </c>
      <c r="C424" s="42" t="s">
        <v>477</v>
      </c>
      <c r="D424" s="43" t="s">
        <v>511</v>
      </c>
      <c r="E424" s="43" t="s">
        <v>499</v>
      </c>
      <c r="F424" s="44" t="s">
        <v>11</v>
      </c>
      <c r="G424" s="45">
        <f>G425</f>
        <v>10735.7</v>
      </c>
      <c r="H424" s="45"/>
      <c r="I424" s="45">
        <f>I425</f>
        <v>10735.7</v>
      </c>
      <c r="J424" s="46">
        <f t="shared" si="60"/>
        <v>0</v>
      </c>
      <c r="K424" s="45"/>
      <c r="L424" s="46">
        <f t="shared" si="60"/>
        <v>0</v>
      </c>
      <c r="M424" s="45">
        <f t="shared" si="60"/>
        <v>10735.7</v>
      </c>
      <c r="N424" s="45">
        <f t="shared" si="60"/>
        <v>0</v>
      </c>
      <c r="O424" s="45">
        <f t="shared" si="60"/>
        <v>10735.7</v>
      </c>
    </row>
    <row r="425" spans="1:15" ht="36.6" customHeight="1" x14ac:dyDescent="0.2">
      <c r="A425" s="40"/>
      <c r="B425" s="41" t="s">
        <v>95</v>
      </c>
      <c r="C425" s="42" t="s">
        <v>477</v>
      </c>
      <c r="D425" s="43" t="s">
        <v>511</v>
      </c>
      <c r="E425" s="43" t="s">
        <v>499</v>
      </c>
      <c r="F425" s="44" t="s">
        <v>96</v>
      </c>
      <c r="G425" s="45">
        <f>10735700/1000</f>
        <v>10735.7</v>
      </c>
      <c r="H425" s="38"/>
      <c r="I425" s="45">
        <f>10735700/1000</f>
        <v>10735.7</v>
      </c>
      <c r="J425" s="47">
        <v>0</v>
      </c>
      <c r="K425" s="38"/>
      <c r="L425" s="47">
        <v>0</v>
      </c>
      <c r="M425" s="45">
        <f>10735700/1000</f>
        <v>10735.7</v>
      </c>
      <c r="N425" s="45"/>
      <c r="O425" s="45">
        <f>10735700/1000</f>
        <v>10735.7</v>
      </c>
    </row>
    <row r="426" spans="1:15" ht="31.5" x14ac:dyDescent="0.2">
      <c r="A426" s="33" t="s">
        <v>512</v>
      </c>
      <c r="B426" s="34" t="s">
        <v>513</v>
      </c>
      <c r="C426" s="35" t="s">
        <v>477</v>
      </c>
      <c r="D426" s="36" t="s">
        <v>514</v>
      </c>
      <c r="E426" s="36" t="s">
        <v>11</v>
      </c>
      <c r="F426" s="37" t="s">
        <v>11</v>
      </c>
      <c r="G426" s="38">
        <f>G427</f>
        <v>16307.699999999999</v>
      </c>
      <c r="H426" s="45">
        <f>H427+H437</f>
        <v>0</v>
      </c>
      <c r="I426" s="38">
        <f>I427</f>
        <v>16307.699999999999</v>
      </c>
      <c r="J426" s="39">
        <f>J427</f>
        <v>0</v>
      </c>
      <c r="K426" s="45">
        <f>K427+K437</f>
        <v>0</v>
      </c>
      <c r="L426" s="39">
        <f>L427</f>
        <v>0</v>
      </c>
      <c r="M426" s="38">
        <f>M427</f>
        <v>16307.699999999999</v>
      </c>
      <c r="N426" s="38">
        <f>N427</f>
        <v>0</v>
      </c>
      <c r="O426" s="38">
        <f>O427</f>
        <v>16307.699999999999</v>
      </c>
    </row>
    <row r="427" spans="1:15" ht="31.5" x14ac:dyDescent="0.2">
      <c r="A427" s="40"/>
      <c r="B427" s="41" t="s">
        <v>484</v>
      </c>
      <c r="C427" s="42" t="s">
        <v>477</v>
      </c>
      <c r="D427" s="43" t="s">
        <v>514</v>
      </c>
      <c r="E427" s="43" t="s">
        <v>485</v>
      </c>
      <c r="F427" s="44" t="s">
        <v>11</v>
      </c>
      <c r="G427" s="45">
        <f>G428+G438</f>
        <v>16307.699999999999</v>
      </c>
      <c r="H427" s="45">
        <f>H428+H432</f>
        <v>0</v>
      </c>
      <c r="I427" s="45">
        <f>I428+I438</f>
        <v>16307.699999999999</v>
      </c>
      <c r="J427" s="46">
        <f>J428+J438</f>
        <v>0</v>
      </c>
      <c r="K427" s="45">
        <f>K428+K432</f>
        <v>0</v>
      </c>
      <c r="L427" s="46">
        <f>L428+L438</f>
        <v>0</v>
      </c>
      <c r="M427" s="45">
        <f>M428+M438</f>
        <v>16307.699999999999</v>
      </c>
      <c r="N427" s="45">
        <f>N428+N438</f>
        <v>0</v>
      </c>
      <c r="O427" s="45">
        <f>O428+O438</f>
        <v>16307.699999999999</v>
      </c>
    </row>
    <row r="428" spans="1:15" ht="47.25" x14ac:dyDescent="0.2">
      <c r="A428" s="40"/>
      <c r="B428" s="41" t="s">
        <v>495</v>
      </c>
      <c r="C428" s="42" t="s">
        <v>477</v>
      </c>
      <c r="D428" s="43" t="s">
        <v>514</v>
      </c>
      <c r="E428" s="43" t="s">
        <v>496</v>
      </c>
      <c r="F428" s="44" t="s">
        <v>11</v>
      </c>
      <c r="G428" s="45">
        <f>G429+G433</f>
        <v>14441.8</v>
      </c>
      <c r="H428" s="45">
        <f>H429+H433</f>
        <v>0</v>
      </c>
      <c r="I428" s="45">
        <f>I429+I433</f>
        <v>14441.8</v>
      </c>
      <c r="J428" s="46">
        <f>J429+J433</f>
        <v>0</v>
      </c>
      <c r="K428" s="45">
        <f>K429</f>
        <v>0</v>
      </c>
      <c r="L428" s="46">
        <f>L429+L433</f>
        <v>0</v>
      </c>
      <c r="M428" s="45">
        <f>M429+M433</f>
        <v>14441.8</v>
      </c>
      <c r="N428" s="45">
        <f>N429+N433</f>
        <v>0</v>
      </c>
      <c r="O428" s="45">
        <f>O429+O433</f>
        <v>14441.8</v>
      </c>
    </row>
    <row r="429" spans="1:15" ht="47.25" x14ac:dyDescent="0.2">
      <c r="A429" s="40"/>
      <c r="B429" s="41" t="s">
        <v>497</v>
      </c>
      <c r="C429" s="42" t="s">
        <v>477</v>
      </c>
      <c r="D429" s="43" t="s">
        <v>514</v>
      </c>
      <c r="E429" s="43" t="s">
        <v>498</v>
      </c>
      <c r="F429" s="44" t="s">
        <v>11</v>
      </c>
      <c r="G429" s="45">
        <f>G430</f>
        <v>4730.5999999999995</v>
      </c>
      <c r="H429" s="45">
        <f>H430+H431</f>
        <v>0</v>
      </c>
      <c r="I429" s="45">
        <f>I430</f>
        <v>4730.5999999999995</v>
      </c>
      <c r="J429" s="46">
        <f>J430</f>
        <v>0</v>
      </c>
      <c r="K429" s="45">
        <f>K430+K431</f>
        <v>0</v>
      </c>
      <c r="L429" s="46">
        <f>L430</f>
        <v>0</v>
      </c>
      <c r="M429" s="45">
        <f>M430</f>
        <v>4730.5999999999995</v>
      </c>
      <c r="N429" s="45">
        <f>N430</f>
        <v>0</v>
      </c>
      <c r="O429" s="45">
        <f>O430</f>
        <v>4730.5999999999995</v>
      </c>
    </row>
    <row r="430" spans="1:15" ht="31.5" x14ac:dyDescent="0.2">
      <c r="A430" s="40"/>
      <c r="B430" s="41" t="s">
        <v>134</v>
      </c>
      <c r="C430" s="42" t="s">
        <v>477</v>
      </c>
      <c r="D430" s="43" t="s">
        <v>514</v>
      </c>
      <c r="E430" s="43" t="s">
        <v>499</v>
      </c>
      <c r="F430" s="44" t="s">
        <v>11</v>
      </c>
      <c r="G430" s="45">
        <f>G431+G432</f>
        <v>4730.5999999999995</v>
      </c>
      <c r="H430" s="45">
        <f>SUM(H432)</f>
        <v>0</v>
      </c>
      <c r="I430" s="45">
        <f>I431+I432</f>
        <v>4730.5999999999995</v>
      </c>
      <c r="J430" s="46">
        <f>J431+J432</f>
        <v>0</v>
      </c>
      <c r="K430" s="45"/>
      <c r="L430" s="46">
        <f>L431+L432</f>
        <v>0</v>
      </c>
      <c r="M430" s="45">
        <f>M431+M432</f>
        <v>4730.5999999999995</v>
      </c>
      <c r="N430" s="45">
        <f>N431+N432</f>
        <v>0</v>
      </c>
      <c r="O430" s="45">
        <f>O431+O432</f>
        <v>4730.5999999999995</v>
      </c>
    </row>
    <row r="431" spans="1:15" ht="78.75" x14ac:dyDescent="0.2">
      <c r="A431" s="40"/>
      <c r="B431" s="41" t="s">
        <v>61</v>
      </c>
      <c r="C431" s="42" t="s">
        <v>477</v>
      </c>
      <c r="D431" s="43" t="s">
        <v>514</v>
      </c>
      <c r="E431" s="43" t="s">
        <v>499</v>
      </c>
      <c r="F431" s="44" t="s">
        <v>62</v>
      </c>
      <c r="G431" s="45">
        <f>3786600/1000+351.1</f>
        <v>4137.7</v>
      </c>
      <c r="H431" s="45"/>
      <c r="I431" s="45">
        <f>3786600/1000+351.1</f>
        <v>4137.7</v>
      </c>
      <c r="J431" s="47"/>
      <c r="K431" s="45"/>
      <c r="L431" s="47"/>
      <c r="M431" s="45">
        <f>3786600/1000+351.1</f>
        <v>4137.7</v>
      </c>
      <c r="N431" s="45"/>
      <c r="O431" s="45">
        <f>3786600/1000+351.1</f>
        <v>4137.7</v>
      </c>
    </row>
    <row r="432" spans="1:15" ht="31.5" x14ac:dyDescent="0.2">
      <c r="A432" s="40"/>
      <c r="B432" s="41" t="s">
        <v>40</v>
      </c>
      <c r="C432" s="42" t="s">
        <v>477</v>
      </c>
      <c r="D432" s="43" t="s">
        <v>514</v>
      </c>
      <c r="E432" s="43" t="s">
        <v>499</v>
      </c>
      <c r="F432" s="44" t="s">
        <v>41</v>
      </c>
      <c r="G432" s="45">
        <v>592.9</v>
      </c>
      <c r="H432" s="45"/>
      <c r="I432" s="45">
        <f>SUM(G432+H432)</f>
        <v>592.9</v>
      </c>
      <c r="J432" s="47"/>
      <c r="K432" s="45"/>
      <c r="L432" s="47"/>
      <c r="M432" s="45">
        <f>SUM(G432)</f>
        <v>592.9</v>
      </c>
      <c r="N432" s="45">
        <f>SUM(H432)</f>
        <v>0</v>
      </c>
      <c r="O432" s="45">
        <f>SUM(M432+N432)</f>
        <v>592.9</v>
      </c>
    </row>
    <row r="433" spans="1:16" ht="47.25" x14ac:dyDescent="0.2">
      <c r="A433" s="40"/>
      <c r="B433" s="41" t="s">
        <v>515</v>
      </c>
      <c r="C433" s="42" t="s">
        <v>477</v>
      </c>
      <c r="D433" s="43" t="s">
        <v>514</v>
      </c>
      <c r="E433" s="43" t="s">
        <v>516</v>
      </c>
      <c r="F433" s="44" t="s">
        <v>11</v>
      </c>
      <c r="G433" s="45">
        <f>G434</f>
        <v>9711.2000000000007</v>
      </c>
      <c r="H433" s="45">
        <f>H434</f>
        <v>0</v>
      </c>
      <c r="I433" s="45">
        <f>I434</f>
        <v>9711.2000000000007</v>
      </c>
      <c r="J433" s="46">
        <f>J434</f>
        <v>0</v>
      </c>
      <c r="K433" s="45">
        <f>K434+K435+K436</f>
        <v>0</v>
      </c>
      <c r="L433" s="46">
        <f>L434</f>
        <v>0</v>
      </c>
      <c r="M433" s="45">
        <f>M434</f>
        <v>9711.2000000000007</v>
      </c>
      <c r="N433" s="45">
        <f>N434</f>
        <v>0</v>
      </c>
      <c r="O433" s="45">
        <f>O434</f>
        <v>9711.2000000000007</v>
      </c>
    </row>
    <row r="434" spans="1:16" ht="31.5" x14ac:dyDescent="0.2">
      <c r="A434" s="40"/>
      <c r="B434" s="41" t="s">
        <v>134</v>
      </c>
      <c r="C434" s="42" t="s">
        <v>477</v>
      </c>
      <c r="D434" s="43" t="s">
        <v>514</v>
      </c>
      <c r="E434" s="43" t="s">
        <v>517</v>
      </c>
      <c r="F434" s="44" t="s">
        <v>11</v>
      </c>
      <c r="G434" s="45">
        <f>G435+G436+G437</f>
        <v>9711.2000000000007</v>
      </c>
      <c r="H434" s="45">
        <f>SUM(H435+H436)</f>
        <v>0</v>
      </c>
      <c r="I434" s="45">
        <f>I435+I436+I437</f>
        <v>9711.2000000000007</v>
      </c>
      <c r="J434" s="46">
        <f>J435+J436+J437</f>
        <v>0</v>
      </c>
      <c r="K434" s="45"/>
      <c r="L434" s="46">
        <f>L435+L436+L437</f>
        <v>0</v>
      </c>
      <c r="M434" s="45">
        <f>M435+M436+M437</f>
        <v>9711.2000000000007</v>
      </c>
      <c r="N434" s="45">
        <f>N435+N436+N437</f>
        <v>0</v>
      </c>
      <c r="O434" s="45">
        <f>O435+O436+O437</f>
        <v>9711.2000000000007</v>
      </c>
    </row>
    <row r="435" spans="1:16" ht="78.75" x14ac:dyDescent="0.2">
      <c r="A435" s="40"/>
      <c r="B435" s="41" t="s">
        <v>61</v>
      </c>
      <c r="C435" s="42" t="s">
        <v>477</v>
      </c>
      <c r="D435" s="43" t="s">
        <v>514</v>
      </c>
      <c r="E435" s="43" t="s">
        <v>517</v>
      </c>
      <c r="F435" s="44" t="s">
        <v>62</v>
      </c>
      <c r="G435" s="45">
        <v>8283.2000000000007</v>
      </c>
      <c r="H435" s="45"/>
      <c r="I435" s="45">
        <f>SUM(G435)</f>
        <v>8283.2000000000007</v>
      </c>
      <c r="J435" s="47">
        <v>0</v>
      </c>
      <c r="K435" s="45"/>
      <c r="L435" s="47">
        <v>0</v>
      </c>
      <c r="M435" s="45">
        <f t="shared" ref="M435:O436" si="61">SUM(G435)</f>
        <v>8283.2000000000007</v>
      </c>
      <c r="N435" s="45">
        <f t="shared" si="61"/>
        <v>0</v>
      </c>
      <c r="O435" s="45">
        <f t="shared" si="61"/>
        <v>8283.2000000000007</v>
      </c>
    </row>
    <row r="436" spans="1:16" ht="31.5" x14ac:dyDescent="0.2">
      <c r="A436" s="40"/>
      <c r="B436" s="41" t="s">
        <v>40</v>
      </c>
      <c r="C436" s="42" t="s">
        <v>477</v>
      </c>
      <c r="D436" s="43" t="s">
        <v>514</v>
      </c>
      <c r="E436" s="43" t="s">
        <v>517</v>
      </c>
      <c r="F436" s="44" t="s">
        <v>41</v>
      </c>
      <c r="G436" s="45">
        <v>1426.9</v>
      </c>
      <c r="H436" s="45"/>
      <c r="I436" s="45">
        <f>SUM(G436)</f>
        <v>1426.9</v>
      </c>
      <c r="J436" s="47">
        <v>0</v>
      </c>
      <c r="K436" s="45"/>
      <c r="L436" s="47">
        <v>0</v>
      </c>
      <c r="M436" s="45">
        <f t="shared" si="61"/>
        <v>1426.9</v>
      </c>
      <c r="N436" s="45">
        <f t="shared" si="61"/>
        <v>0</v>
      </c>
      <c r="O436" s="45">
        <f t="shared" si="61"/>
        <v>1426.9</v>
      </c>
    </row>
    <row r="437" spans="1:16" ht="15.75" x14ac:dyDescent="0.2">
      <c r="A437" s="40"/>
      <c r="B437" s="41" t="s">
        <v>70</v>
      </c>
      <c r="C437" s="42" t="s">
        <v>477</v>
      </c>
      <c r="D437" s="43" t="s">
        <v>514</v>
      </c>
      <c r="E437" s="43" t="s">
        <v>517</v>
      </c>
      <c r="F437" s="44" t="s">
        <v>71</v>
      </c>
      <c r="G437" s="45">
        <f>1100/1000</f>
        <v>1.1000000000000001</v>
      </c>
      <c r="H437" s="45"/>
      <c r="I437" s="45">
        <f>1100/1000</f>
        <v>1.1000000000000001</v>
      </c>
      <c r="J437" s="47">
        <v>0</v>
      </c>
      <c r="K437" s="45"/>
      <c r="L437" s="47">
        <v>0</v>
      </c>
      <c r="M437" s="45">
        <f>1100/1000</f>
        <v>1.1000000000000001</v>
      </c>
      <c r="N437" s="45"/>
      <c r="O437" s="45">
        <f>1100/1000</f>
        <v>1.1000000000000001</v>
      </c>
    </row>
    <row r="438" spans="1:16" ht="31.5" x14ac:dyDescent="0.2">
      <c r="A438" s="40"/>
      <c r="B438" s="41" t="s">
        <v>518</v>
      </c>
      <c r="C438" s="42" t="s">
        <v>477</v>
      </c>
      <c r="D438" s="43" t="s">
        <v>514</v>
      </c>
      <c r="E438" s="43" t="s">
        <v>519</v>
      </c>
      <c r="F438" s="44" t="s">
        <v>11</v>
      </c>
      <c r="G438" s="45">
        <f t="shared" ref="G438:O439" si="62">G439</f>
        <v>1865.9</v>
      </c>
      <c r="H438" s="45">
        <f t="shared" si="62"/>
        <v>0</v>
      </c>
      <c r="I438" s="45">
        <f t="shared" si="62"/>
        <v>1865.9</v>
      </c>
      <c r="J438" s="46">
        <f t="shared" si="62"/>
        <v>0</v>
      </c>
      <c r="K438" s="45">
        <f t="shared" si="62"/>
        <v>0</v>
      </c>
      <c r="L438" s="46">
        <f t="shared" si="62"/>
        <v>0</v>
      </c>
      <c r="M438" s="45">
        <f t="shared" si="62"/>
        <v>1865.9</v>
      </c>
      <c r="N438" s="45">
        <f t="shared" si="62"/>
        <v>0</v>
      </c>
      <c r="O438" s="45">
        <f t="shared" si="62"/>
        <v>1865.9</v>
      </c>
    </row>
    <row r="439" spans="1:16" ht="31.5" x14ac:dyDescent="0.2">
      <c r="A439" s="40"/>
      <c r="B439" s="41" t="s">
        <v>520</v>
      </c>
      <c r="C439" s="42" t="s">
        <v>477</v>
      </c>
      <c r="D439" s="43" t="s">
        <v>514</v>
      </c>
      <c r="E439" s="43" t="s">
        <v>521</v>
      </c>
      <c r="F439" s="44" t="s">
        <v>11</v>
      </c>
      <c r="G439" s="45">
        <f t="shared" si="62"/>
        <v>1865.9</v>
      </c>
      <c r="H439" s="45">
        <f>H440+H441</f>
        <v>0</v>
      </c>
      <c r="I439" s="45">
        <f t="shared" si="62"/>
        <v>1865.9</v>
      </c>
      <c r="J439" s="46">
        <f t="shared" si="62"/>
        <v>0</v>
      </c>
      <c r="K439" s="45">
        <f>K440+K441</f>
        <v>0</v>
      </c>
      <c r="L439" s="46">
        <f t="shared" si="62"/>
        <v>0</v>
      </c>
      <c r="M439" s="45">
        <f t="shared" si="62"/>
        <v>1865.9</v>
      </c>
      <c r="N439" s="45">
        <f t="shared" si="62"/>
        <v>0</v>
      </c>
      <c r="O439" s="45">
        <f t="shared" si="62"/>
        <v>1865.9</v>
      </c>
    </row>
    <row r="440" spans="1:16" ht="31.5" x14ac:dyDescent="0.2">
      <c r="A440" s="40"/>
      <c r="B440" s="41" t="s">
        <v>38</v>
      </c>
      <c r="C440" s="42" t="s">
        <v>477</v>
      </c>
      <c r="D440" s="43" t="s">
        <v>514</v>
      </c>
      <c r="E440" s="43" t="s">
        <v>522</v>
      </c>
      <c r="F440" s="44" t="s">
        <v>11</v>
      </c>
      <c r="G440" s="45">
        <f>G441+G442</f>
        <v>1865.9</v>
      </c>
      <c r="H440" s="45"/>
      <c r="I440" s="45">
        <f>I441+I442</f>
        <v>1865.9</v>
      </c>
      <c r="J440" s="46">
        <f>J441+J442</f>
        <v>0</v>
      </c>
      <c r="K440" s="45"/>
      <c r="L440" s="46">
        <f>L441+L442</f>
        <v>0</v>
      </c>
      <c r="M440" s="45">
        <f>M441+M442</f>
        <v>1865.9</v>
      </c>
      <c r="N440" s="45">
        <f>N441+N442</f>
        <v>0</v>
      </c>
      <c r="O440" s="45">
        <f>O441+O442</f>
        <v>1865.9</v>
      </c>
    </row>
    <row r="441" spans="1:16" ht="78.75" x14ac:dyDescent="0.2">
      <c r="A441" s="40"/>
      <c r="B441" s="41" t="s">
        <v>61</v>
      </c>
      <c r="C441" s="42" t="s">
        <v>477</v>
      </c>
      <c r="D441" s="43" t="s">
        <v>514</v>
      </c>
      <c r="E441" s="43" t="s">
        <v>522</v>
      </c>
      <c r="F441" s="44" t="s">
        <v>62</v>
      </c>
      <c r="G441" s="45">
        <f>1855900/1000</f>
        <v>1855.9</v>
      </c>
      <c r="H441" s="45"/>
      <c r="I441" s="45">
        <f>1855900/1000</f>
        <v>1855.9</v>
      </c>
      <c r="J441" s="47">
        <v>0</v>
      </c>
      <c r="K441" s="45"/>
      <c r="L441" s="47">
        <v>0</v>
      </c>
      <c r="M441" s="45">
        <f>1855900/1000</f>
        <v>1855.9</v>
      </c>
      <c r="N441" s="45"/>
      <c r="O441" s="45">
        <f>1855900/1000</f>
        <v>1855.9</v>
      </c>
    </row>
    <row r="442" spans="1:16" ht="31.5" x14ac:dyDescent="0.2">
      <c r="A442" s="40"/>
      <c r="B442" s="41" t="s">
        <v>40</v>
      </c>
      <c r="C442" s="42" t="s">
        <v>477</v>
      </c>
      <c r="D442" s="43" t="s">
        <v>514</v>
      </c>
      <c r="E442" s="43" t="s">
        <v>522</v>
      </c>
      <c r="F442" s="44" t="s">
        <v>41</v>
      </c>
      <c r="G442" s="45">
        <f>10000/1000</f>
        <v>10</v>
      </c>
      <c r="H442" s="25"/>
      <c r="I442" s="45">
        <f>10000/1000</f>
        <v>10</v>
      </c>
      <c r="J442" s="47">
        <v>0</v>
      </c>
      <c r="K442" s="25"/>
      <c r="L442" s="47">
        <v>0</v>
      </c>
      <c r="M442" s="45">
        <f>10000/1000</f>
        <v>10</v>
      </c>
      <c r="N442" s="45"/>
      <c r="O442" s="45">
        <f>10000/1000</f>
        <v>10</v>
      </c>
    </row>
    <row r="443" spans="1:16" ht="47.25" x14ac:dyDescent="0.2">
      <c r="A443" s="20" t="s">
        <v>523</v>
      </c>
      <c r="B443" s="21" t="s">
        <v>524</v>
      </c>
      <c r="C443" s="22" t="s">
        <v>525</v>
      </c>
      <c r="D443" s="23" t="s">
        <v>11</v>
      </c>
      <c r="E443" s="23" t="s">
        <v>11</v>
      </c>
      <c r="F443" s="24" t="s">
        <v>11</v>
      </c>
      <c r="G443" s="25">
        <f>G444+G456</f>
        <v>15410</v>
      </c>
      <c r="H443" s="25">
        <f>H444</f>
        <v>0</v>
      </c>
      <c r="I443" s="25">
        <f>I444+I456</f>
        <v>15410</v>
      </c>
      <c r="J443" s="26">
        <f>J444+J456</f>
        <v>0</v>
      </c>
      <c r="K443" s="25">
        <f>K444</f>
        <v>0</v>
      </c>
      <c r="L443" s="26">
        <f>L444+L456</f>
        <v>0</v>
      </c>
      <c r="M443" s="25">
        <f>M444+M456</f>
        <v>15410</v>
      </c>
      <c r="N443" s="25">
        <f>N444+N456</f>
        <v>0</v>
      </c>
      <c r="O443" s="25">
        <f>O444+O456</f>
        <v>15410</v>
      </c>
      <c r="P443" s="19"/>
    </row>
    <row r="444" spans="1:16" ht="15.75" x14ac:dyDescent="0.2">
      <c r="A444" s="20" t="s">
        <v>526</v>
      </c>
      <c r="B444" s="21" t="s">
        <v>30</v>
      </c>
      <c r="C444" s="22" t="s">
        <v>525</v>
      </c>
      <c r="D444" s="23" t="s">
        <v>31</v>
      </c>
      <c r="E444" s="23" t="s">
        <v>11</v>
      </c>
      <c r="F444" s="24" t="s">
        <v>11</v>
      </c>
      <c r="G444" s="25">
        <f>G445</f>
        <v>5065.8999999999996</v>
      </c>
      <c r="H444" s="38">
        <f>H445</f>
        <v>0</v>
      </c>
      <c r="I444" s="25">
        <f>I445</f>
        <v>5065.8999999999996</v>
      </c>
      <c r="J444" s="26">
        <f t="shared" ref="J444:O446" si="63">J445</f>
        <v>0</v>
      </c>
      <c r="K444" s="38">
        <f>K445</f>
        <v>0</v>
      </c>
      <c r="L444" s="26">
        <f t="shared" si="63"/>
        <v>0</v>
      </c>
      <c r="M444" s="25">
        <f t="shared" si="63"/>
        <v>5065.8999999999996</v>
      </c>
      <c r="N444" s="25">
        <f t="shared" si="63"/>
        <v>0</v>
      </c>
      <c r="O444" s="25">
        <f t="shared" si="63"/>
        <v>5065.8999999999996</v>
      </c>
    </row>
    <row r="445" spans="1:16" ht="15.75" x14ac:dyDescent="0.2">
      <c r="A445" s="33" t="s">
        <v>527</v>
      </c>
      <c r="B445" s="34" t="s">
        <v>85</v>
      </c>
      <c r="C445" s="35" t="s">
        <v>525</v>
      </c>
      <c r="D445" s="36" t="s">
        <v>86</v>
      </c>
      <c r="E445" s="36" t="s">
        <v>11</v>
      </c>
      <c r="F445" s="37" t="s">
        <v>11</v>
      </c>
      <c r="G445" s="38">
        <f>G446</f>
        <v>5065.8999999999996</v>
      </c>
      <c r="H445" s="45">
        <f>H446</f>
        <v>0</v>
      </c>
      <c r="I445" s="38">
        <f>I446</f>
        <v>5065.8999999999996</v>
      </c>
      <c r="J445" s="39">
        <f t="shared" si="63"/>
        <v>0</v>
      </c>
      <c r="K445" s="45">
        <f>K446</f>
        <v>0</v>
      </c>
      <c r="L445" s="39">
        <f t="shared" si="63"/>
        <v>0</v>
      </c>
      <c r="M445" s="38">
        <f t="shared" si="63"/>
        <v>5065.8999999999996</v>
      </c>
      <c r="N445" s="38">
        <f t="shared" si="63"/>
        <v>0</v>
      </c>
      <c r="O445" s="38">
        <f t="shared" si="63"/>
        <v>5065.8999999999996</v>
      </c>
    </row>
    <row r="446" spans="1:16" ht="31.5" x14ac:dyDescent="0.2">
      <c r="A446" s="40"/>
      <c r="B446" s="41" t="s">
        <v>128</v>
      </c>
      <c r="C446" s="42" t="s">
        <v>525</v>
      </c>
      <c r="D446" s="43" t="s">
        <v>86</v>
      </c>
      <c r="E446" s="43" t="s">
        <v>129</v>
      </c>
      <c r="F446" s="44" t="s">
        <v>11</v>
      </c>
      <c r="G446" s="45">
        <f>G447</f>
        <v>5065.8999999999996</v>
      </c>
      <c r="H446" s="45">
        <f>H447+H451</f>
        <v>0</v>
      </c>
      <c r="I446" s="45">
        <f>I447</f>
        <v>5065.8999999999996</v>
      </c>
      <c r="J446" s="46">
        <f t="shared" si="63"/>
        <v>0</v>
      </c>
      <c r="K446" s="45">
        <f>K447+K451</f>
        <v>0</v>
      </c>
      <c r="L446" s="46">
        <f t="shared" si="63"/>
        <v>0</v>
      </c>
      <c r="M446" s="45">
        <f t="shared" si="63"/>
        <v>5065.8999999999996</v>
      </c>
      <c r="N446" s="45">
        <f t="shared" si="63"/>
        <v>0</v>
      </c>
      <c r="O446" s="45">
        <f t="shared" si="63"/>
        <v>5065.8999999999996</v>
      </c>
    </row>
    <row r="447" spans="1:16" ht="31.5" x14ac:dyDescent="0.2">
      <c r="A447" s="40"/>
      <c r="B447" s="41" t="s">
        <v>528</v>
      </c>
      <c r="C447" s="42" t="s">
        <v>525</v>
      </c>
      <c r="D447" s="43" t="s">
        <v>86</v>
      </c>
      <c r="E447" s="43" t="s">
        <v>529</v>
      </c>
      <c r="F447" s="44" t="s">
        <v>11</v>
      </c>
      <c r="G447" s="45">
        <f>G448+G452</f>
        <v>5065.8999999999996</v>
      </c>
      <c r="H447" s="45">
        <f>H448</f>
        <v>0</v>
      </c>
      <c r="I447" s="45">
        <f>I448+I452</f>
        <v>5065.8999999999996</v>
      </c>
      <c r="J447" s="46">
        <f>J448+J452</f>
        <v>0</v>
      </c>
      <c r="K447" s="45">
        <f>K448</f>
        <v>0</v>
      </c>
      <c r="L447" s="46">
        <f>L448+L452</f>
        <v>0</v>
      </c>
      <c r="M447" s="45">
        <f>M448+M452</f>
        <v>5065.8999999999996</v>
      </c>
      <c r="N447" s="45">
        <f>N448+N452</f>
        <v>0</v>
      </c>
      <c r="O447" s="45">
        <f>O448+O452</f>
        <v>5065.8999999999996</v>
      </c>
    </row>
    <row r="448" spans="1:16" ht="47.25" x14ac:dyDescent="0.2">
      <c r="A448" s="40"/>
      <c r="B448" s="41" t="s">
        <v>530</v>
      </c>
      <c r="C448" s="42" t="s">
        <v>525</v>
      </c>
      <c r="D448" s="43" t="s">
        <v>86</v>
      </c>
      <c r="E448" s="43" t="s">
        <v>531</v>
      </c>
      <c r="F448" s="44" t="s">
        <v>11</v>
      </c>
      <c r="G448" s="45">
        <f>G449</f>
        <v>4150.8999999999996</v>
      </c>
      <c r="H448" s="45"/>
      <c r="I448" s="45">
        <f>I449</f>
        <v>4150.8999999999996</v>
      </c>
      <c r="J448" s="46">
        <f>J449</f>
        <v>0</v>
      </c>
      <c r="K448" s="45"/>
      <c r="L448" s="46">
        <f>L449</f>
        <v>0</v>
      </c>
      <c r="M448" s="45">
        <f>M449</f>
        <v>4150.8999999999996</v>
      </c>
      <c r="N448" s="45">
        <f>N449</f>
        <v>0</v>
      </c>
      <c r="O448" s="45">
        <f>O449</f>
        <v>4150.8999999999996</v>
      </c>
    </row>
    <row r="449" spans="1:15" ht="31.5" x14ac:dyDescent="0.2">
      <c r="A449" s="40"/>
      <c r="B449" s="41" t="s">
        <v>38</v>
      </c>
      <c r="C449" s="42" t="s">
        <v>525</v>
      </c>
      <c r="D449" s="43" t="s">
        <v>86</v>
      </c>
      <c r="E449" s="43" t="s">
        <v>532</v>
      </c>
      <c r="F449" s="44" t="s">
        <v>11</v>
      </c>
      <c r="G449" s="45">
        <f>G450+G451</f>
        <v>4150.8999999999996</v>
      </c>
      <c r="H449" s="45"/>
      <c r="I449" s="45">
        <f>I450+I451</f>
        <v>4150.8999999999996</v>
      </c>
      <c r="J449" s="46">
        <f>J450+J451</f>
        <v>0</v>
      </c>
      <c r="K449" s="45"/>
      <c r="L449" s="46">
        <f>L450+L451</f>
        <v>0</v>
      </c>
      <c r="M449" s="45">
        <f>M450+M451</f>
        <v>4150.8999999999996</v>
      </c>
      <c r="N449" s="45">
        <f>N450+N451</f>
        <v>0</v>
      </c>
      <c r="O449" s="45">
        <f>O450+O451</f>
        <v>4150.8999999999996</v>
      </c>
    </row>
    <row r="450" spans="1:15" ht="78.75" x14ac:dyDescent="0.2">
      <c r="A450" s="40"/>
      <c r="B450" s="41" t="s">
        <v>61</v>
      </c>
      <c r="C450" s="42" t="s">
        <v>525</v>
      </c>
      <c r="D450" s="43" t="s">
        <v>86</v>
      </c>
      <c r="E450" s="43" t="s">
        <v>532</v>
      </c>
      <c r="F450" s="44" t="s">
        <v>62</v>
      </c>
      <c r="G450" s="45">
        <v>4140.8999999999996</v>
      </c>
      <c r="H450" s="45">
        <v>10</v>
      </c>
      <c r="I450" s="45">
        <v>4140.8999999999996</v>
      </c>
      <c r="J450" s="47">
        <v>0</v>
      </c>
      <c r="K450" s="45">
        <v>10</v>
      </c>
      <c r="L450" s="47">
        <v>0</v>
      </c>
      <c r="M450" s="45">
        <v>4140.8999999999996</v>
      </c>
      <c r="N450" s="45"/>
      <c r="O450" s="45">
        <v>4140.8999999999996</v>
      </c>
    </row>
    <row r="451" spans="1:15" ht="31.5" x14ac:dyDescent="0.2">
      <c r="A451" s="40"/>
      <c r="B451" s="41" t="s">
        <v>40</v>
      </c>
      <c r="C451" s="42" t="s">
        <v>525</v>
      </c>
      <c r="D451" s="43" t="s">
        <v>86</v>
      </c>
      <c r="E451" s="43" t="s">
        <v>532</v>
      </c>
      <c r="F451" s="44" t="s">
        <v>41</v>
      </c>
      <c r="G451" s="45">
        <v>10</v>
      </c>
      <c r="H451" s="45">
        <f>H452</f>
        <v>0</v>
      </c>
      <c r="I451" s="45">
        <v>10</v>
      </c>
      <c r="J451" s="47">
        <v>0</v>
      </c>
      <c r="K451" s="45">
        <f>K452</f>
        <v>0</v>
      </c>
      <c r="L451" s="47">
        <v>0</v>
      </c>
      <c r="M451" s="45">
        <v>10</v>
      </c>
      <c r="N451" s="45"/>
      <c r="O451" s="45">
        <v>10</v>
      </c>
    </row>
    <row r="452" spans="1:15" ht="47.25" x14ac:dyDescent="0.2">
      <c r="A452" s="40"/>
      <c r="B452" s="41" t="s">
        <v>533</v>
      </c>
      <c r="C452" s="42" t="s">
        <v>525</v>
      </c>
      <c r="D452" s="43" t="s">
        <v>86</v>
      </c>
      <c r="E452" s="43" t="s">
        <v>534</v>
      </c>
      <c r="F452" s="44" t="s">
        <v>11</v>
      </c>
      <c r="G452" s="45">
        <f>G453</f>
        <v>915</v>
      </c>
      <c r="H452" s="45">
        <f>H453+H454</f>
        <v>0</v>
      </c>
      <c r="I452" s="45">
        <f>I453</f>
        <v>915</v>
      </c>
      <c r="J452" s="46">
        <f>J453</f>
        <v>0</v>
      </c>
      <c r="K452" s="45">
        <f>K453+K454</f>
        <v>0</v>
      </c>
      <c r="L452" s="46">
        <f>L453</f>
        <v>0</v>
      </c>
      <c r="M452" s="45">
        <f>M453</f>
        <v>915</v>
      </c>
      <c r="N452" s="45">
        <f>N453</f>
        <v>0</v>
      </c>
      <c r="O452" s="45">
        <f>O453</f>
        <v>915</v>
      </c>
    </row>
    <row r="453" spans="1:15" ht="47.25" x14ac:dyDescent="0.2">
      <c r="A453" s="40"/>
      <c r="B453" s="41" t="s">
        <v>535</v>
      </c>
      <c r="C453" s="42" t="s">
        <v>525</v>
      </c>
      <c r="D453" s="43" t="s">
        <v>86</v>
      </c>
      <c r="E453" s="43" t="s">
        <v>536</v>
      </c>
      <c r="F453" s="44" t="s">
        <v>11</v>
      </c>
      <c r="G453" s="45">
        <f>G454+G455</f>
        <v>915</v>
      </c>
      <c r="H453" s="45"/>
      <c r="I453" s="45">
        <f>I454+I455</f>
        <v>915</v>
      </c>
      <c r="J453" s="46">
        <f>J454+J455</f>
        <v>0</v>
      </c>
      <c r="K453" s="45"/>
      <c r="L453" s="46">
        <f>L454+L455</f>
        <v>0</v>
      </c>
      <c r="M453" s="45">
        <f>M454+M455</f>
        <v>915</v>
      </c>
      <c r="N453" s="45">
        <f>N454+N455</f>
        <v>0</v>
      </c>
      <c r="O453" s="45">
        <f>O454+O455</f>
        <v>915</v>
      </c>
    </row>
    <row r="454" spans="1:15" ht="31.5" x14ac:dyDescent="0.2">
      <c r="A454" s="40"/>
      <c r="B454" s="41" t="s">
        <v>40</v>
      </c>
      <c r="C454" s="42" t="s">
        <v>525</v>
      </c>
      <c r="D454" s="43" t="s">
        <v>86</v>
      </c>
      <c r="E454" s="43" t="s">
        <v>536</v>
      </c>
      <c r="F454" s="44" t="s">
        <v>41</v>
      </c>
      <c r="G454" s="45">
        <f>900000/1000</f>
        <v>900</v>
      </c>
      <c r="H454" s="45"/>
      <c r="I454" s="45">
        <f>900000/1000</f>
        <v>900</v>
      </c>
      <c r="J454" s="47">
        <v>0</v>
      </c>
      <c r="K454" s="45"/>
      <c r="L454" s="47">
        <v>0</v>
      </c>
      <c r="M454" s="45">
        <f>900000/1000</f>
        <v>900</v>
      </c>
      <c r="N454" s="45"/>
      <c r="O454" s="45">
        <f>900000/1000</f>
        <v>900</v>
      </c>
    </row>
    <row r="455" spans="1:15" ht="15.75" x14ac:dyDescent="0.2">
      <c r="A455" s="40"/>
      <c r="B455" s="41" t="s">
        <v>70</v>
      </c>
      <c r="C455" s="42" t="s">
        <v>525</v>
      </c>
      <c r="D455" s="43" t="s">
        <v>86</v>
      </c>
      <c r="E455" s="43" t="s">
        <v>536</v>
      </c>
      <c r="F455" s="44" t="s">
        <v>71</v>
      </c>
      <c r="G455" s="45">
        <f>15000/1000</f>
        <v>15</v>
      </c>
      <c r="H455" s="25">
        <f t="shared" ref="G455:O461" si="64">H456</f>
        <v>0</v>
      </c>
      <c r="I455" s="45">
        <f>15000/1000</f>
        <v>15</v>
      </c>
      <c r="J455" s="47">
        <v>0</v>
      </c>
      <c r="K455" s="25">
        <f t="shared" si="64"/>
        <v>0</v>
      </c>
      <c r="L455" s="47">
        <v>0</v>
      </c>
      <c r="M455" s="45">
        <f>15000/1000</f>
        <v>15</v>
      </c>
      <c r="N455" s="45"/>
      <c r="O455" s="45">
        <f>15000/1000</f>
        <v>15</v>
      </c>
    </row>
    <row r="456" spans="1:15" ht="15.75" x14ac:dyDescent="0.2">
      <c r="A456" s="20" t="s">
        <v>537</v>
      </c>
      <c r="B456" s="21" t="s">
        <v>213</v>
      </c>
      <c r="C456" s="22" t="s">
        <v>525</v>
      </c>
      <c r="D456" s="23" t="s">
        <v>214</v>
      </c>
      <c r="E456" s="23" t="s">
        <v>11</v>
      </c>
      <c r="F456" s="24" t="s">
        <v>11</v>
      </c>
      <c r="G456" s="25">
        <f t="shared" si="64"/>
        <v>10344.1</v>
      </c>
      <c r="H456" s="38">
        <f t="shared" si="64"/>
        <v>0</v>
      </c>
      <c r="I456" s="25">
        <f t="shared" si="64"/>
        <v>10344.1</v>
      </c>
      <c r="J456" s="26">
        <f t="shared" si="64"/>
        <v>0</v>
      </c>
      <c r="K456" s="38">
        <f t="shared" si="64"/>
        <v>0</v>
      </c>
      <c r="L456" s="26">
        <f t="shared" si="64"/>
        <v>0</v>
      </c>
      <c r="M456" s="25">
        <f t="shared" si="64"/>
        <v>10344.1</v>
      </c>
      <c r="N456" s="25">
        <f t="shared" si="64"/>
        <v>0</v>
      </c>
      <c r="O456" s="25">
        <f t="shared" si="64"/>
        <v>10344.1</v>
      </c>
    </row>
    <row r="457" spans="1:15" ht="26.45" customHeight="1" x14ac:dyDescent="0.2">
      <c r="A457" s="33" t="s">
        <v>538</v>
      </c>
      <c r="B457" s="34" t="s">
        <v>261</v>
      </c>
      <c r="C457" s="35" t="s">
        <v>525</v>
      </c>
      <c r="D457" s="36" t="s">
        <v>262</v>
      </c>
      <c r="E457" s="36" t="s">
        <v>11</v>
      </c>
      <c r="F457" s="37" t="s">
        <v>11</v>
      </c>
      <c r="G457" s="38">
        <f t="shared" si="64"/>
        <v>10344.1</v>
      </c>
      <c r="H457" s="45">
        <f t="shared" si="64"/>
        <v>0</v>
      </c>
      <c r="I457" s="38">
        <f t="shared" si="64"/>
        <v>10344.1</v>
      </c>
      <c r="J457" s="39">
        <f t="shared" si="64"/>
        <v>0</v>
      </c>
      <c r="K457" s="45">
        <f t="shared" si="64"/>
        <v>0</v>
      </c>
      <c r="L457" s="39">
        <f t="shared" si="64"/>
        <v>0</v>
      </c>
      <c r="M457" s="38">
        <f t="shared" si="64"/>
        <v>10344.1</v>
      </c>
      <c r="N457" s="38">
        <f t="shared" si="64"/>
        <v>0</v>
      </c>
      <c r="O457" s="38">
        <f t="shared" si="64"/>
        <v>10344.1</v>
      </c>
    </row>
    <row r="458" spans="1:15" ht="31.5" x14ac:dyDescent="0.2">
      <c r="A458" s="40"/>
      <c r="B458" s="41" t="s">
        <v>128</v>
      </c>
      <c r="C458" s="42" t="s">
        <v>525</v>
      </c>
      <c r="D458" s="43" t="s">
        <v>262</v>
      </c>
      <c r="E458" s="43" t="s">
        <v>129</v>
      </c>
      <c r="F458" s="44" t="s">
        <v>11</v>
      </c>
      <c r="G458" s="45">
        <f t="shared" si="64"/>
        <v>10344.1</v>
      </c>
      <c r="H458" s="45">
        <f t="shared" si="64"/>
        <v>0</v>
      </c>
      <c r="I458" s="45">
        <f t="shared" si="64"/>
        <v>10344.1</v>
      </c>
      <c r="J458" s="46">
        <f t="shared" si="64"/>
        <v>0</v>
      </c>
      <c r="K458" s="45">
        <f t="shared" si="64"/>
        <v>0</v>
      </c>
      <c r="L458" s="46">
        <f t="shared" si="64"/>
        <v>0</v>
      </c>
      <c r="M458" s="45">
        <f t="shared" si="64"/>
        <v>10344.1</v>
      </c>
      <c r="N458" s="45">
        <f t="shared" si="64"/>
        <v>0</v>
      </c>
      <c r="O458" s="45">
        <f t="shared" si="64"/>
        <v>10344.1</v>
      </c>
    </row>
    <row r="459" spans="1:15" ht="31.5" x14ac:dyDescent="0.2">
      <c r="A459" s="40"/>
      <c r="B459" s="41" t="s">
        <v>528</v>
      </c>
      <c r="C459" s="42" t="s">
        <v>525</v>
      </c>
      <c r="D459" s="43" t="s">
        <v>262</v>
      </c>
      <c r="E459" s="43" t="s">
        <v>529</v>
      </c>
      <c r="F459" s="44" t="s">
        <v>11</v>
      </c>
      <c r="G459" s="45">
        <f t="shared" si="64"/>
        <v>10344.1</v>
      </c>
      <c r="H459" s="45">
        <f t="shared" si="64"/>
        <v>0</v>
      </c>
      <c r="I459" s="45">
        <f t="shared" si="64"/>
        <v>10344.1</v>
      </c>
      <c r="J459" s="46">
        <f t="shared" si="64"/>
        <v>0</v>
      </c>
      <c r="K459" s="45">
        <f t="shared" si="64"/>
        <v>0</v>
      </c>
      <c r="L459" s="46">
        <f t="shared" si="64"/>
        <v>0</v>
      </c>
      <c r="M459" s="45">
        <f t="shared" si="64"/>
        <v>10344.1</v>
      </c>
      <c r="N459" s="45">
        <f t="shared" si="64"/>
        <v>0</v>
      </c>
      <c r="O459" s="45">
        <f t="shared" si="64"/>
        <v>10344.1</v>
      </c>
    </row>
    <row r="460" spans="1:15" ht="47.25" x14ac:dyDescent="0.2">
      <c r="A460" s="40"/>
      <c r="B460" s="41" t="s">
        <v>539</v>
      </c>
      <c r="C460" s="42" t="s">
        <v>525</v>
      </c>
      <c r="D460" s="43" t="s">
        <v>262</v>
      </c>
      <c r="E460" s="43" t="s">
        <v>540</v>
      </c>
      <c r="F460" s="44" t="s">
        <v>11</v>
      </c>
      <c r="G460" s="45">
        <f t="shared" si="64"/>
        <v>10344.1</v>
      </c>
      <c r="H460" s="45">
        <f t="shared" si="64"/>
        <v>0</v>
      </c>
      <c r="I460" s="45">
        <f t="shared" si="64"/>
        <v>10344.1</v>
      </c>
      <c r="J460" s="46">
        <f t="shared" si="64"/>
        <v>0</v>
      </c>
      <c r="K460" s="45">
        <f t="shared" si="64"/>
        <v>0</v>
      </c>
      <c r="L460" s="46">
        <f t="shared" si="64"/>
        <v>0</v>
      </c>
      <c r="M460" s="45">
        <f t="shared" si="64"/>
        <v>10344.1</v>
      </c>
      <c r="N460" s="45">
        <f t="shared" si="64"/>
        <v>0</v>
      </c>
      <c r="O460" s="45">
        <f t="shared" si="64"/>
        <v>10344.1</v>
      </c>
    </row>
    <row r="461" spans="1:15" ht="32.25" thickBot="1" x14ac:dyDescent="0.25">
      <c r="A461" s="40"/>
      <c r="B461" s="41" t="s">
        <v>134</v>
      </c>
      <c r="C461" s="42" t="s">
        <v>525</v>
      </c>
      <c r="D461" s="43" t="s">
        <v>262</v>
      </c>
      <c r="E461" s="43" t="s">
        <v>541</v>
      </c>
      <c r="F461" s="44" t="s">
        <v>11</v>
      </c>
      <c r="G461" s="45">
        <f t="shared" si="64"/>
        <v>10344.1</v>
      </c>
      <c r="H461" s="54"/>
      <c r="I461" s="45">
        <f t="shared" si="64"/>
        <v>10344.1</v>
      </c>
      <c r="J461" s="46">
        <f t="shared" si="64"/>
        <v>0</v>
      </c>
      <c r="K461" s="54"/>
      <c r="L461" s="46">
        <f t="shared" si="64"/>
        <v>0</v>
      </c>
      <c r="M461" s="45">
        <f t="shared" si="64"/>
        <v>10344.1</v>
      </c>
      <c r="N461" s="45">
        <f t="shared" si="64"/>
        <v>0</v>
      </c>
      <c r="O461" s="45">
        <f t="shared" si="64"/>
        <v>10344.1</v>
      </c>
    </row>
    <row r="462" spans="1:15" ht="48" thickBot="1" x14ac:dyDescent="0.25">
      <c r="A462" s="49"/>
      <c r="B462" s="50" t="s">
        <v>95</v>
      </c>
      <c r="C462" s="51" t="s">
        <v>525</v>
      </c>
      <c r="D462" s="52" t="s">
        <v>262</v>
      </c>
      <c r="E462" s="52" t="s">
        <v>541</v>
      </c>
      <c r="F462" s="53" t="s">
        <v>96</v>
      </c>
      <c r="G462" s="54">
        <v>10344.1</v>
      </c>
      <c r="H462" s="63"/>
      <c r="I462" s="54">
        <v>10344.1</v>
      </c>
      <c r="J462" s="55">
        <v>0</v>
      </c>
      <c r="K462" s="63"/>
      <c r="L462" s="55">
        <v>0</v>
      </c>
      <c r="M462" s="54">
        <v>10344.1</v>
      </c>
      <c r="N462" s="54"/>
      <c r="O462" s="54">
        <v>10344.1</v>
      </c>
    </row>
    <row r="464" spans="1:15" x14ac:dyDescent="0.2">
      <c r="B464" s="302" t="s">
        <v>542</v>
      </c>
      <c r="C464" s="266"/>
      <c r="D464" s="266"/>
      <c r="E464" s="266"/>
      <c r="F464" s="266"/>
      <c r="G464" s="266"/>
      <c r="H464" s="266"/>
      <c r="I464" s="266"/>
      <c r="J464" s="266"/>
      <c r="K464" s="266"/>
      <c r="L464" s="266"/>
      <c r="M464" s="266"/>
      <c r="N464" s="266"/>
      <c r="O464" s="266"/>
    </row>
    <row r="465" spans="2:15" x14ac:dyDescent="0.2">
      <c r="B465" s="266"/>
      <c r="C465" s="266"/>
      <c r="D465" s="266"/>
      <c r="E465" s="266"/>
      <c r="F465" s="266"/>
      <c r="G465" s="266"/>
      <c r="H465" s="266"/>
      <c r="I465" s="266"/>
      <c r="J465" s="266"/>
      <c r="K465" s="266"/>
      <c r="L465" s="266"/>
      <c r="M465" s="266"/>
      <c r="N465" s="266"/>
      <c r="O465" s="266"/>
    </row>
    <row r="466" spans="2:15" x14ac:dyDescent="0.2">
      <c r="B466" s="266"/>
      <c r="C466" s="266"/>
      <c r="D466" s="266"/>
      <c r="E466" s="266"/>
      <c r="F466" s="266"/>
      <c r="G466" s="266"/>
      <c r="H466" s="266"/>
      <c r="I466" s="266"/>
      <c r="J466" s="266"/>
      <c r="K466" s="266"/>
      <c r="L466" s="266"/>
      <c r="M466" s="266"/>
      <c r="N466" s="266"/>
      <c r="O466" s="266"/>
    </row>
  </sheetData>
  <mergeCells count="21">
    <mergeCell ref="J6:O6"/>
    <mergeCell ref="J1:O1"/>
    <mergeCell ref="J2:O2"/>
    <mergeCell ref="J3:O3"/>
    <mergeCell ref="J4:O4"/>
    <mergeCell ref="J5:O5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C19:F19"/>
    <mergeCell ref="G19:O19"/>
    <mergeCell ref="B464:O466"/>
    <mergeCell ref="B15:G15"/>
    <mergeCell ref="B16:G16"/>
  </mergeCells>
  <pageMargins left="0.59055118110236227" right="0.31496062992125984" top="0.31496062992125984" bottom="0.39370078740157483" header="0.51181102362204722" footer="0.19685039370078741"/>
  <pageSetup paperSize="9" scale="55" firstPageNumber="4294967295" orientation="portrait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57"/>
  <sheetViews>
    <sheetView topLeftCell="A294" zoomScale="60" zoomScaleNormal="60" workbookViewId="0">
      <selection activeCell="E297" sqref="E297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543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2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2"/>
      <c r="I15" s="2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61"/>
      <c r="I16" s="61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4" t="s">
        <v>16</v>
      </c>
      <c r="D18" s="4" t="s">
        <v>17</v>
      </c>
      <c r="E18" s="4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4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 t="shared" ref="G20:O20" si="0">G21+G33+G383+G434</f>
        <v>529501.19999999995</v>
      </c>
      <c r="H20" s="25">
        <f t="shared" si="0"/>
        <v>82790.599999999991</v>
      </c>
      <c r="I20" s="31">
        <f t="shared" si="0"/>
        <v>612273.19999999995</v>
      </c>
      <c r="J20" s="32">
        <f t="shared" si="0"/>
        <v>2398493.8000000007</v>
      </c>
      <c r="K20" s="25">
        <f>SUM(K33+K21+K383+K434)</f>
        <v>48753</v>
      </c>
      <c r="L20" s="32">
        <f t="shared" si="0"/>
        <v>2494592.3000000007</v>
      </c>
      <c r="M20" s="31">
        <f t="shared" si="0"/>
        <v>2927995</v>
      </c>
      <c r="N20" s="31">
        <f t="shared" si="0"/>
        <v>178870.5</v>
      </c>
      <c r="O20" s="31">
        <f t="shared" si="0"/>
        <v>3106865.5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25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O26" si="1">J24</f>
        <v>0</v>
      </c>
      <c r="K23" s="45">
        <f>K24</f>
        <v>0</v>
      </c>
      <c r="L23" s="39">
        <f t="shared" si="1"/>
        <v>0</v>
      </c>
      <c r="M23" s="38">
        <f t="shared" si="1"/>
        <v>8.1</v>
      </c>
      <c r="N23" s="38">
        <f t="shared" si="1"/>
        <v>0</v>
      </c>
      <c r="O23" s="38">
        <f t="shared" si="1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1"/>
        <v>0</v>
      </c>
      <c r="K24" s="45">
        <f>K25</f>
        <v>0</v>
      </c>
      <c r="L24" s="46">
        <f t="shared" si="1"/>
        <v>0</v>
      </c>
      <c r="M24" s="45">
        <f t="shared" si="1"/>
        <v>8.1</v>
      </c>
      <c r="N24" s="45">
        <f t="shared" si="1"/>
        <v>0</v>
      </c>
      <c r="O24" s="45">
        <f t="shared" si="1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1"/>
        <v>0</v>
      </c>
      <c r="K25" s="45">
        <f>K26</f>
        <v>0</v>
      </c>
      <c r="L25" s="46">
        <f t="shared" si="1"/>
        <v>0</v>
      </c>
      <c r="M25" s="45">
        <f t="shared" si="1"/>
        <v>8.1</v>
      </c>
      <c r="N25" s="45">
        <f t="shared" si="1"/>
        <v>0</v>
      </c>
      <c r="O25" s="45">
        <f t="shared" si="1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1"/>
        <v>0</v>
      </c>
      <c r="K26" s="45"/>
      <c r="L26" s="46">
        <f t="shared" si="1"/>
        <v>0</v>
      </c>
      <c r="M26" s="45">
        <f t="shared" si="1"/>
        <v>8.1</v>
      </c>
      <c r="N26" s="45">
        <f t="shared" si="1"/>
        <v>0</v>
      </c>
      <c r="O26" s="45">
        <f t="shared" si="1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O31" si="2">G29</f>
        <v>1387.5</v>
      </c>
      <c r="H28" s="45">
        <f t="shared" si="2"/>
        <v>0</v>
      </c>
      <c r="I28" s="38">
        <f t="shared" si="2"/>
        <v>1387.5</v>
      </c>
      <c r="J28" s="39">
        <f t="shared" si="2"/>
        <v>0</v>
      </c>
      <c r="K28" s="45">
        <f>K29</f>
        <v>0</v>
      </c>
      <c r="L28" s="39">
        <f t="shared" si="2"/>
        <v>0</v>
      </c>
      <c r="M28" s="38">
        <f t="shared" si="2"/>
        <v>1387.5</v>
      </c>
      <c r="N28" s="38">
        <f t="shared" si="2"/>
        <v>0</v>
      </c>
      <c r="O28" s="38">
        <f t="shared" si="2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2"/>
        <v>1387.5</v>
      </c>
      <c r="H29" s="45">
        <f t="shared" si="2"/>
        <v>0</v>
      </c>
      <c r="I29" s="45">
        <f t="shared" si="2"/>
        <v>1387.5</v>
      </c>
      <c r="J29" s="46">
        <f t="shared" si="2"/>
        <v>0</v>
      </c>
      <c r="K29" s="45">
        <f>K30</f>
        <v>0</v>
      </c>
      <c r="L29" s="46">
        <f t="shared" si="2"/>
        <v>0</v>
      </c>
      <c r="M29" s="45">
        <f t="shared" si="2"/>
        <v>1387.5</v>
      </c>
      <c r="N29" s="45">
        <f t="shared" si="2"/>
        <v>0</v>
      </c>
      <c r="O29" s="45">
        <f t="shared" si="2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2"/>
        <v>1387.5</v>
      </c>
      <c r="H30" s="45">
        <f t="shared" si="2"/>
        <v>0</v>
      </c>
      <c r="I30" s="45">
        <f t="shared" si="2"/>
        <v>1387.5</v>
      </c>
      <c r="J30" s="46">
        <f t="shared" si="2"/>
        <v>0</v>
      </c>
      <c r="K30" s="45">
        <f>K31</f>
        <v>0</v>
      </c>
      <c r="L30" s="46">
        <f t="shared" si="2"/>
        <v>0</v>
      </c>
      <c r="M30" s="45">
        <f t="shared" si="2"/>
        <v>1387.5</v>
      </c>
      <c r="N30" s="45">
        <f t="shared" si="2"/>
        <v>0</v>
      </c>
      <c r="O30" s="45">
        <f t="shared" si="2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2"/>
        <v>0</v>
      </c>
      <c r="K31" s="45"/>
      <c r="L31" s="46">
        <f t="shared" si="2"/>
        <v>0</v>
      </c>
      <c r="M31" s="45">
        <f t="shared" si="2"/>
        <v>1387.5</v>
      </c>
      <c r="N31" s="45">
        <f t="shared" si="2"/>
        <v>0</v>
      </c>
      <c r="O31" s="45">
        <f t="shared" si="2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G34+G108+G151+G223+G318+G340+G365+G376</f>
        <v>379136.3</v>
      </c>
      <c r="H33" s="25">
        <f>H34+H39+H53+H58+H75+H151+H223+H318+H108</f>
        <v>78157.399999999994</v>
      </c>
      <c r="I33" s="25">
        <f>I34+I108+I151+I223+I318+I340+I365+I376</f>
        <v>457293.69999999995</v>
      </c>
      <c r="J33" s="26">
        <f>J34+J108+J151+J223+J318+J340+J365+J376</f>
        <v>2393085.1000000006</v>
      </c>
      <c r="K33" s="25">
        <f>K34+K39+K53+K58+K75+K151+K223+K318</f>
        <v>45453</v>
      </c>
      <c r="L33" s="26">
        <f>L34+L108+L151+L223+L318+L340+L365+L376</f>
        <v>2485883.6000000006</v>
      </c>
      <c r="M33" s="25">
        <f>M34+M108+M151+M223+M318+M340+M365+M376</f>
        <v>2772221.4</v>
      </c>
      <c r="N33" s="25">
        <f>N34+N108+N151+N223+N318+N340+N365+N376</f>
        <v>170955.9</v>
      </c>
      <c r="O33" s="25">
        <f>O34+O108+O151+O223+O318+O340+O365+O376</f>
        <v>2943177.3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87107.6</v>
      </c>
      <c r="H34" s="38">
        <f>H35+H59</f>
        <v>2874.5</v>
      </c>
      <c r="I34" s="25">
        <f>I35+I40+I54+I59</f>
        <v>89982.1</v>
      </c>
      <c r="J34" s="26">
        <f>J35+J40+J54+J59</f>
        <v>768.1</v>
      </c>
      <c r="K34" s="38">
        <f>K35</f>
        <v>0</v>
      </c>
      <c r="L34" s="26">
        <f>L35+L40+L54+L59</f>
        <v>768.1</v>
      </c>
      <c r="M34" s="25">
        <f>M35+M40+M54+M59</f>
        <v>87875.700000000012</v>
      </c>
      <c r="N34" s="25">
        <f>N35+N40+N54+N59</f>
        <v>2874.5</v>
      </c>
      <c r="O34" s="25">
        <f>O35+O40+O54+O59</f>
        <v>90750.200000000012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 t="shared" ref="G35:I37" si="3">G36</f>
        <v>2021.3</v>
      </c>
      <c r="H35" s="45">
        <f t="shared" si="3"/>
        <v>0</v>
      </c>
      <c r="I35" s="38">
        <f t="shared" si="3"/>
        <v>2021.3</v>
      </c>
      <c r="J35" s="39">
        <f t="shared" ref="J35:O38" si="4">J36</f>
        <v>0</v>
      </c>
      <c r="K35" s="45">
        <f>K36</f>
        <v>0</v>
      </c>
      <c r="L35" s="39">
        <f t="shared" si="4"/>
        <v>0</v>
      </c>
      <c r="M35" s="38">
        <f t="shared" si="4"/>
        <v>2021.3</v>
      </c>
      <c r="N35" s="38">
        <f t="shared" si="4"/>
        <v>0</v>
      </c>
      <c r="O35" s="38">
        <f t="shared" si="4"/>
        <v>2021.3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 t="shared" si="3"/>
        <v>2021.3</v>
      </c>
      <c r="H36" s="45">
        <f t="shared" si="3"/>
        <v>0</v>
      </c>
      <c r="I36" s="45">
        <f t="shared" si="3"/>
        <v>2021.3</v>
      </c>
      <c r="J36" s="46">
        <f t="shared" si="4"/>
        <v>0</v>
      </c>
      <c r="K36" s="45">
        <f>K37</f>
        <v>0</v>
      </c>
      <c r="L36" s="46">
        <f t="shared" si="4"/>
        <v>0</v>
      </c>
      <c r="M36" s="45">
        <f t="shared" si="4"/>
        <v>2021.3</v>
      </c>
      <c r="N36" s="45">
        <f t="shared" si="4"/>
        <v>0</v>
      </c>
      <c r="O36" s="45">
        <f t="shared" si="4"/>
        <v>2021.3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 t="shared" si="3"/>
        <v>2021.3</v>
      </c>
      <c r="H37" s="45">
        <f t="shared" si="3"/>
        <v>0</v>
      </c>
      <c r="I37" s="45">
        <f t="shared" si="3"/>
        <v>2021.3</v>
      </c>
      <c r="J37" s="46">
        <f t="shared" si="4"/>
        <v>0</v>
      </c>
      <c r="K37" s="45">
        <f>K38</f>
        <v>0</v>
      </c>
      <c r="L37" s="46">
        <f t="shared" si="4"/>
        <v>0</v>
      </c>
      <c r="M37" s="45">
        <f t="shared" si="4"/>
        <v>2021.3</v>
      </c>
      <c r="N37" s="45">
        <f t="shared" si="4"/>
        <v>0</v>
      </c>
      <c r="O37" s="45">
        <f t="shared" si="4"/>
        <v>2021.3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45"/>
      <c r="I38" s="45">
        <f>I39</f>
        <v>2021.3</v>
      </c>
      <c r="J38" s="46">
        <f t="shared" si="4"/>
        <v>0</v>
      </c>
      <c r="K38" s="45"/>
      <c r="L38" s="46">
        <f t="shared" si="4"/>
        <v>0</v>
      </c>
      <c r="M38" s="45">
        <f t="shared" si="4"/>
        <v>2021.3</v>
      </c>
      <c r="N38" s="45">
        <f t="shared" si="4"/>
        <v>0</v>
      </c>
      <c r="O38" s="45">
        <f t="shared" si="4"/>
        <v>2021.3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/>
      <c r="I39" s="45">
        <v>2021.3</v>
      </c>
      <c r="J39" s="47">
        <v>0</v>
      </c>
      <c r="K39" s="38"/>
      <c r="L39" s="47">
        <v>0</v>
      </c>
      <c r="M39" s="45">
        <v>2021.3</v>
      </c>
      <c r="N39" s="45"/>
      <c r="O39" s="45">
        <v>2021.3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30614.5</v>
      </c>
      <c r="H40" s="45">
        <f>H41+H46</f>
        <v>0</v>
      </c>
      <c r="I40" s="38">
        <f>I41</f>
        <v>30614.5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31382.6</v>
      </c>
      <c r="N40" s="38">
        <f>N41</f>
        <v>0</v>
      </c>
      <c r="O40" s="38">
        <f>O41</f>
        <v>31382.6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30614.5</v>
      </c>
      <c r="H41" s="45">
        <f>H42</f>
        <v>0</v>
      </c>
      <c r="I41" s="45">
        <f>I42+I47</f>
        <v>30614.5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31382.6</v>
      </c>
      <c r="N41" s="45">
        <f>N42+N47</f>
        <v>0</v>
      </c>
      <c r="O41" s="45">
        <f>O42+O47</f>
        <v>31382.6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30614.5</v>
      </c>
      <c r="H42" s="45">
        <f>H43+H44+H45</f>
        <v>0</v>
      </c>
      <c r="I42" s="45">
        <f>I43</f>
        <v>30614.5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30614.5</v>
      </c>
      <c r="N42" s="45">
        <f>N43</f>
        <v>0</v>
      </c>
      <c r="O42" s="45">
        <f>O43</f>
        <v>30614.5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30614.5</v>
      </c>
      <c r="H43" s="45"/>
      <c r="I43" s="45">
        <f>I44+I45+I46</f>
        <v>30614.5</v>
      </c>
      <c r="J43" s="46">
        <f>J44+J45+J46</f>
        <v>0</v>
      </c>
      <c r="K43" s="45"/>
      <c r="L43" s="46">
        <f>L44+L45+L46</f>
        <v>0</v>
      </c>
      <c r="M43" s="45">
        <f>M44+M45+M46</f>
        <v>30614.5</v>
      </c>
      <c r="N43" s="45">
        <f>N44+N45+N46</f>
        <v>0</v>
      </c>
      <c r="O43" s="45">
        <f>O44+O45+O46</f>
        <v>30614.5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30283.1</v>
      </c>
      <c r="H44" s="45"/>
      <c r="I44" s="45">
        <v>30283.1</v>
      </c>
      <c r="J44" s="47">
        <v>0</v>
      </c>
      <c r="K44" s="45"/>
      <c r="L44" s="47">
        <v>0</v>
      </c>
      <c r="M44" s="45">
        <v>30283.1</v>
      </c>
      <c r="N44" s="45"/>
      <c r="O44" s="45">
        <v>30283.1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v>291.39999999999998</v>
      </c>
      <c r="J45" s="47">
        <v>0</v>
      </c>
      <c r="K45" s="45"/>
      <c r="L45" s="47">
        <v>0</v>
      </c>
      <c r="M45" s="45">
        <v>291.39999999999998</v>
      </c>
      <c r="N45" s="45"/>
      <c r="O45" s="45"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f>H51</f>
        <v>0</v>
      </c>
      <c r="I46" s="45">
        <v>40</v>
      </c>
      <c r="J46" s="47">
        <v>0</v>
      </c>
      <c r="K46" s="45">
        <f>K51</f>
        <v>0</v>
      </c>
      <c r="L46" s="47">
        <v>0</v>
      </c>
      <c r="M46" s="45">
        <v>40</v>
      </c>
      <c r="N46" s="45"/>
      <c r="O46" s="45">
        <v>40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5">H52</f>
        <v>0</v>
      </c>
      <c r="I51" s="45"/>
      <c r="J51" s="47"/>
      <c r="K51" s="45">
        <f t="shared" si="5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5"/>
        <v>0</v>
      </c>
      <c r="H52" s="45">
        <v>0</v>
      </c>
      <c r="I52" s="45">
        <f t="shared" si="5"/>
        <v>0</v>
      </c>
      <c r="J52" s="47">
        <f t="shared" si="5"/>
        <v>12.4</v>
      </c>
      <c r="K52" s="45">
        <v>0</v>
      </c>
      <c r="L52" s="47">
        <f t="shared" si="5"/>
        <v>12.4</v>
      </c>
      <c r="M52" s="45">
        <f t="shared" si="5"/>
        <v>12.4</v>
      </c>
      <c r="N52" s="45">
        <f t="shared" si="5"/>
        <v>0</v>
      </c>
      <c r="O52" s="45">
        <f t="shared" si="5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O57" si="6">G55</f>
        <v>1000</v>
      </c>
      <c r="H54" s="45">
        <f t="shared" si="6"/>
        <v>0</v>
      </c>
      <c r="I54" s="38">
        <f t="shared" si="6"/>
        <v>1000</v>
      </c>
      <c r="J54" s="39">
        <f t="shared" si="6"/>
        <v>0</v>
      </c>
      <c r="K54" s="45">
        <f>K55</f>
        <v>0</v>
      </c>
      <c r="L54" s="39">
        <f t="shared" si="6"/>
        <v>0</v>
      </c>
      <c r="M54" s="38">
        <f t="shared" si="6"/>
        <v>1000</v>
      </c>
      <c r="N54" s="38">
        <f t="shared" si="6"/>
        <v>0</v>
      </c>
      <c r="O54" s="38">
        <f t="shared" si="6"/>
        <v>1000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6"/>
        <v>1000</v>
      </c>
      <c r="H55" s="45">
        <f t="shared" si="6"/>
        <v>0</v>
      </c>
      <c r="I55" s="45">
        <f t="shared" si="6"/>
        <v>1000</v>
      </c>
      <c r="J55" s="46">
        <f t="shared" si="6"/>
        <v>0</v>
      </c>
      <c r="K55" s="45">
        <f>K56</f>
        <v>0</v>
      </c>
      <c r="L55" s="46">
        <f t="shared" si="6"/>
        <v>0</v>
      </c>
      <c r="M55" s="45">
        <f t="shared" si="6"/>
        <v>1000</v>
      </c>
      <c r="N55" s="45">
        <f t="shared" si="6"/>
        <v>0</v>
      </c>
      <c r="O55" s="45">
        <f t="shared" si="6"/>
        <v>1000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6"/>
        <v>1000</v>
      </c>
      <c r="H56" s="45">
        <f t="shared" si="6"/>
        <v>0</v>
      </c>
      <c r="I56" s="45">
        <f t="shared" si="6"/>
        <v>1000</v>
      </c>
      <c r="J56" s="46">
        <f t="shared" si="6"/>
        <v>0</v>
      </c>
      <c r="K56" s="45">
        <f>K57</f>
        <v>0</v>
      </c>
      <c r="L56" s="46">
        <f t="shared" si="6"/>
        <v>0</v>
      </c>
      <c r="M56" s="45">
        <f t="shared" si="6"/>
        <v>1000</v>
      </c>
      <c r="N56" s="45">
        <f t="shared" si="6"/>
        <v>0</v>
      </c>
      <c r="O56" s="45">
        <f t="shared" si="6"/>
        <v>1000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1000</v>
      </c>
      <c r="H57" s="45"/>
      <c r="I57" s="45">
        <f>I58</f>
        <v>1000</v>
      </c>
      <c r="J57" s="46">
        <f t="shared" si="6"/>
        <v>0</v>
      </c>
      <c r="K57" s="45"/>
      <c r="L57" s="46">
        <f t="shared" si="6"/>
        <v>0</v>
      </c>
      <c r="M57" s="45">
        <f t="shared" si="6"/>
        <v>1000</v>
      </c>
      <c r="N57" s="45">
        <f t="shared" si="6"/>
        <v>0</v>
      </c>
      <c r="O57" s="45">
        <f t="shared" si="6"/>
        <v>1000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1000</v>
      </c>
      <c r="H58" s="38"/>
      <c r="I58" s="45">
        <v>1000</v>
      </c>
      <c r="J58" s="47">
        <v>0</v>
      </c>
      <c r="K58" s="38"/>
      <c r="L58" s="47">
        <v>0</v>
      </c>
      <c r="M58" s="45">
        <v>1000</v>
      </c>
      <c r="N58" s="45"/>
      <c r="O58" s="45">
        <v>1000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G60+G65+G70+G86+G104</f>
        <v>53471.8</v>
      </c>
      <c r="H59" s="45">
        <f>H60+H105+H86</f>
        <v>2874.5</v>
      </c>
      <c r="I59" s="38">
        <f>I60+I65+I70+I86+I104</f>
        <v>56346.3</v>
      </c>
      <c r="J59" s="39">
        <f>J60+J65+J70+J86+J104</f>
        <v>0</v>
      </c>
      <c r="K59" s="45">
        <f>K60</f>
        <v>0</v>
      </c>
      <c r="L59" s="39">
        <f>L60+L65+L70+L86+L104</f>
        <v>0</v>
      </c>
      <c r="M59" s="38">
        <f>M60+M65+M70+M86+M104</f>
        <v>53471.8</v>
      </c>
      <c r="N59" s="38">
        <f>N60+N65+N70+N86+N104</f>
        <v>2874.5</v>
      </c>
      <c r="O59" s="38">
        <f>O60+O65+O70+O86+O104</f>
        <v>56346.3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 t="shared" ref="G60:I62" si="7">G61</f>
        <v>80</v>
      </c>
      <c r="H60" s="45">
        <f t="shared" si="7"/>
        <v>0</v>
      </c>
      <c r="I60" s="45">
        <f t="shared" si="7"/>
        <v>80</v>
      </c>
      <c r="J60" s="46">
        <f t="shared" ref="J60:O63" si="8">J61</f>
        <v>0</v>
      </c>
      <c r="K60" s="45">
        <f>K61</f>
        <v>0</v>
      </c>
      <c r="L60" s="46">
        <f t="shared" si="8"/>
        <v>0</v>
      </c>
      <c r="M60" s="45">
        <f t="shared" si="8"/>
        <v>80</v>
      </c>
      <c r="N60" s="45">
        <f t="shared" si="8"/>
        <v>0</v>
      </c>
      <c r="O60" s="45">
        <f t="shared" si="8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 t="shared" si="7"/>
        <v>80</v>
      </c>
      <c r="H61" s="45">
        <f t="shared" si="7"/>
        <v>0</v>
      </c>
      <c r="I61" s="45">
        <f t="shared" si="7"/>
        <v>80</v>
      </c>
      <c r="J61" s="46">
        <f t="shared" si="8"/>
        <v>0</v>
      </c>
      <c r="K61" s="45">
        <f>K62</f>
        <v>0</v>
      </c>
      <c r="L61" s="46">
        <f t="shared" si="8"/>
        <v>0</v>
      </c>
      <c r="M61" s="45">
        <f t="shared" si="8"/>
        <v>80</v>
      </c>
      <c r="N61" s="45">
        <f t="shared" si="8"/>
        <v>0</v>
      </c>
      <c r="O61" s="45">
        <f t="shared" si="8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 t="shared" si="7"/>
        <v>80</v>
      </c>
      <c r="H62" s="45">
        <f t="shared" si="7"/>
        <v>0</v>
      </c>
      <c r="I62" s="45">
        <f t="shared" si="7"/>
        <v>80</v>
      </c>
      <c r="J62" s="46">
        <f t="shared" si="8"/>
        <v>0</v>
      </c>
      <c r="K62" s="45">
        <f>K63</f>
        <v>0</v>
      </c>
      <c r="L62" s="46">
        <f t="shared" si="8"/>
        <v>0</v>
      </c>
      <c r="M62" s="45">
        <f t="shared" si="8"/>
        <v>80</v>
      </c>
      <c r="N62" s="45">
        <f t="shared" si="8"/>
        <v>0</v>
      </c>
      <c r="O62" s="45">
        <f t="shared" si="8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8"/>
        <v>0</v>
      </c>
      <c r="K63" s="45"/>
      <c r="L63" s="46">
        <f t="shared" si="8"/>
        <v>0</v>
      </c>
      <c r="M63" s="45">
        <f t="shared" si="8"/>
        <v>80</v>
      </c>
      <c r="N63" s="45">
        <f t="shared" si="8"/>
        <v>0</v>
      </c>
      <c r="O63" s="45">
        <f t="shared" si="8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O68" si="9">G66</f>
        <v>3500</v>
      </c>
      <c r="H65" s="45">
        <f t="shared" si="9"/>
        <v>0</v>
      </c>
      <c r="I65" s="45">
        <f t="shared" si="9"/>
        <v>3500</v>
      </c>
      <c r="J65" s="46">
        <f t="shared" si="9"/>
        <v>0</v>
      </c>
      <c r="K65" s="45">
        <f>K66</f>
        <v>0</v>
      </c>
      <c r="L65" s="46">
        <f t="shared" si="9"/>
        <v>0</v>
      </c>
      <c r="M65" s="45">
        <f t="shared" si="9"/>
        <v>3500</v>
      </c>
      <c r="N65" s="45">
        <f t="shared" si="9"/>
        <v>0</v>
      </c>
      <c r="O65" s="45">
        <f t="shared" si="9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9"/>
        <v>3500</v>
      </c>
      <c r="H66" s="45">
        <f t="shared" si="9"/>
        <v>0</v>
      </c>
      <c r="I66" s="45">
        <f t="shared" si="9"/>
        <v>3500</v>
      </c>
      <c r="J66" s="46">
        <f t="shared" si="9"/>
        <v>0</v>
      </c>
      <c r="K66" s="45">
        <f>K67</f>
        <v>0</v>
      </c>
      <c r="L66" s="46">
        <f t="shared" si="9"/>
        <v>0</v>
      </c>
      <c r="M66" s="45">
        <f t="shared" si="9"/>
        <v>3500</v>
      </c>
      <c r="N66" s="45">
        <f t="shared" si="9"/>
        <v>0</v>
      </c>
      <c r="O66" s="45">
        <f t="shared" si="9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9"/>
        <v>3500</v>
      </c>
      <c r="H67" s="45">
        <f t="shared" si="9"/>
        <v>0</v>
      </c>
      <c r="I67" s="45">
        <f t="shared" si="9"/>
        <v>3500</v>
      </c>
      <c r="J67" s="46">
        <f t="shared" si="9"/>
        <v>0</v>
      </c>
      <c r="K67" s="45">
        <f>K68</f>
        <v>0</v>
      </c>
      <c r="L67" s="46">
        <f t="shared" si="9"/>
        <v>0</v>
      </c>
      <c r="M67" s="45">
        <f t="shared" si="9"/>
        <v>3500</v>
      </c>
      <c r="N67" s="45">
        <f t="shared" si="9"/>
        <v>0</v>
      </c>
      <c r="O67" s="45">
        <f t="shared" si="9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9"/>
        <v>0</v>
      </c>
      <c r="K68" s="45"/>
      <c r="L68" s="46">
        <f t="shared" si="9"/>
        <v>0</v>
      </c>
      <c r="M68" s="45">
        <f t="shared" si="9"/>
        <v>3500</v>
      </c>
      <c r="N68" s="45">
        <f t="shared" si="9"/>
        <v>0</v>
      </c>
      <c r="O68" s="45">
        <f t="shared" si="9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</f>
        <v>0</v>
      </c>
      <c r="I70" s="45">
        <f>I71+I77+I81</f>
        <v>5172</v>
      </c>
      <c r="J70" s="46">
        <f>J71+J77+J81</f>
        <v>0</v>
      </c>
      <c r="K70" s="45">
        <f>K71</f>
        <v>0</v>
      </c>
      <c r="L70" s="46">
        <f>L71+L77+L81</f>
        <v>0</v>
      </c>
      <c r="M70" s="45">
        <f>M71+M77+M81</f>
        <v>5172</v>
      </c>
      <c r="N70" s="45">
        <f>N71+N77+N81</f>
        <v>0</v>
      </c>
      <c r="O70" s="45">
        <f>O71+O77+O81</f>
        <v>5172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/>
      <c r="I75" s="45">
        <f>I76</f>
        <v>10</v>
      </c>
      <c r="J75" s="46">
        <f>J76</f>
        <v>0</v>
      </c>
      <c r="K75" s="45"/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O79" si="10">G78</f>
        <v>150</v>
      </c>
      <c r="H77" s="45">
        <f t="shared" si="10"/>
        <v>0</v>
      </c>
      <c r="I77" s="45">
        <f t="shared" si="10"/>
        <v>150</v>
      </c>
      <c r="J77" s="46">
        <f t="shared" si="10"/>
        <v>0</v>
      </c>
      <c r="K77" s="45">
        <f>K78</f>
        <v>0</v>
      </c>
      <c r="L77" s="46">
        <f t="shared" si="10"/>
        <v>0</v>
      </c>
      <c r="M77" s="45">
        <f t="shared" si="10"/>
        <v>150</v>
      </c>
      <c r="N77" s="45">
        <f t="shared" si="10"/>
        <v>0</v>
      </c>
      <c r="O77" s="45">
        <f t="shared" si="10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10"/>
        <v>150</v>
      </c>
      <c r="H78" s="45">
        <f t="shared" si="10"/>
        <v>0</v>
      </c>
      <c r="I78" s="45">
        <f t="shared" si="10"/>
        <v>150</v>
      </c>
      <c r="J78" s="46">
        <f t="shared" si="10"/>
        <v>0</v>
      </c>
      <c r="K78" s="45">
        <f>K79</f>
        <v>0</v>
      </c>
      <c r="L78" s="46">
        <f t="shared" si="10"/>
        <v>0</v>
      </c>
      <c r="M78" s="45">
        <f t="shared" si="10"/>
        <v>150</v>
      </c>
      <c r="N78" s="45">
        <f t="shared" si="10"/>
        <v>0</v>
      </c>
      <c r="O78" s="45">
        <f t="shared" si="10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10"/>
        <v>0</v>
      </c>
      <c r="K79" s="45"/>
      <c r="L79" s="46">
        <f t="shared" si="10"/>
        <v>0</v>
      </c>
      <c r="M79" s="45">
        <f t="shared" si="10"/>
        <v>150</v>
      </c>
      <c r="N79" s="45">
        <f t="shared" si="10"/>
        <v>0</v>
      </c>
      <c r="O79" s="45">
        <f t="shared" si="10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11">G82</f>
        <v>2600</v>
      </c>
      <c r="H81" s="45">
        <f t="shared" si="11"/>
        <v>0</v>
      </c>
      <c r="I81" s="45">
        <f t="shared" si="11"/>
        <v>2600</v>
      </c>
      <c r="J81" s="46">
        <f t="shared" si="11"/>
        <v>0</v>
      </c>
      <c r="K81" s="45">
        <f t="shared" si="11"/>
        <v>0</v>
      </c>
      <c r="L81" s="46">
        <f t="shared" si="11"/>
        <v>0</v>
      </c>
      <c r="M81" s="45">
        <f t="shared" si="11"/>
        <v>2600</v>
      </c>
      <c r="N81" s="45">
        <f t="shared" si="11"/>
        <v>0</v>
      </c>
      <c r="O81" s="45">
        <f t="shared" si="11"/>
        <v>2600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11"/>
        <v>2600</v>
      </c>
      <c r="H82" s="45">
        <f>H83+H84</f>
        <v>0</v>
      </c>
      <c r="I82" s="45">
        <f t="shared" si="11"/>
        <v>2600</v>
      </c>
      <c r="J82" s="46">
        <f t="shared" si="11"/>
        <v>0</v>
      </c>
      <c r="K82" s="45">
        <f>K83+K84</f>
        <v>0</v>
      </c>
      <c r="L82" s="46">
        <f t="shared" si="11"/>
        <v>0</v>
      </c>
      <c r="M82" s="45">
        <f t="shared" si="11"/>
        <v>2600</v>
      </c>
      <c r="N82" s="45">
        <f t="shared" si="11"/>
        <v>0</v>
      </c>
      <c r="O82" s="45">
        <f t="shared" si="11"/>
        <v>2600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2600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0</v>
      </c>
      <c r="O83" s="45">
        <f>O84+O85</f>
        <v>2600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/>
      <c r="I84" s="45">
        <v>2536.8000000000002</v>
      </c>
      <c r="J84" s="47">
        <v>0</v>
      </c>
      <c r="K84" s="45"/>
      <c r="L84" s="47">
        <v>0</v>
      </c>
      <c r="M84" s="45">
        <v>2536.8000000000002</v>
      </c>
      <c r="N84" s="45"/>
      <c r="O84" s="45">
        <v>2536.8000000000002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31.5" x14ac:dyDescent="0.2">
      <c r="A86" s="40"/>
      <c r="B86" s="41" t="s">
        <v>128</v>
      </c>
      <c r="C86" s="42" t="s">
        <v>51</v>
      </c>
      <c r="D86" s="43" t="s">
        <v>86</v>
      </c>
      <c r="E86" s="43" t="s">
        <v>129</v>
      </c>
      <c r="F86" s="44" t="s">
        <v>11</v>
      </c>
      <c r="G86" s="45">
        <f>G87+G100</f>
        <v>44719.8</v>
      </c>
      <c r="H86" s="45">
        <f>H87+H92+H97</f>
        <v>2828.6</v>
      </c>
      <c r="I86" s="45">
        <f>I87+I100</f>
        <v>47548.4</v>
      </c>
      <c r="J86" s="46">
        <f>J87+J100</f>
        <v>0</v>
      </c>
      <c r="K86" s="45">
        <f>K87+K92</f>
        <v>0</v>
      </c>
      <c r="L86" s="46">
        <f>L87+L100</f>
        <v>0</v>
      </c>
      <c r="M86" s="45">
        <f>M87+M100</f>
        <v>44719.8</v>
      </c>
      <c r="N86" s="45">
        <f>N87+N100</f>
        <v>2828.6</v>
      </c>
      <c r="O86" s="45">
        <f>O87+O100</f>
        <v>47548.4</v>
      </c>
      <c r="P86" s="16"/>
    </row>
    <row r="87" spans="1:16" ht="15.75" x14ac:dyDescent="0.2">
      <c r="A87" s="40"/>
      <c r="B87" s="41" t="s">
        <v>130</v>
      </c>
      <c r="C87" s="42" t="s">
        <v>51</v>
      </c>
      <c r="D87" s="43" t="s">
        <v>86</v>
      </c>
      <c r="E87" s="43" t="s">
        <v>131</v>
      </c>
      <c r="F87" s="44" t="s">
        <v>11</v>
      </c>
      <c r="G87" s="45">
        <f>G88+G93</f>
        <v>44519.8</v>
      </c>
      <c r="H87" s="45">
        <f>H88</f>
        <v>2228.6</v>
      </c>
      <c r="I87" s="45">
        <f>I88+I93</f>
        <v>47348.4</v>
      </c>
      <c r="J87" s="46">
        <f>J88+J93</f>
        <v>0</v>
      </c>
      <c r="K87" s="45">
        <f>K88</f>
        <v>0</v>
      </c>
      <c r="L87" s="46">
        <f>L88+L93</f>
        <v>0</v>
      </c>
      <c r="M87" s="45">
        <f>M88+M93</f>
        <v>44519.8</v>
      </c>
      <c r="N87" s="45">
        <f>N88+N93</f>
        <v>2828.6</v>
      </c>
      <c r="O87" s="45">
        <f>O88+O93</f>
        <v>47348.4</v>
      </c>
      <c r="P87" s="16"/>
    </row>
    <row r="88" spans="1:16" ht="15.75" x14ac:dyDescent="0.2">
      <c r="A88" s="40"/>
      <c r="B88" s="41" t="s">
        <v>132</v>
      </c>
      <c r="C88" s="42" t="s">
        <v>51</v>
      </c>
      <c r="D88" s="43" t="s">
        <v>86</v>
      </c>
      <c r="E88" s="43" t="s">
        <v>133</v>
      </c>
      <c r="F88" s="44" t="s">
        <v>11</v>
      </c>
      <c r="G88" s="45">
        <f>G89</f>
        <v>34239.300000000003</v>
      </c>
      <c r="H88" s="45">
        <f>H89+H90+H91</f>
        <v>2228.6</v>
      </c>
      <c r="I88" s="45">
        <f>I89</f>
        <v>36467.9</v>
      </c>
      <c r="J88" s="46">
        <f>J89</f>
        <v>0</v>
      </c>
      <c r="K88" s="45">
        <f>K89+K90+K91</f>
        <v>0</v>
      </c>
      <c r="L88" s="46">
        <f>L89</f>
        <v>0</v>
      </c>
      <c r="M88" s="45">
        <f>M89</f>
        <v>34239.300000000003</v>
      </c>
      <c r="N88" s="45">
        <f>N89</f>
        <v>2228.6</v>
      </c>
      <c r="O88" s="45">
        <f>O89</f>
        <v>36467.9</v>
      </c>
    </row>
    <row r="89" spans="1:16" ht="31.5" x14ac:dyDescent="0.2">
      <c r="A89" s="40"/>
      <c r="B89" s="41" t="s">
        <v>134</v>
      </c>
      <c r="C89" s="42" t="s">
        <v>51</v>
      </c>
      <c r="D89" s="43" t="s">
        <v>86</v>
      </c>
      <c r="E89" s="43" t="s">
        <v>135</v>
      </c>
      <c r="F89" s="44" t="s">
        <v>11</v>
      </c>
      <c r="G89" s="45">
        <f>G90+G91+G92</f>
        <v>34239.300000000003</v>
      </c>
      <c r="H89" s="45"/>
      <c r="I89" s="45">
        <f>I90+I91+I92</f>
        <v>36467.9</v>
      </c>
      <c r="J89" s="46">
        <f>J90+J91+J92</f>
        <v>0</v>
      </c>
      <c r="K89" s="45"/>
      <c r="L89" s="46">
        <f>L90+L91+L92</f>
        <v>0</v>
      </c>
      <c r="M89" s="45">
        <f>M90+M91+M92</f>
        <v>34239.300000000003</v>
      </c>
      <c r="N89" s="45">
        <f>N90+N91+N92</f>
        <v>2228.6</v>
      </c>
      <c r="O89" s="45">
        <f>O90+O91+O92</f>
        <v>36467.9</v>
      </c>
      <c r="P89" s="16"/>
    </row>
    <row r="90" spans="1:16" ht="78.75" x14ac:dyDescent="0.2">
      <c r="A90" s="40"/>
      <c r="B90" s="41" t="s">
        <v>61</v>
      </c>
      <c r="C90" s="42" t="s">
        <v>51</v>
      </c>
      <c r="D90" s="43" t="s">
        <v>86</v>
      </c>
      <c r="E90" s="43" t="s">
        <v>135</v>
      </c>
      <c r="F90" s="44" t="s">
        <v>62</v>
      </c>
      <c r="G90" s="45">
        <v>23794</v>
      </c>
      <c r="H90" s="45">
        <v>1745</v>
      </c>
      <c r="I90" s="45">
        <f>23794+H90</f>
        <v>25539</v>
      </c>
      <c r="J90" s="47">
        <v>0</v>
      </c>
      <c r="K90" s="45"/>
      <c r="L90" s="47">
        <v>0</v>
      </c>
      <c r="M90" s="45">
        <v>23794</v>
      </c>
      <c r="N90" s="45">
        <f>SUM(H90)</f>
        <v>1745</v>
      </c>
      <c r="O90" s="45">
        <f>23794+N90</f>
        <v>25539</v>
      </c>
    </row>
    <row r="91" spans="1:16" ht="31.5" x14ac:dyDescent="0.2">
      <c r="A91" s="40"/>
      <c r="B91" s="41" t="s">
        <v>40</v>
      </c>
      <c r="C91" s="42" t="s">
        <v>51</v>
      </c>
      <c r="D91" s="43" t="s">
        <v>86</v>
      </c>
      <c r="E91" s="43" t="s">
        <v>135</v>
      </c>
      <c r="F91" s="44" t="s">
        <v>41</v>
      </c>
      <c r="G91" s="45">
        <v>10367.9</v>
      </c>
      <c r="H91" s="45">
        <v>483.6</v>
      </c>
      <c r="I91" s="45">
        <f>10367.9+H91</f>
        <v>10851.5</v>
      </c>
      <c r="J91" s="47">
        <v>0</v>
      </c>
      <c r="K91" s="45"/>
      <c r="L91" s="47">
        <v>0</v>
      </c>
      <c r="M91" s="45">
        <v>10367.9</v>
      </c>
      <c r="N91" s="45">
        <f>SUM(H91)</f>
        <v>483.6</v>
      </c>
      <c r="O91" s="45">
        <f>10367.9+N91</f>
        <v>10851.5</v>
      </c>
    </row>
    <row r="92" spans="1:16" ht="15.75" x14ac:dyDescent="0.2">
      <c r="A92" s="40"/>
      <c r="B92" s="41" t="s">
        <v>70</v>
      </c>
      <c r="C92" s="42" t="s">
        <v>51</v>
      </c>
      <c r="D92" s="43" t="s">
        <v>86</v>
      </c>
      <c r="E92" s="43" t="s">
        <v>135</v>
      </c>
      <c r="F92" s="44" t="s">
        <v>71</v>
      </c>
      <c r="G92" s="45">
        <v>77.400000000000006</v>
      </c>
      <c r="H92" s="45"/>
      <c r="I92" s="45">
        <v>77.400000000000006</v>
      </c>
      <c r="J92" s="47">
        <v>0</v>
      </c>
      <c r="K92" s="45"/>
      <c r="L92" s="47">
        <v>0</v>
      </c>
      <c r="M92" s="45">
        <v>77.400000000000006</v>
      </c>
      <c r="N92" s="45"/>
      <c r="O92" s="45">
        <v>77.400000000000006</v>
      </c>
    </row>
    <row r="93" spans="1:16" ht="31.5" x14ac:dyDescent="0.2">
      <c r="A93" s="40"/>
      <c r="B93" s="41" t="s">
        <v>136</v>
      </c>
      <c r="C93" s="42" t="s">
        <v>51</v>
      </c>
      <c r="D93" s="43" t="s">
        <v>86</v>
      </c>
      <c r="E93" s="43" t="s">
        <v>137</v>
      </c>
      <c r="F93" s="44" t="s">
        <v>11</v>
      </c>
      <c r="G93" s="45">
        <f>G94+G97</f>
        <v>10280.5</v>
      </c>
      <c r="H93" s="45">
        <f>SUM(H97)</f>
        <v>600</v>
      </c>
      <c r="I93" s="45">
        <f>I94+I97</f>
        <v>10880.5</v>
      </c>
      <c r="J93" s="46">
        <f>J94+J97</f>
        <v>0</v>
      </c>
      <c r="K93" s="45">
        <f>K94+K95</f>
        <v>0</v>
      </c>
      <c r="L93" s="46">
        <f>L94+L97</f>
        <v>0</v>
      </c>
      <c r="M93" s="45">
        <f>M94+M97</f>
        <v>10280.5</v>
      </c>
      <c r="N93" s="45">
        <f>N94+N97</f>
        <v>600</v>
      </c>
      <c r="O93" s="45">
        <f>O94+O97</f>
        <v>10880.5</v>
      </c>
      <c r="P93" s="16"/>
    </row>
    <row r="94" spans="1:16" ht="31.5" x14ac:dyDescent="0.2">
      <c r="A94" s="40"/>
      <c r="B94" s="41" t="s">
        <v>134</v>
      </c>
      <c r="C94" s="42" t="s">
        <v>51</v>
      </c>
      <c r="D94" s="43" t="s">
        <v>86</v>
      </c>
      <c r="E94" s="43" t="s">
        <v>138</v>
      </c>
      <c r="F94" s="44" t="s">
        <v>11</v>
      </c>
      <c r="G94" s="45">
        <f>G95+G96</f>
        <v>9205.9</v>
      </c>
      <c r="H94" s="45"/>
      <c r="I94" s="45">
        <f>I95+I96</f>
        <v>9205.9</v>
      </c>
      <c r="J94" s="46">
        <f>J95+J96</f>
        <v>0</v>
      </c>
      <c r="K94" s="45"/>
      <c r="L94" s="46">
        <f>L95+L96</f>
        <v>0</v>
      </c>
      <c r="M94" s="45">
        <f>M95+M96</f>
        <v>9205.9</v>
      </c>
      <c r="N94" s="45">
        <f>N95+N96</f>
        <v>0</v>
      </c>
      <c r="O94" s="45">
        <f>O95+O96</f>
        <v>9205.9</v>
      </c>
    </row>
    <row r="95" spans="1:16" ht="78.75" x14ac:dyDescent="0.2">
      <c r="A95" s="40"/>
      <c r="B95" s="41" t="s">
        <v>61</v>
      </c>
      <c r="C95" s="42" t="s">
        <v>51</v>
      </c>
      <c r="D95" s="43" t="s">
        <v>86</v>
      </c>
      <c r="E95" s="43" t="s">
        <v>138</v>
      </c>
      <c r="F95" s="44" t="s">
        <v>62</v>
      </c>
      <c r="G95" s="45">
        <v>8505.9</v>
      </c>
      <c r="H95" s="45"/>
      <c r="I95" s="45">
        <v>8505.9</v>
      </c>
      <c r="J95" s="47">
        <v>0</v>
      </c>
      <c r="K95" s="45"/>
      <c r="L95" s="47">
        <v>0</v>
      </c>
      <c r="M95" s="45">
        <v>8505.9</v>
      </c>
      <c r="N95" s="45"/>
      <c r="O95" s="45">
        <v>8505.9</v>
      </c>
    </row>
    <row r="96" spans="1:16" ht="31.5" x14ac:dyDescent="0.2">
      <c r="A96" s="40"/>
      <c r="B96" s="41" t="s">
        <v>40</v>
      </c>
      <c r="C96" s="42" t="s">
        <v>51</v>
      </c>
      <c r="D96" s="43" t="s">
        <v>86</v>
      </c>
      <c r="E96" s="43" t="s">
        <v>138</v>
      </c>
      <c r="F96" s="44" t="s">
        <v>41</v>
      </c>
      <c r="G96" s="45">
        <v>700</v>
      </c>
      <c r="H96" s="45"/>
      <c r="I96" s="45">
        <v>700</v>
      </c>
      <c r="J96" s="47">
        <v>0</v>
      </c>
      <c r="K96" s="45"/>
      <c r="L96" s="47">
        <v>0</v>
      </c>
      <c r="M96" s="45">
        <v>700</v>
      </c>
      <c r="N96" s="45"/>
      <c r="O96" s="45">
        <v>700</v>
      </c>
    </row>
    <row r="97" spans="1:16" ht="47.25" x14ac:dyDescent="0.2">
      <c r="A97" s="40"/>
      <c r="B97" s="41" t="s">
        <v>139</v>
      </c>
      <c r="C97" s="42" t="s">
        <v>51</v>
      </c>
      <c r="D97" s="43" t="s">
        <v>86</v>
      </c>
      <c r="E97" s="43" t="s">
        <v>140</v>
      </c>
      <c r="F97" s="44" t="s">
        <v>11</v>
      </c>
      <c r="G97" s="45">
        <f>G98+G99</f>
        <v>1074.5999999999999</v>
      </c>
      <c r="H97" s="45">
        <f>SUM(H98)</f>
        <v>600</v>
      </c>
      <c r="I97" s="45">
        <f>I98+I99</f>
        <v>1674.6</v>
      </c>
      <c r="J97" s="46">
        <f>J98+J99</f>
        <v>0</v>
      </c>
      <c r="K97" s="45"/>
      <c r="L97" s="46">
        <f>L98+L99</f>
        <v>0</v>
      </c>
      <c r="M97" s="45">
        <f>M98+M99</f>
        <v>1074.5999999999999</v>
      </c>
      <c r="N97" s="45">
        <f>N98+N99</f>
        <v>600</v>
      </c>
      <c r="O97" s="45">
        <f>O98+O99</f>
        <v>1674.6</v>
      </c>
    </row>
    <row r="98" spans="1:16" ht="31.5" x14ac:dyDescent="0.2">
      <c r="A98" s="40"/>
      <c r="B98" s="41" t="s">
        <v>40</v>
      </c>
      <c r="C98" s="42" t="s">
        <v>51</v>
      </c>
      <c r="D98" s="43" t="s">
        <v>86</v>
      </c>
      <c r="E98" s="43" t="s">
        <v>140</v>
      </c>
      <c r="F98" s="44" t="s">
        <v>41</v>
      </c>
      <c r="G98" s="45">
        <f>1000.2-745.2</f>
        <v>255</v>
      </c>
      <c r="H98" s="45">
        <v>600</v>
      </c>
      <c r="I98" s="45">
        <f>1000.2-745.2+H98</f>
        <v>855</v>
      </c>
      <c r="J98" s="47">
        <v>0</v>
      </c>
      <c r="K98" s="45"/>
      <c r="L98" s="47">
        <v>0</v>
      </c>
      <c r="M98" s="45">
        <f>1000.2-745.2</f>
        <v>255</v>
      </c>
      <c r="N98" s="45">
        <f>SUM(H98)</f>
        <v>600</v>
      </c>
      <c r="O98" s="45">
        <f>1000.2-745.2+N98</f>
        <v>855</v>
      </c>
    </row>
    <row r="99" spans="1:16" ht="15.75" x14ac:dyDescent="0.2">
      <c r="A99" s="40"/>
      <c r="B99" s="41" t="s">
        <v>70</v>
      </c>
      <c r="C99" s="42" t="s">
        <v>51</v>
      </c>
      <c r="D99" s="43" t="s">
        <v>86</v>
      </c>
      <c r="E99" s="43" t="s">
        <v>140</v>
      </c>
      <c r="F99" s="44" t="s">
        <v>71</v>
      </c>
      <c r="G99" s="45">
        <f>74.4+745.2</f>
        <v>819.6</v>
      </c>
      <c r="H99" s="45"/>
      <c r="I99" s="45">
        <f>74.4+745.2</f>
        <v>819.6</v>
      </c>
      <c r="J99" s="47">
        <v>0</v>
      </c>
      <c r="K99" s="45"/>
      <c r="L99" s="47">
        <v>0</v>
      </c>
      <c r="M99" s="45">
        <f>74.4+745.2</f>
        <v>819.6</v>
      </c>
      <c r="N99" s="45"/>
      <c r="O99" s="45">
        <f>74.4+745.2</f>
        <v>819.6</v>
      </c>
    </row>
    <row r="100" spans="1:16" ht="15.75" x14ac:dyDescent="0.2">
      <c r="A100" s="40"/>
      <c r="B100" s="41" t="s">
        <v>141</v>
      </c>
      <c r="C100" s="42" t="s">
        <v>51</v>
      </c>
      <c r="D100" s="43" t="s">
        <v>86</v>
      </c>
      <c r="E100" s="43" t="s">
        <v>142</v>
      </c>
      <c r="F100" s="44" t="s">
        <v>11</v>
      </c>
      <c r="G100" s="45">
        <f t="shared" ref="G100:O102" si="12">G101</f>
        <v>200</v>
      </c>
      <c r="H100" s="45">
        <f t="shared" si="12"/>
        <v>0</v>
      </c>
      <c r="I100" s="45">
        <f t="shared" si="12"/>
        <v>200</v>
      </c>
      <c r="J100" s="46">
        <f t="shared" si="12"/>
        <v>0</v>
      </c>
      <c r="K100" s="45">
        <f>K101</f>
        <v>0</v>
      </c>
      <c r="L100" s="46">
        <f t="shared" si="12"/>
        <v>0</v>
      </c>
      <c r="M100" s="45">
        <f t="shared" si="12"/>
        <v>200</v>
      </c>
      <c r="N100" s="45">
        <f t="shared" si="12"/>
        <v>0</v>
      </c>
      <c r="O100" s="45">
        <f t="shared" si="12"/>
        <v>200</v>
      </c>
    </row>
    <row r="101" spans="1:16" ht="47.25" x14ac:dyDescent="0.2">
      <c r="A101" s="40"/>
      <c r="B101" s="41" t="s">
        <v>143</v>
      </c>
      <c r="C101" s="42" t="s">
        <v>51</v>
      </c>
      <c r="D101" s="43" t="s">
        <v>86</v>
      </c>
      <c r="E101" s="43" t="s">
        <v>144</v>
      </c>
      <c r="F101" s="44" t="s">
        <v>11</v>
      </c>
      <c r="G101" s="45">
        <f t="shared" si="12"/>
        <v>200</v>
      </c>
      <c r="H101" s="45">
        <f t="shared" si="12"/>
        <v>0</v>
      </c>
      <c r="I101" s="45">
        <f t="shared" si="12"/>
        <v>200</v>
      </c>
      <c r="J101" s="46">
        <f t="shared" si="12"/>
        <v>0</v>
      </c>
      <c r="K101" s="45">
        <f>K102</f>
        <v>0</v>
      </c>
      <c r="L101" s="46">
        <f t="shared" si="12"/>
        <v>0</v>
      </c>
      <c r="M101" s="45">
        <f t="shared" si="12"/>
        <v>200</v>
      </c>
      <c r="N101" s="45">
        <f t="shared" si="12"/>
        <v>0</v>
      </c>
      <c r="O101" s="45">
        <f t="shared" si="12"/>
        <v>200</v>
      </c>
    </row>
    <row r="102" spans="1:16" ht="31.5" x14ac:dyDescent="0.2">
      <c r="A102" s="40"/>
      <c r="B102" s="41" t="s">
        <v>145</v>
      </c>
      <c r="C102" s="42" t="s">
        <v>51</v>
      </c>
      <c r="D102" s="43" t="s">
        <v>86</v>
      </c>
      <c r="E102" s="43" t="s">
        <v>146</v>
      </c>
      <c r="F102" s="44" t="s">
        <v>11</v>
      </c>
      <c r="G102" s="45">
        <f>G103</f>
        <v>200</v>
      </c>
      <c r="H102" s="45"/>
      <c r="I102" s="45">
        <f>I103</f>
        <v>200</v>
      </c>
      <c r="J102" s="46">
        <f t="shared" si="12"/>
        <v>0</v>
      </c>
      <c r="K102" s="45"/>
      <c r="L102" s="46">
        <f t="shared" si="12"/>
        <v>0</v>
      </c>
      <c r="M102" s="45">
        <f t="shared" si="12"/>
        <v>200</v>
      </c>
      <c r="N102" s="45">
        <f t="shared" si="12"/>
        <v>0</v>
      </c>
      <c r="O102" s="45">
        <f t="shared" si="12"/>
        <v>200</v>
      </c>
    </row>
    <row r="103" spans="1:16" ht="31.5" x14ac:dyDescent="0.2">
      <c r="A103" s="40"/>
      <c r="B103" s="41" t="s">
        <v>40</v>
      </c>
      <c r="C103" s="42" t="s">
        <v>51</v>
      </c>
      <c r="D103" s="43" t="s">
        <v>86</v>
      </c>
      <c r="E103" s="43" t="s">
        <v>146</v>
      </c>
      <c r="F103" s="44" t="s">
        <v>41</v>
      </c>
      <c r="G103" s="45">
        <v>200</v>
      </c>
      <c r="H103" s="45"/>
      <c r="I103" s="45">
        <v>200</v>
      </c>
      <c r="J103" s="47">
        <v>0</v>
      </c>
      <c r="K103" s="45">
        <f>K104</f>
        <v>0</v>
      </c>
      <c r="L103" s="47">
        <v>0</v>
      </c>
      <c r="M103" s="45">
        <v>200</v>
      </c>
      <c r="N103" s="45"/>
      <c r="O103" s="45">
        <v>200</v>
      </c>
    </row>
    <row r="104" spans="1:16" ht="1.5" customHeight="1" x14ac:dyDescent="0.2">
      <c r="A104" s="40"/>
      <c r="B104" s="41" t="s">
        <v>147</v>
      </c>
      <c r="C104" s="42" t="s">
        <v>51</v>
      </c>
      <c r="D104" s="43" t="s">
        <v>86</v>
      </c>
      <c r="E104" s="43" t="s">
        <v>148</v>
      </c>
      <c r="F104" s="44" t="s">
        <v>11</v>
      </c>
      <c r="G104" s="45">
        <f t="shared" ref="G104:I105" si="13">G105</f>
        <v>0</v>
      </c>
      <c r="H104" s="45">
        <f t="shared" si="13"/>
        <v>45.9</v>
      </c>
      <c r="I104" s="45">
        <f t="shared" si="13"/>
        <v>45.9</v>
      </c>
      <c r="J104" s="46">
        <f t="shared" ref="J104:O106" si="14">J105</f>
        <v>0</v>
      </c>
      <c r="K104" s="45">
        <f>K105</f>
        <v>0</v>
      </c>
      <c r="L104" s="46">
        <f t="shared" si="14"/>
        <v>0</v>
      </c>
      <c r="M104" s="45">
        <f t="shared" si="14"/>
        <v>0</v>
      </c>
      <c r="N104" s="45">
        <f t="shared" si="14"/>
        <v>45.9</v>
      </c>
      <c r="O104" s="45">
        <f t="shared" si="14"/>
        <v>45.9</v>
      </c>
    </row>
    <row r="105" spans="1:16" ht="31.5" x14ac:dyDescent="0.2">
      <c r="A105" s="40"/>
      <c r="B105" s="41" t="s">
        <v>149</v>
      </c>
      <c r="C105" s="42" t="s">
        <v>51</v>
      </c>
      <c r="D105" s="43" t="s">
        <v>86</v>
      </c>
      <c r="E105" s="43" t="s">
        <v>150</v>
      </c>
      <c r="F105" s="44" t="s">
        <v>11</v>
      </c>
      <c r="G105" s="45">
        <f t="shared" si="13"/>
        <v>0</v>
      </c>
      <c r="H105" s="45">
        <f t="shared" si="13"/>
        <v>45.9</v>
      </c>
      <c r="I105" s="45">
        <f t="shared" si="13"/>
        <v>45.9</v>
      </c>
      <c r="J105" s="46">
        <f t="shared" si="14"/>
        <v>0</v>
      </c>
      <c r="K105" s="45">
        <f>K106</f>
        <v>0</v>
      </c>
      <c r="L105" s="46">
        <f t="shared" si="14"/>
        <v>0</v>
      </c>
      <c r="M105" s="45">
        <f t="shared" si="14"/>
        <v>0</v>
      </c>
      <c r="N105" s="45">
        <f t="shared" si="14"/>
        <v>45.9</v>
      </c>
      <c r="O105" s="45">
        <f t="shared" si="14"/>
        <v>45.9</v>
      </c>
    </row>
    <row r="106" spans="1:16" ht="31.5" x14ac:dyDescent="0.2">
      <c r="A106" s="40"/>
      <c r="B106" s="41" t="s">
        <v>151</v>
      </c>
      <c r="C106" s="42" t="s">
        <v>51</v>
      </c>
      <c r="D106" s="43" t="s">
        <v>86</v>
      </c>
      <c r="E106" s="43" t="s">
        <v>152</v>
      </c>
      <c r="F106" s="44" t="s">
        <v>11</v>
      </c>
      <c r="G106" s="45">
        <f>G107</f>
        <v>0</v>
      </c>
      <c r="H106" s="45">
        <f>SUM(H107)</f>
        <v>45.9</v>
      </c>
      <c r="I106" s="45">
        <f>I107</f>
        <v>45.9</v>
      </c>
      <c r="J106" s="46">
        <f t="shared" si="14"/>
        <v>0</v>
      </c>
      <c r="K106" s="45"/>
      <c r="L106" s="46">
        <f t="shared" si="14"/>
        <v>0</v>
      </c>
      <c r="M106" s="45">
        <f t="shared" si="14"/>
        <v>0</v>
      </c>
      <c r="N106" s="45">
        <f t="shared" si="14"/>
        <v>45.9</v>
      </c>
      <c r="O106" s="45">
        <f t="shared" si="14"/>
        <v>45.9</v>
      </c>
    </row>
    <row r="107" spans="1:16" ht="22.5" customHeight="1" x14ac:dyDescent="0.2">
      <c r="A107" s="40"/>
      <c r="B107" s="41" t="s">
        <v>70</v>
      </c>
      <c r="C107" s="42" t="s">
        <v>51</v>
      </c>
      <c r="D107" s="43" t="s">
        <v>86</v>
      </c>
      <c r="E107" s="43" t="s">
        <v>152</v>
      </c>
      <c r="F107" s="44" t="s">
        <v>71</v>
      </c>
      <c r="G107" s="45"/>
      <c r="H107" s="45">
        <f>38.6+7.3</f>
        <v>45.9</v>
      </c>
      <c r="I107" s="45">
        <f>38.6+7.3</f>
        <v>45.9</v>
      </c>
      <c r="J107" s="47">
        <v>0</v>
      </c>
      <c r="K107" s="25">
        <f>K108+K134</f>
        <v>0</v>
      </c>
      <c r="L107" s="47">
        <v>0</v>
      </c>
      <c r="M107" s="45"/>
      <c r="N107" s="45">
        <f>SUM(H107)</f>
        <v>45.9</v>
      </c>
      <c r="O107" s="45">
        <f>SUM(I107)</f>
        <v>45.9</v>
      </c>
    </row>
    <row r="108" spans="1:16" ht="31.5" x14ac:dyDescent="0.2">
      <c r="A108" s="20" t="s">
        <v>153</v>
      </c>
      <c r="B108" s="21" t="s">
        <v>154</v>
      </c>
      <c r="C108" s="22" t="s">
        <v>51</v>
      </c>
      <c r="D108" s="23" t="s">
        <v>155</v>
      </c>
      <c r="E108" s="23" t="s">
        <v>11</v>
      </c>
      <c r="F108" s="24" t="s">
        <v>11</v>
      </c>
      <c r="G108" s="25">
        <f>G109+G135</f>
        <v>37085.1</v>
      </c>
      <c r="H108" s="38">
        <f>H109+H135</f>
        <v>2554.9000000000005</v>
      </c>
      <c r="I108" s="25">
        <f>I109+I135</f>
        <v>39640</v>
      </c>
      <c r="J108" s="26">
        <f>J109+J135</f>
        <v>0</v>
      </c>
      <c r="K108" s="38">
        <f>K109</f>
        <v>0</v>
      </c>
      <c r="L108" s="26">
        <f>L109+L135</f>
        <v>0</v>
      </c>
      <c r="M108" s="25">
        <f>M109+M135</f>
        <v>37085.1</v>
      </c>
      <c r="N108" s="25">
        <f>N109+N135</f>
        <v>2554.9000000000005</v>
      </c>
      <c r="O108" s="25">
        <f>O109+O135</f>
        <v>39640</v>
      </c>
      <c r="P108" s="17"/>
    </row>
    <row r="109" spans="1:16" ht="63" x14ac:dyDescent="0.2">
      <c r="A109" s="33" t="s">
        <v>156</v>
      </c>
      <c r="B109" s="34" t="s">
        <v>157</v>
      </c>
      <c r="C109" s="35" t="s">
        <v>51</v>
      </c>
      <c r="D109" s="36" t="s">
        <v>158</v>
      </c>
      <c r="E109" s="36" t="s">
        <v>11</v>
      </c>
      <c r="F109" s="37" t="s">
        <v>11</v>
      </c>
      <c r="G109" s="38">
        <f>G110</f>
        <v>31783.599999999999</v>
      </c>
      <c r="H109" s="45">
        <f>H110+H126</f>
        <v>2380.1000000000004</v>
      </c>
      <c r="I109" s="38">
        <f>I110</f>
        <v>34163.699999999997</v>
      </c>
      <c r="J109" s="39">
        <f>J110</f>
        <v>0</v>
      </c>
      <c r="K109" s="45">
        <f>K110+K126+K130</f>
        <v>0</v>
      </c>
      <c r="L109" s="39">
        <f>L110</f>
        <v>0</v>
      </c>
      <c r="M109" s="38">
        <f>M110</f>
        <v>31783.599999999999</v>
      </c>
      <c r="N109" s="38">
        <f>N110</f>
        <v>2380.1000000000004</v>
      </c>
      <c r="O109" s="38">
        <f>O110</f>
        <v>34163.699999999997</v>
      </c>
    </row>
    <row r="110" spans="1:16" ht="31.5" x14ac:dyDescent="0.2">
      <c r="A110" s="40"/>
      <c r="B110" s="41" t="s">
        <v>159</v>
      </c>
      <c r="C110" s="42" t="s">
        <v>51</v>
      </c>
      <c r="D110" s="43" t="s">
        <v>158</v>
      </c>
      <c r="E110" s="43" t="s">
        <v>160</v>
      </c>
      <c r="F110" s="44" t="s">
        <v>11</v>
      </c>
      <c r="G110" s="45">
        <f>G111+G127+G131</f>
        <v>31783.599999999999</v>
      </c>
      <c r="H110" s="45">
        <f>H111+H120+H123+H127</f>
        <v>2380.1000000000004</v>
      </c>
      <c r="I110" s="45">
        <f>I111+I127+I131</f>
        <v>34163.699999999997</v>
      </c>
      <c r="J110" s="46">
        <f>J111+J127+J131</f>
        <v>0</v>
      </c>
      <c r="K110" s="45">
        <f>K111+K120+K123</f>
        <v>0</v>
      </c>
      <c r="L110" s="46">
        <f>L111+L127+L131</f>
        <v>0</v>
      </c>
      <c r="M110" s="45">
        <f>M111+M127+M131</f>
        <v>31783.599999999999</v>
      </c>
      <c r="N110" s="45">
        <f>N111+N127+N131</f>
        <v>2380.1000000000004</v>
      </c>
      <c r="O110" s="45">
        <f>O111+O127+O131</f>
        <v>34163.699999999997</v>
      </c>
      <c r="P110" s="16"/>
    </row>
    <row r="111" spans="1:16" ht="63" x14ac:dyDescent="0.2">
      <c r="A111" s="40"/>
      <c r="B111" s="41" t="s">
        <v>161</v>
      </c>
      <c r="C111" s="42" t="s">
        <v>51</v>
      </c>
      <c r="D111" s="43" t="s">
        <v>158</v>
      </c>
      <c r="E111" s="43" t="s">
        <v>162</v>
      </c>
      <c r="F111" s="44" t="s">
        <v>11</v>
      </c>
      <c r="G111" s="45">
        <f>G112+G121+G124</f>
        <v>28124.6</v>
      </c>
      <c r="H111" s="45">
        <f>H112</f>
        <v>2278.2000000000003</v>
      </c>
      <c r="I111" s="45">
        <f>I112+I121+I124</f>
        <v>30402.799999999999</v>
      </c>
      <c r="J111" s="46">
        <f>J112+J121+J124</f>
        <v>0</v>
      </c>
      <c r="K111" s="45">
        <f>K112+K116+K118</f>
        <v>0</v>
      </c>
      <c r="L111" s="46">
        <f>L112+L121+L124</f>
        <v>0</v>
      </c>
      <c r="M111" s="45">
        <f>M112+M121+M124</f>
        <v>28124.6</v>
      </c>
      <c r="N111" s="45">
        <f>N112+N121+N124</f>
        <v>2278.2000000000003</v>
      </c>
      <c r="O111" s="45">
        <f>O112+O121+O124</f>
        <v>30402.799999999999</v>
      </c>
      <c r="P111" s="16"/>
    </row>
    <row r="112" spans="1:16" ht="63" x14ac:dyDescent="0.2">
      <c r="A112" s="40"/>
      <c r="B112" s="41" t="s">
        <v>163</v>
      </c>
      <c r="C112" s="42" t="s">
        <v>51</v>
      </c>
      <c r="D112" s="43" t="s">
        <v>158</v>
      </c>
      <c r="E112" s="43" t="s">
        <v>164</v>
      </c>
      <c r="F112" s="44" t="s">
        <v>11</v>
      </c>
      <c r="G112" s="45">
        <f>G113+G117+G119</f>
        <v>13023.900000000001</v>
      </c>
      <c r="H112" s="45">
        <f>SUM(H113+H117)</f>
        <v>2278.2000000000003</v>
      </c>
      <c r="I112" s="45">
        <f>I113+I117+I119</f>
        <v>15302.1</v>
      </c>
      <c r="J112" s="46">
        <f>J113+J117+J119</f>
        <v>0</v>
      </c>
      <c r="K112" s="45">
        <f>K113+K114+K115</f>
        <v>0</v>
      </c>
      <c r="L112" s="46">
        <f>L113+L117+L119</f>
        <v>0</v>
      </c>
      <c r="M112" s="45">
        <f>M113+M117+M119</f>
        <v>13023.900000000001</v>
      </c>
      <c r="N112" s="45">
        <f>N113+N117+N119</f>
        <v>2278.2000000000003</v>
      </c>
      <c r="O112" s="45">
        <f>O113+O117+O119</f>
        <v>15302.1</v>
      </c>
      <c r="P112" s="16"/>
    </row>
    <row r="113" spans="1:15" ht="31.5" x14ac:dyDescent="0.2">
      <c r="A113" s="40"/>
      <c r="B113" s="41" t="s">
        <v>134</v>
      </c>
      <c r="C113" s="42" t="s">
        <v>51</v>
      </c>
      <c r="D113" s="43" t="s">
        <v>158</v>
      </c>
      <c r="E113" s="43" t="s">
        <v>165</v>
      </c>
      <c r="F113" s="44" t="s">
        <v>11</v>
      </c>
      <c r="G113" s="45">
        <f>G114+G115+G116</f>
        <v>10295.300000000001</v>
      </c>
      <c r="H113" s="45">
        <f>SUM(H114+H115)</f>
        <v>441.8</v>
      </c>
      <c r="I113" s="45">
        <f>I114+I115+I116</f>
        <v>10737.1</v>
      </c>
      <c r="J113" s="46">
        <f>J114+J115+J116</f>
        <v>0</v>
      </c>
      <c r="K113" s="45"/>
      <c r="L113" s="46">
        <f>L114+L115+L116</f>
        <v>0</v>
      </c>
      <c r="M113" s="45">
        <f>M114+M115+M116</f>
        <v>10295.300000000001</v>
      </c>
      <c r="N113" s="45">
        <f>N114+N115+N116</f>
        <v>441.8</v>
      </c>
      <c r="O113" s="45">
        <f>O114+O115+O116</f>
        <v>10737.1</v>
      </c>
    </row>
    <row r="114" spans="1:15" ht="78.75" x14ac:dyDescent="0.2">
      <c r="A114" s="40"/>
      <c r="B114" s="41" t="s">
        <v>61</v>
      </c>
      <c r="C114" s="42" t="s">
        <v>51</v>
      </c>
      <c r="D114" s="43" t="s">
        <v>158</v>
      </c>
      <c r="E114" s="43" t="s">
        <v>165</v>
      </c>
      <c r="F114" s="44" t="s">
        <v>62</v>
      </c>
      <c r="G114" s="45">
        <v>9246.2000000000007</v>
      </c>
      <c r="H114" s="45">
        <v>128.5</v>
      </c>
      <c r="I114" s="45">
        <f>9246.2+H114</f>
        <v>9374.7000000000007</v>
      </c>
      <c r="J114" s="47">
        <v>0</v>
      </c>
      <c r="K114" s="45"/>
      <c r="L114" s="47">
        <v>0</v>
      </c>
      <c r="M114" s="45">
        <v>9246.2000000000007</v>
      </c>
      <c r="N114" s="45">
        <f>SUM(H114)</f>
        <v>128.5</v>
      </c>
      <c r="O114" s="45">
        <f>9246.2+N114</f>
        <v>9374.7000000000007</v>
      </c>
    </row>
    <row r="115" spans="1:15" ht="31.5" x14ac:dyDescent="0.2">
      <c r="A115" s="40"/>
      <c r="B115" s="41" t="s">
        <v>40</v>
      </c>
      <c r="C115" s="42" t="s">
        <v>51</v>
      </c>
      <c r="D115" s="43" t="s">
        <v>158</v>
      </c>
      <c r="E115" s="43" t="s">
        <v>165</v>
      </c>
      <c r="F115" s="44" t="s">
        <v>41</v>
      </c>
      <c r="G115" s="45">
        <v>1026.0999999999999</v>
      </c>
      <c r="H115" s="45">
        <f>296+17.3</f>
        <v>313.3</v>
      </c>
      <c r="I115" s="45">
        <f>1026.1+H115</f>
        <v>1339.3999999999999</v>
      </c>
      <c r="J115" s="47">
        <v>0</v>
      </c>
      <c r="K115" s="45"/>
      <c r="L115" s="47">
        <v>0</v>
      </c>
      <c r="M115" s="45">
        <v>1026.0999999999999</v>
      </c>
      <c r="N115" s="45">
        <f>SUM(H115)</f>
        <v>313.3</v>
      </c>
      <c r="O115" s="45">
        <f>1026.1+N115</f>
        <v>1339.3999999999999</v>
      </c>
    </row>
    <row r="116" spans="1:15" ht="15.75" x14ac:dyDescent="0.2">
      <c r="A116" s="40"/>
      <c r="B116" s="41" t="s">
        <v>70</v>
      </c>
      <c r="C116" s="42" t="s">
        <v>51</v>
      </c>
      <c r="D116" s="43" t="s">
        <v>158</v>
      </c>
      <c r="E116" s="43" t="s">
        <v>165</v>
      </c>
      <c r="F116" s="44" t="s">
        <v>71</v>
      </c>
      <c r="G116" s="45">
        <v>23</v>
      </c>
      <c r="H116" s="45"/>
      <c r="I116" s="45">
        <v>23</v>
      </c>
      <c r="J116" s="47">
        <v>0</v>
      </c>
      <c r="K116" s="45"/>
      <c r="L116" s="47">
        <v>0</v>
      </c>
      <c r="M116" s="45">
        <v>23</v>
      </c>
      <c r="N116" s="45"/>
      <c r="O116" s="45">
        <v>23</v>
      </c>
    </row>
    <row r="117" spans="1:15" ht="63" x14ac:dyDescent="0.2">
      <c r="A117" s="40"/>
      <c r="B117" s="41" t="s">
        <v>166</v>
      </c>
      <c r="C117" s="42" t="s">
        <v>51</v>
      </c>
      <c r="D117" s="43" t="s">
        <v>158</v>
      </c>
      <c r="E117" s="43" t="s">
        <v>167</v>
      </c>
      <c r="F117" s="44" t="s">
        <v>11</v>
      </c>
      <c r="G117" s="45">
        <f>G118</f>
        <v>1728.6000000000001</v>
      </c>
      <c r="H117" s="48">
        <f>SUM(H118)</f>
        <v>1836.4</v>
      </c>
      <c r="I117" s="45">
        <f>I118</f>
        <v>3565</v>
      </c>
      <c r="J117" s="46">
        <f>J118</f>
        <v>0</v>
      </c>
      <c r="K117" s="48"/>
      <c r="L117" s="46">
        <f>L118</f>
        <v>0</v>
      </c>
      <c r="M117" s="45">
        <f>M118</f>
        <v>1728.6000000000001</v>
      </c>
      <c r="N117" s="45">
        <f>N118</f>
        <v>1836.4</v>
      </c>
      <c r="O117" s="45">
        <f>O118</f>
        <v>3565</v>
      </c>
    </row>
    <row r="118" spans="1:15" ht="31.5" x14ac:dyDescent="0.2">
      <c r="A118" s="40"/>
      <c r="B118" s="41" t="s">
        <v>40</v>
      </c>
      <c r="C118" s="42" t="s">
        <v>51</v>
      </c>
      <c r="D118" s="43" t="s">
        <v>158</v>
      </c>
      <c r="E118" s="43" t="s">
        <v>167</v>
      </c>
      <c r="F118" s="44" t="s">
        <v>41</v>
      </c>
      <c r="G118" s="48">
        <f>1134.8+593.6+0.2</f>
        <v>1728.6000000000001</v>
      </c>
      <c r="H118" s="45">
        <f>636.4+1200</f>
        <v>1836.4</v>
      </c>
      <c r="I118" s="48">
        <f>1134.8+593.6+0.2+H118</f>
        <v>3565</v>
      </c>
      <c r="J118" s="47"/>
      <c r="K118" s="45"/>
      <c r="L118" s="47"/>
      <c r="M118" s="48">
        <f>1134.8+593.6+0.2</f>
        <v>1728.6000000000001</v>
      </c>
      <c r="N118" s="48">
        <f>SUM(H118)</f>
        <v>1836.4</v>
      </c>
      <c r="O118" s="48">
        <f>1134.8+593.6+0.2+N118</f>
        <v>3565</v>
      </c>
    </row>
    <row r="119" spans="1:15" ht="63" x14ac:dyDescent="0.2">
      <c r="A119" s="40"/>
      <c r="B119" s="41" t="s">
        <v>168</v>
      </c>
      <c r="C119" s="42" t="s">
        <v>51</v>
      </c>
      <c r="D119" s="43" t="s">
        <v>158</v>
      </c>
      <c r="E119" s="43" t="s">
        <v>169</v>
      </c>
      <c r="F119" s="44" t="s">
        <v>11</v>
      </c>
      <c r="G119" s="45">
        <f>G120</f>
        <v>1000</v>
      </c>
      <c r="H119" s="45"/>
      <c r="I119" s="45">
        <f>I120</f>
        <v>1000</v>
      </c>
      <c r="J119" s="46">
        <f>J120</f>
        <v>0</v>
      </c>
      <c r="K119" s="45"/>
      <c r="L119" s="46">
        <f>L120</f>
        <v>0</v>
      </c>
      <c r="M119" s="45">
        <f>M120</f>
        <v>1000</v>
      </c>
      <c r="N119" s="45">
        <f>N120</f>
        <v>0</v>
      </c>
      <c r="O119" s="45">
        <f>O120</f>
        <v>1000</v>
      </c>
    </row>
    <row r="120" spans="1:15" ht="31.5" x14ac:dyDescent="0.2">
      <c r="A120" s="40"/>
      <c r="B120" s="41" t="s">
        <v>40</v>
      </c>
      <c r="C120" s="42" t="s">
        <v>51</v>
      </c>
      <c r="D120" s="43" t="s">
        <v>158</v>
      </c>
      <c r="E120" s="43" t="s">
        <v>169</v>
      </c>
      <c r="F120" s="44" t="s">
        <v>41</v>
      </c>
      <c r="G120" s="45">
        <v>1000</v>
      </c>
      <c r="H120" s="45"/>
      <c r="I120" s="45">
        <v>1000</v>
      </c>
      <c r="J120" s="47"/>
      <c r="K120" s="45"/>
      <c r="L120" s="47"/>
      <c r="M120" s="45">
        <v>1000</v>
      </c>
      <c r="N120" s="45"/>
      <c r="O120" s="45">
        <v>1000</v>
      </c>
    </row>
    <row r="121" spans="1:15" ht="37.9" customHeight="1" x14ac:dyDescent="0.2">
      <c r="A121" s="40"/>
      <c r="B121" s="41" t="s">
        <v>170</v>
      </c>
      <c r="C121" s="42" t="s">
        <v>51</v>
      </c>
      <c r="D121" s="43" t="s">
        <v>158</v>
      </c>
      <c r="E121" s="43" t="s">
        <v>171</v>
      </c>
      <c r="F121" s="44" t="s">
        <v>11</v>
      </c>
      <c r="G121" s="45">
        <f t="shared" ref="G121:O122" si="15">G122</f>
        <v>13584.1</v>
      </c>
      <c r="H121" s="45">
        <f t="shared" si="15"/>
        <v>0</v>
      </c>
      <c r="I121" s="45">
        <f t="shared" si="15"/>
        <v>13584.1</v>
      </c>
      <c r="J121" s="46">
        <f t="shared" si="15"/>
        <v>0</v>
      </c>
      <c r="K121" s="45">
        <f t="shared" si="15"/>
        <v>0</v>
      </c>
      <c r="L121" s="46">
        <f t="shared" si="15"/>
        <v>0</v>
      </c>
      <c r="M121" s="45">
        <f t="shared" si="15"/>
        <v>13584.1</v>
      </c>
      <c r="N121" s="45">
        <f t="shared" si="15"/>
        <v>0</v>
      </c>
      <c r="O121" s="45">
        <f t="shared" si="15"/>
        <v>13584.1</v>
      </c>
    </row>
    <row r="122" spans="1:15" ht="94.5" x14ac:dyDescent="0.2">
      <c r="A122" s="40"/>
      <c r="B122" s="41" t="s">
        <v>172</v>
      </c>
      <c r="C122" s="42" t="s">
        <v>51</v>
      </c>
      <c r="D122" s="43" t="s">
        <v>158</v>
      </c>
      <c r="E122" s="43" t="s">
        <v>173</v>
      </c>
      <c r="F122" s="44" t="s">
        <v>11</v>
      </c>
      <c r="G122" s="45">
        <f t="shared" si="15"/>
        <v>13584.1</v>
      </c>
      <c r="H122" s="45"/>
      <c r="I122" s="45">
        <f t="shared" si="15"/>
        <v>13584.1</v>
      </c>
      <c r="J122" s="46">
        <f t="shared" si="15"/>
        <v>0</v>
      </c>
      <c r="K122" s="45"/>
      <c r="L122" s="46">
        <f t="shared" si="15"/>
        <v>0</v>
      </c>
      <c r="M122" s="45">
        <f t="shared" si="15"/>
        <v>13584.1</v>
      </c>
      <c r="N122" s="45">
        <f t="shared" si="15"/>
        <v>0</v>
      </c>
      <c r="O122" s="45">
        <f t="shared" si="15"/>
        <v>13584.1</v>
      </c>
    </row>
    <row r="123" spans="1:15" ht="15.75" x14ac:dyDescent="0.2">
      <c r="A123" s="40"/>
      <c r="B123" s="41" t="s">
        <v>47</v>
      </c>
      <c r="C123" s="42" t="s">
        <v>51</v>
      </c>
      <c r="D123" s="43" t="s">
        <v>158</v>
      </c>
      <c r="E123" s="43" t="s">
        <v>173</v>
      </c>
      <c r="F123" s="44" t="s">
        <v>48</v>
      </c>
      <c r="G123" s="45">
        <f>13584.2-0.1</f>
        <v>13584.1</v>
      </c>
      <c r="H123" s="45">
        <f t="shared" ref="G123:O125" si="16">H124</f>
        <v>0</v>
      </c>
      <c r="I123" s="45">
        <f>13584.2-0.1</f>
        <v>13584.1</v>
      </c>
      <c r="J123" s="47">
        <v>0</v>
      </c>
      <c r="K123" s="45">
        <f t="shared" si="16"/>
        <v>0</v>
      </c>
      <c r="L123" s="47">
        <v>0</v>
      </c>
      <c r="M123" s="45">
        <f>13584.2-0.1</f>
        <v>13584.1</v>
      </c>
      <c r="N123" s="45"/>
      <c r="O123" s="45">
        <f>13584.2-0.1</f>
        <v>13584.1</v>
      </c>
    </row>
    <row r="124" spans="1:15" ht="63" x14ac:dyDescent="0.2">
      <c r="A124" s="40"/>
      <c r="B124" s="41" t="s">
        <v>174</v>
      </c>
      <c r="C124" s="42" t="s">
        <v>51</v>
      </c>
      <c r="D124" s="43" t="s">
        <v>158</v>
      </c>
      <c r="E124" s="43" t="s">
        <v>175</v>
      </c>
      <c r="F124" s="44" t="s">
        <v>11</v>
      </c>
      <c r="G124" s="45">
        <f t="shared" si="16"/>
        <v>1516.6000000000001</v>
      </c>
      <c r="H124" s="45">
        <f t="shared" si="16"/>
        <v>0</v>
      </c>
      <c r="I124" s="45">
        <f t="shared" si="16"/>
        <v>1516.6000000000001</v>
      </c>
      <c r="J124" s="46">
        <f t="shared" si="16"/>
        <v>0</v>
      </c>
      <c r="K124" s="45">
        <f t="shared" si="16"/>
        <v>0</v>
      </c>
      <c r="L124" s="46">
        <f t="shared" si="16"/>
        <v>0</v>
      </c>
      <c r="M124" s="45">
        <f t="shared" si="16"/>
        <v>1516.6000000000001</v>
      </c>
      <c r="N124" s="45">
        <f t="shared" si="16"/>
        <v>0</v>
      </c>
      <c r="O124" s="45">
        <f t="shared" si="16"/>
        <v>1516.6000000000001</v>
      </c>
    </row>
    <row r="125" spans="1:15" ht="78.75" x14ac:dyDescent="0.2">
      <c r="A125" s="40"/>
      <c r="B125" s="41" t="s">
        <v>176</v>
      </c>
      <c r="C125" s="42" t="s">
        <v>51</v>
      </c>
      <c r="D125" s="43" t="s">
        <v>158</v>
      </c>
      <c r="E125" s="43" t="s">
        <v>177</v>
      </c>
      <c r="F125" s="44" t="s">
        <v>11</v>
      </c>
      <c r="G125" s="45">
        <f t="shared" si="16"/>
        <v>1516.6000000000001</v>
      </c>
      <c r="H125" s="45"/>
      <c r="I125" s="45">
        <f t="shared" si="16"/>
        <v>1516.6000000000001</v>
      </c>
      <c r="J125" s="46">
        <f t="shared" si="16"/>
        <v>0</v>
      </c>
      <c r="K125" s="45"/>
      <c r="L125" s="46">
        <f t="shared" si="16"/>
        <v>0</v>
      </c>
      <c r="M125" s="45">
        <f t="shared" si="16"/>
        <v>1516.6000000000001</v>
      </c>
      <c r="N125" s="45">
        <f t="shared" si="16"/>
        <v>0</v>
      </c>
      <c r="O125" s="45">
        <f t="shared" si="16"/>
        <v>1516.6000000000001</v>
      </c>
    </row>
    <row r="126" spans="1:15" ht="15.75" x14ac:dyDescent="0.2">
      <c r="A126" s="40"/>
      <c r="B126" s="41" t="s">
        <v>178</v>
      </c>
      <c r="C126" s="42" t="s">
        <v>51</v>
      </c>
      <c r="D126" s="43" t="s">
        <v>158</v>
      </c>
      <c r="E126" s="43" t="s">
        <v>177</v>
      </c>
      <c r="F126" s="44" t="s">
        <v>48</v>
      </c>
      <c r="G126" s="45">
        <f>1516.7-0.1</f>
        <v>1516.6000000000001</v>
      </c>
      <c r="H126" s="45"/>
      <c r="I126" s="45">
        <f>1516.7-0.1</f>
        <v>1516.6000000000001</v>
      </c>
      <c r="J126" s="47">
        <v>0</v>
      </c>
      <c r="K126" s="45"/>
      <c r="L126" s="47">
        <v>0</v>
      </c>
      <c r="M126" s="45">
        <f>1516.7-0.1</f>
        <v>1516.6000000000001</v>
      </c>
      <c r="N126" s="45"/>
      <c r="O126" s="45">
        <f>1516.7-0.1</f>
        <v>1516.6000000000001</v>
      </c>
    </row>
    <row r="127" spans="1:15" ht="15.75" x14ac:dyDescent="0.2">
      <c r="A127" s="40"/>
      <c r="B127" s="41" t="s">
        <v>179</v>
      </c>
      <c r="C127" s="42" t="s">
        <v>51</v>
      </c>
      <c r="D127" s="43" t="s">
        <v>158</v>
      </c>
      <c r="E127" s="43" t="s">
        <v>180</v>
      </c>
      <c r="F127" s="44" t="s">
        <v>11</v>
      </c>
      <c r="G127" s="45">
        <f t="shared" ref="G127:O129" si="17">G128</f>
        <v>292.5</v>
      </c>
      <c r="H127" s="45">
        <f t="shared" si="17"/>
        <v>101.9</v>
      </c>
      <c r="I127" s="45">
        <f t="shared" si="17"/>
        <v>394.4</v>
      </c>
      <c r="J127" s="46">
        <f t="shared" si="17"/>
        <v>0</v>
      </c>
      <c r="K127" s="45">
        <f>K128</f>
        <v>0</v>
      </c>
      <c r="L127" s="46">
        <f t="shared" si="17"/>
        <v>0</v>
      </c>
      <c r="M127" s="45">
        <f t="shared" si="17"/>
        <v>292.5</v>
      </c>
      <c r="N127" s="45">
        <f t="shared" si="17"/>
        <v>101.9</v>
      </c>
      <c r="O127" s="45">
        <f t="shared" si="17"/>
        <v>394.4</v>
      </c>
    </row>
    <row r="128" spans="1:15" ht="31.5" x14ac:dyDescent="0.2">
      <c r="A128" s="40"/>
      <c r="B128" s="41" t="s">
        <v>181</v>
      </c>
      <c r="C128" s="42" t="s">
        <v>51</v>
      </c>
      <c r="D128" s="43" t="s">
        <v>158</v>
      </c>
      <c r="E128" s="43" t="s">
        <v>182</v>
      </c>
      <c r="F128" s="44" t="s">
        <v>11</v>
      </c>
      <c r="G128" s="45">
        <f t="shared" si="17"/>
        <v>292.5</v>
      </c>
      <c r="H128" s="45">
        <f t="shared" si="17"/>
        <v>101.9</v>
      </c>
      <c r="I128" s="45">
        <f t="shared" si="17"/>
        <v>394.4</v>
      </c>
      <c r="J128" s="46">
        <f t="shared" si="17"/>
        <v>0</v>
      </c>
      <c r="K128" s="45">
        <f>K129</f>
        <v>0</v>
      </c>
      <c r="L128" s="46">
        <f t="shared" si="17"/>
        <v>0</v>
      </c>
      <c r="M128" s="45">
        <f t="shared" si="17"/>
        <v>292.5</v>
      </c>
      <c r="N128" s="45">
        <f t="shared" si="17"/>
        <v>101.9</v>
      </c>
      <c r="O128" s="45">
        <f t="shared" si="17"/>
        <v>394.4</v>
      </c>
    </row>
    <row r="129" spans="1:16" ht="15.75" x14ac:dyDescent="0.2">
      <c r="A129" s="40"/>
      <c r="B129" s="41" t="s">
        <v>183</v>
      </c>
      <c r="C129" s="42" t="s">
        <v>51</v>
      </c>
      <c r="D129" s="43" t="s">
        <v>158</v>
      </c>
      <c r="E129" s="43" t="s">
        <v>184</v>
      </c>
      <c r="F129" s="44" t="s">
        <v>11</v>
      </c>
      <c r="G129" s="45">
        <f>G130</f>
        <v>292.5</v>
      </c>
      <c r="H129" s="45">
        <f>H130</f>
        <v>101.9</v>
      </c>
      <c r="I129" s="45">
        <f>I130</f>
        <v>394.4</v>
      </c>
      <c r="J129" s="46">
        <f t="shared" si="17"/>
        <v>0</v>
      </c>
      <c r="K129" s="45"/>
      <c r="L129" s="46">
        <f t="shared" si="17"/>
        <v>0</v>
      </c>
      <c r="M129" s="45">
        <f t="shared" si="17"/>
        <v>292.5</v>
      </c>
      <c r="N129" s="45">
        <f t="shared" si="17"/>
        <v>101.9</v>
      </c>
      <c r="O129" s="45">
        <f t="shared" si="17"/>
        <v>394.4</v>
      </c>
    </row>
    <row r="130" spans="1:16" ht="31.5" x14ac:dyDescent="0.2">
      <c r="A130" s="40"/>
      <c r="B130" s="41" t="s">
        <v>40</v>
      </c>
      <c r="C130" s="42" t="s">
        <v>51</v>
      </c>
      <c r="D130" s="43" t="s">
        <v>158</v>
      </c>
      <c r="E130" s="43" t="s">
        <v>184</v>
      </c>
      <c r="F130" s="44" t="s">
        <v>41</v>
      </c>
      <c r="G130" s="45">
        <v>292.5</v>
      </c>
      <c r="H130" s="45">
        <f>93.7+8.2</f>
        <v>101.9</v>
      </c>
      <c r="I130" s="45">
        <f>292.5+H130</f>
        <v>394.4</v>
      </c>
      <c r="J130" s="47">
        <v>0</v>
      </c>
      <c r="K130" s="45"/>
      <c r="L130" s="47">
        <v>0</v>
      </c>
      <c r="M130" s="45">
        <v>292.5</v>
      </c>
      <c r="N130" s="45">
        <f>SUM(H130)</f>
        <v>101.9</v>
      </c>
      <c r="O130" s="45">
        <f>292.5+N130</f>
        <v>394.4</v>
      </c>
    </row>
    <row r="131" spans="1:16" ht="31.5" x14ac:dyDescent="0.2">
      <c r="A131" s="40"/>
      <c r="B131" s="41" t="s">
        <v>185</v>
      </c>
      <c r="C131" s="42" t="s">
        <v>51</v>
      </c>
      <c r="D131" s="43" t="s">
        <v>158</v>
      </c>
      <c r="E131" s="43" t="s">
        <v>186</v>
      </c>
      <c r="F131" s="44" t="s">
        <v>11</v>
      </c>
      <c r="G131" s="45">
        <f t="shared" ref="G131:O133" si="18">G132</f>
        <v>3366.5</v>
      </c>
      <c r="H131" s="45">
        <f t="shared" si="18"/>
        <v>0</v>
      </c>
      <c r="I131" s="45">
        <f t="shared" si="18"/>
        <v>3366.5</v>
      </c>
      <c r="J131" s="46">
        <f t="shared" si="18"/>
        <v>0</v>
      </c>
      <c r="K131" s="45">
        <f>K132</f>
        <v>0</v>
      </c>
      <c r="L131" s="46">
        <f t="shared" si="18"/>
        <v>0</v>
      </c>
      <c r="M131" s="45">
        <f t="shared" si="18"/>
        <v>3366.5</v>
      </c>
      <c r="N131" s="45">
        <f t="shared" si="18"/>
        <v>0</v>
      </c>
      <c r="O131" s="45">
        <f t="shared" si="18"/>
        <v>3366.5</v>
      </c>
    </row>
    <row r="132" spans="1:16" ht="47.25" x14ac:dyDescent="0.2">
      <c r="A132" s="40"/>
      <c r="B132" s="41" t="s">
        <v>187</v>
      </c>
      <c r="C132" s="42" t="s">
        <v>51</v>
      </c>
      <c r="D132" s="43" t="s">
        <v>158</v>
      </c>
      <c r="E132" s="43" t="s">
        <v>188</v>
      </c>
      <c r="F132" s="44" t="s">
        <v>11</v>
      </c>
      <c r="G132" s="45">
        <f t="shared" si="18"/>
        <v>3366.5</v>
      </c>
      <c r="H132" s="45">
        <f t="shared" si="18"/>
        <v>0</v>
      </c>
      <c r="I132" s="45">
        <f t="shared" si="18"/>
        <v>3366.5</v>
      </c>
      <c r="J132" s="46">
        <f t="shared" si="18"/>
        <v>0</v>
      </c>
      <c r="K132" s="45">
        <f>K133</f>
        <v>0</v>
      </c>
      <c r="L132" s="46">
        <f t="shared" si="18"/>
        <v>0</v>
      </c>
      <c r="M132" s="45">
        <f t="shared" si="18"/>
        <v>3366.5</v>
      </c>
      <c r="N132" s="45">
        <f t="shared" si="18"/>
        <v>0</v>
      </c>
      <c r="O132" s="45">
        <f t="shared" si="18"/>
        <v>3366.5</v>
      </c>
    </row>
    <row r="133" spans="1:16" ht="78.75" x14ac:dyDescent="0.2">
      <c r="A133" s="40"/>
      <c r="B133" s="41" t="s">
        <v>189</v>
      </c>
      <c r="C133" s="42" t="s">
        <v>51</v>
      </c>
      <c r="D133" s="43" t="s">
        <v>158</v>
      </c>
      <c r="E133" s="43" t="s">
        <v>190</v>
      </c>
      <c r="F133" s="44" t="s">
        <v>11</v>
      </c>
      <c r="G133" s="45">
        <f>G134</f>
        <v>3366.5</v>
      </c>
      <c r="H133" s="45"/>
      <c r="I133" s="45">
        <f>I134</f>
        <v>3366.5</v>
      </c>
      <c r="J133" s="46">
        <f t="shared" si="18"/>
        <v>0</v>
      </c>
      <c r="K133" s="45"/>
      <c r="L133" s="46">
        <f t="shared" si="18"/>
        <v>0</v>
      </c>
      <c r="M133" s="45">
        <f t="shared" si="18"/>
        <v>3366.5</v>
      </c>
      <c r="N133" s="45">
        <f t="shared" si="18"/>
        <v>0</v>
      </c>
      <c r="O133" s="45">
        <f t="shared" si="18"/>
        <v>3366.5</v>
      </c>
    </row>
    <row r="134" spans="1:16" ht="15.75" x14ac:dyDescent="0.2">
      <c r="A134" s="40"/>
      <c r="B134" s="41" t="s">
        <v>47</v>
      </c>
      <c r="C134" s="42" t="s">
        <v>51</v>
      </c>
      <c r="D134" s="43" t="s">
        <v>158</v>
      </c>
      <c r="E134" s="43" t="s">
        <v>190</v>
      </c>
      <c r="F134" s="44" t="s">
        <v>48</v>
      </c>
      <c r="G134" s="45">
        <v>3366.5</v>
      </c>
      <c r="H134" s="38"/>
      <c r="I134" s="45">
        <v>3366.5</v>
      </c>
      <c r="J134" s="47">
        <v>0</v>
      </c>
      <c r="K134" s="38"/>
      <c r="L134" s="47">
        <v>0</v>
      </c>
      <c r="M134" s="45">
        <v>3366.5</v>
      </c>
      <c r="N134" s="45"/>
      <c r="O134" s="45">
        <v>3366.5</v>
      </c>
    </row>
    <row r="135" spans="1:16" ht="36.6" customHeight="1" x14ac:dyDescent="0.2">
      <c r="A135" s="33" t="s">
        <v>191</v>
      </c>
      <c r="B135" s="34" t="s">
        <v>192</v>
      </c>
      <c r="C135" s="35" t="s">
        <v>51</v>
      </c>
      <c r="D135" s="36" t="s">
        <v>193</v>
      </c>
      <c r="E135" s="36" t="s">
        <v>11</v>
      </c>
      <c r="F135" s="37" t="s">
        <v>11</v>
      </c>
      <c r="G135" s="38">
        <f>G136</f>
        <v>5301.5</v>
      </c>
      <c r="H135" s="45">
        <f>H136+H142+H146</f>
        <v>174.8</v>
      </c>
      <c r="I135" s="38">
        <f>I136</f>
        <v>5476.3</v>
      </c>
      <c r="J135" s="39">
        <f>J136</f>
        <v>0</v>
      </c>
      <c r="K135" s="45">
        <f>K136+K142+K146</f>
        <v>0</v>
      </c>
      <c r="L135" s="39">
        <f>L136</f>
        <v>0</v>
      </c>
      <c r="M135" s="38">
        <f>M136</f>
        <v>5301.5</v>
      </c>
      <c r="N135" s="38">
        <f>N136</f>
        <v>174.8</v>
      </c>
      <c r="O135" s="38">
        <f>O136</f>
        <v>5476.3</v>
      </c>
    </row>
    <row r="136" spans="1:16" ht="31.5" x14ac:dyDescent="0.2">
      <c r="A136" s="40"/>
      <c r="B136" s="41" t="s">
        <v>159</v>
      </c>
      <c r="C136" s="42" t="s">
        <v>51</v>
      </c>
      <c r="D136" s="43" t="s">
        <v>193</v>
      </c>
      <c r="E136" s="43" t="s">
        <v>160</v>
      </c>
      <c r="F136" s="44" t="s">
        <v>11</v>
      </c>
      <c r="G136" s="45">
        <f>G137+G143+G147</f>
        <v>5301.5</v>
      </c>
      <c r="H136" s="45">
        <f>H137</f>
        <v>174.8</v>
      </c>
      <c r="I136" s="45">
        <f>I137+I143+I147</f>
        <v>5476.3</v>
      </c>
      <c r="J136" s="46">
        <f>J137+J143+J147</f>
        <v>0</v>
      </c>
      <c r="K136" s="45">
        <f>K137</f>
        <v>0</v>
      </c>
      <c r="L136" s="46">
        <f>L137+L143+L147</f>
        <v>0</v>
      </c>
      <c r="M136" s="45">
        <f>M137+M143+M147</f>
        <v>5301.5</v>
      </c>
      <c r="N136" s="45">
        <f>N137+N143+N147</f>
        <v>174.8</v>
      </c>
      <c r="O136" s="45">
        <f>O137+O143+O147</f>
        <v>5476.3</v>
      </c>
    </row>
    <row r="137" spans="1:16" ht="31.5" x14ac:dyDescent="0.2">
      <c r="A137" s="40"/>
      <c r="B137" s="41" t="s">
        <v>194</v>
      </c>
      <c r="C137" s="42" t="s">
        <v>51</v>
      </c>
      <c r="D137" s="43" t="s">
        <v>193</v>
      </c>
      <c r="E137" s="43" t="s">
        <v>195</v>
      </c>
      <c r="F137" s="44" t="s">
        <v>11</v>
      </c>
      <c r="G137" s="45">
        <f>G138</f>
        <v>5186.5</v>
      </c>
      <c r="H137" s="45">
        <f>H138</f>
        <v>174.8</v>
      </c>
      <c r="I137" s="45">
        <f>I138</f>
        <v>5361.3</v>
      </c>
      <c r="J137" s="46">
        <f>J138</f>
        <v>0</v>
      </c>
      <c r="K137" s="45">
        <f>K138+K140</f>
        <v>0</v>
      </c>
      <c r="L137" s="46">
        <f>L138</f>
        <v>0</v>
      </c>
      <c r="M137" s="45">
        <f>M138</f>
        <v>5186.5</v>
      </c>
      <c r="N137" s="45">
        <f>N138</f>
        <v>174.8</v>
      </c>
      <c r="O137" s="45">
        <f>O138</f>
        <v>5361.3</v>
      </c>
    </row>
    <row r="138" spans="1:16" ht="47.25" x14ac:dyDescent="0.2">
      <c r="A138" s="40"/>
      <c r="B138" s="41" t="s">
        <v>196</v>
      </c>
      <c r="C138" s="42" t="s">
        <v>51</v>
      </c>
      <c r="D138" s="43" t="s">
        <v>193</v>
      </c>
      <c r="E138" s="43" t="s">
        <v>197</v>
      </c>
      <c r="F138" s="44" t="s">
        <v>11</v>
      </c>
      <c r="G138" s="45">
        <f>G139+G141</f>
        <v>5186.5</v>
      </c>
      <c r="H138" s="45">
        <f>H139</f>
        <v>174.8</v>
      </c>
      <c r="I138" s="45">
        <f>I139+I141</f>
        <v>5361.3</v>
      </c>
      <c r="J138" s="46">
        <f>J139+J141</f>
        <v>0</v>
      </c>
      <c r="K138" s="45">
        <f>K139</f>
        <v>0</v>
      </c>
      <c r="L138" s="46">
        <f>L139+L141</f>
        <v>0</v>
      </c>
      <c r="M138" s="45">
        <f>M139+M141</f>
        <v>5186.5</v>
      </c>
      <c r="N138" s="45">
        <f>N139+N141</f>
        <v>174.8</v>
      </c>
      <c r="O138" s="45">
        <f>O139+O141</f>
        <v>5361.3</v>
      </c>
      <c r="P138" s="16"/>
    </row>
    <row r="139" spans="1:16" ht="31.5" x14ac:dyDescent="0.2">
      <c r="A139" s="40"/>
      <c r="B139" s="41" t="s">
        <v>198</v>
      </c>
      <c r="C139" s="42" t="s">
        <v>51</v>
      </c>
      <c r="D139" s="43" t="s">
        <v>193</v>
      </c>
      <c r="E139" s="43" t="s">
        <v>199</v>
      </c>
      <c r="F139" s="44" t="s">
        <v>11</v>
      </c>
      <c r="G139" s="45">
        <f>G140</f>
        <v>321.70000000000005</v>
      </c>
      <c r="H139" s="48">
        <f>SUM(H140)</f>
        <v>174.8</v>
      </c>
      <c r="I139" s="45">
        <f>I140</f>
        <v>496.50000000000006</v>
      </c>
      <c r="J139" s="46">
        <f>J140</f>
        <v>0</v>
      </c>
      <c r="K139" s="48"/>
      <c r="L139" s="46">
        <f>L140</f>
        <v>0</v>
      </c>
      <c r="M139" s="45">
        <f>M140</f>
        <v>321.70000000000005</v>
      </c>
      <c r="N139" s="45">
        <f>N140</f>
        <v>174.8</v>
      </c>
      <c r="O139" s="45">
        <f>O140</f>
        <v>496.50000000000006</v>
      </c>
    </row>
    <row r="140" spans="1:16" ht="31.5" x14ac:dyDescent="0.2">
      <c r="A140" s="40"/>
      <c r="B140" s="41" t="s">
        <v>40</v>
      </c>
      <c r="C140" s="42" t="s">
        <v>51</v>
      </c>
      <c r="D140" s="43" t="s">
        <v>193</v>
      </c>
      <c r="E140" s="43" t="s">
        <v>199</v>
      </c>
      <c r="F140" s="44" t="s">
        <v>41</v>
      </c>
      <c r="G140" s="48">
        <f>1021.7-700</f>
        <v>321.70000000000005</v>
      </c>
      <c r="H140" s="45">
        <v>174.8</v>
      </c>
      <c r="I140" s="48">
        <f>1021.7-700+H140</f>
        <v>496.50000000000006</v>
      </c>
      <c r="J140" s="47">
        <v>0</v>
      </c>
      <c r="K140" s="45"/>
      <c r="L140" s="47">
        <v>0</v>
      </c>
      <c r="M140" s="48">
        <f>1021.7-700</f>
        <v>321.70000000000005</v>
      </c>
      <c r="N140" s="48">
        <f>SUM(H140)</f>
        <v>174.8</v>
      </c>
      <c r="O140" s="48">
        <f>1021.7-700+N140</f>
        <v>496.50000000000006</v>
      </c>
    </row>
    <row r="141" spans="1:16" ht="63" x14ac:dyDescent="0.2">
      <c r="A141" s="40"/>
      <c r="B141" s="41" t="s">
        <v>200</v>
      </c>
      <c r="C141" s="42" t="s">
        <v>51</v>
      </c>
      <c r="D141" s="43" t="s">
        <v>193</v>
      </c>
      <c r="E141" s="43" t="s">
        <v>201</v>
      </c>
      <c r="F141" s="44" t="s">
        <v>11</v>
      </c>
      <c r="G141" s="45">
        <f>G142</f>
        <v>4864.8</v>
      </c>
      <c r="H141" s="45"/>
      <c r="I141" s="45">
        <f>I142</f>
        <v>4864.8</v>
      </c>
      <c r="J141" s="46">
        <f>J142</f>
        <v>0</v>
      </c>
      <c r="K141" s="45"/>
      <c r="L141" s="46">
        <f>L142</f>
        <v>0</v>
      </c>
      <c r="M141" s="45">
        <f>M142</f>
        <v>4864.8</v>
      </c>
      <c r="N141" s="45">
        <f>N142</f>
        <v>0</v>
      </c>
      <c r="O141" s="45">
        <f>O142</f>
        <v>4864.8</v>
      </c>
    </row>
    <row r="142" spans="1:16" ht="15.75" x14ac:dyDescent="0.2">
      <c r="A142" s="40"/>
      <c r="B142" s="41" t="s">
        <v>47</v>
      </c>
      <c r="C142" s="42" t="s">
        <v>51</v>
      </c>
      <c r="D142" s="43" t="s">
        <v>193</v>
      </c>
      <c r="E142" s="43" t="s">
        <v>201</v>
      </c>
      <c r="F142" s="44" t="s">
        <v>48</v>
      </c>
      <c r="G142" s="45">
        <v>4864.8</v>
      </c>
      <c r="H142" s="45"/>
      <c r="I142" s="45">
        <v>4864.8</v>
      </c>
      <c r="J142" s="47">
        <v>0</v>
      </c>
      <c r="K142" s="45"/>
      <c r="L142" s="47">
        <v>0</v>
      </c>
      <c r="M142" s="45">
        <v>4864.8</v>
      </c>
      <c r="N142" s="45"/>
      <c r="O142" s="45">
        <v>4864.8</v>
      </c>
    </row>
    <row r="143" spans="1:16" ht="15.75" x14ac:dyDescent="0.2">
      <c r="A143" s="40"/>
      <c r="B143" s="41" t="s">
        <v>202</v>
      </c>
      <c r="C143" s="42" t="s">
        <v>51</v>
      </c>
      <c r="D143" s="43" t="s">
        <v>193</v>
      </c>
      <c r="E143" s="43" t="s">
        <v>203</v>
      </c>
      <c r="F143" s="44" t="s">
        <v>11</v>
      </c>
      <c r="G143" s="45">
        <f t="shared" ref="G143:O145" si="19">G144</f>
        <v>20</v>
      </c>
      <c r="H143" s="45">
        <f t="shared" si="19"/>
        <v>0</v>
      </c>
      <c r="I143" s="45">
        <f t="shared" si="19"/>
        <v>20</v>
      </c>
      <c r="J143" s="46">
        <f t="shared" si="19"/>
        <v>0</v>
      </c>
      <c r="K143" s="45">
        <f>K144</f>
        <v>0</v>
      </c>
      <c r="L143" s="46">
        <f t="shared" si="19"/>
        <v>0</v>
      </c>
      <c r="M143" s="45">
        <f t="shared" si="19"/>
        <v>20</v>
      </c>
      <c r="N143" s="45">
        <f t="shared" si="19"/>
        <v>0</v>
      </c>
      <c r="O143" s="45">
        <f t="shared" si="19"/>
        <v>20</v>
      </c>
    </row>
    <row r="144" spans="1:16" ht="34.9" customHeight="1" x14ac:dyDescent="0.2">
      <c r="A144" s="40"/>
      <c r="B144" s="41" t="s">
        <v>204</v>
      </c>
      <c r="C144" s="42" t="s">
        <v>51</v>
      </c>
      <c r="D144" s="43" t="s">
        <v>193</v>
      </c>
      <c r="E144" s="43" t="s">
        <v>205</v>
      </c>
      <c r="F144" s="44" t="s">
        <v>11</v>
      </c>
      <c r="G144" s="45">
        <f t="shared" si="19"/>
        <v>20</v>
      </c>
      <c r="H144" s="45">
        <f t="shared" si="19"/>
        <v>0</v>
      </c>
      <c r="I144" s="45">
        <f t="shared" si="19"/>
        <v>20</v>
      </c>
      <c r="J144" s="46">
        <f t="shared" si="19"/>
        <v>0</v>
      </c>
      <c r="K144" s="45">
        <f>K145</f>
        <v>0</v>
      </c>
      <c r="L144" s="46">
        <f t="shared" si="19"/>
        <v>0</v>
      </c>
      <c r="M144" s="45">
        <f t="shared" si="19"/>
        <v>20</v>
      </c>
      <c r="N144" s="45">
        <f t="shared" si="19"/>
        <v>0</v>
      </c>
      <c r="O144" s="45">
        <f t="shared" si="19"/>
        <v>20</v>
      </c>
    </row>
    <row r="145" spans="1:16" ht="15.75" x14ac:dyDescent="0.2">
      <c r="A145" s="40"/>
      <c r="B145" s="41" t="s">
        <v>206</v>
      </c>
      <c r="C145" s="42" t="s">
        <v>51</v>
      </c>
      <c r="D145" s="43" t="s">
        <v>193</v>
      </c>
      <c r="E145" s="43" t="s">
        <v>207</v>
      </c>
      <c r="F145" s="44" t="s">
        <v>11</v>
      </c>
      <c r="G145" s="45">
        <f>G146</f>
        <v>20</v>
      </c>
      <c r="H145" s="45"/>
      <c r="I145" s="45">
        <f>I146</f>
        <v>20</v>
      </c>
      <c r="J145" s="46">
        <f t="shared" si="19"/>
        <v>0</v>
      </c>
      <c r="K145" s="45"/>
      <c r="L145" s="46">
        <f t="shared" si="19"/>
        <v>0</v>
      </c>
      <c r="M145" s="45">
        <f t="shared" si="19"/>
        <v>20</v>
      </c>
      <c r="N145" s="45">
        <f t="shared" si="19"/>
        <v>0</v>
      </c>
      <c r="O145" s="45">
        <f t="shared" si="19"/>
        <v>20</v>
      </c>
    </row>
    <row r="146" spans="1:16" ht="31.5" x14ac:dyDescent="0.2">
      <c r="A146" s="40"/>
      <c r="B146" s="41" t="s">
        <v>40</v>
      </c>
      <c r="C146" s="42" t="s">
        <v>51</v>
      </c>
      <c r="D146" s="43" t="s">
        <v>193</v>
      </c>
      <c r="E146" s="43" t="s">
        <v>207</v>
      </c>
      <c r="F146" s="44" t="s">
        <v>41</v>
      </c>
      <c r="G146" s="45">
        <v>20</v>
      </c>
      <c r="H146" s="45"/>
      <c r="I146" s="45">
        <v>20</v>
      </c>
      <c r="J146" s="47">
        <v>0</v>
      </c>
      <c r="K146" s="45"/>
      <c r="L146" s="47">
        <v>0</v>
      </c>
      <c r="M146" s="45">
        <v>20</v>
      </c>
      <c r="N146" s="45"/>
      <c r="O146" s="45">
        <v>20</v>
      </c>
    </row>
    <row r="147" spans="1:16" ht="31.5" x14ac:dyDescent="0.2">
      <c r="A147" s="40"/>
      <c r="B147" s="41" t="s">
        <v>185</v>
      </c>
      <c r="C147" s="42" t="s">
        <v>51</v>
      </c>
      <c r="D147" s="43" t="s">
        <v>193</v>
      </c>
      <c r="E147" s="43" t="s">
        <v>186</v>
      </c>
      <c r="F147" s="44" t="s">
        <v>11</v>
      </c>
      <c r="G147" s="45">
        <f t="shared" ref="G147:O149" si="20">G148</f>
        <v>95</v>
      </c>
      <c r="H147" s="45">
        <f t="shared" si="20"/>
        <v>0</v>
      </c>
      <c r="I147" s="45">
        <f t="shared" si="20"/>
        <v>95</v>
      </c>
      <c r="J147" s="46">
        <f t="shared" si="20"/>
        <v>0</v>
      </c>
      <c r="K147" s="45">
        <f>K148</f>
        <v>0</v>
      </c>
      <c r="L147" s="46">
        <f t="shared" si="20"/>
        <v>0</v>
      </c>
      <c r="M147" s="45">
        <f t="shared" si="20"/>
        <v>95</v>
      </c>
      <c r="N147" s="45">
        <f t="shared" si="20"/>
        <v>0</v>
      </c>
      <c r="O147" s="45">
        <f t="shared" si="20"/>
        <v>95</v>
      </c>
    </row>
    <row r="148" spans="1:16" ht="52.15" customHeight="1" x14ac:dyDescent="0.2">
      <c r="A148" s="40"/>
      <c r="B148" s="41" t="s">
        <v>208</v>
      </c>
      <c r="C148" s="42" t="s">
        <v>51</v>
      </c>
      <c r="D148" s="43" t="s">
        <v>193</v>
      </c>
      <c r="E148" s="43" t="s">
        <v>209</v>
      </c>
      <c r="F148" s="44" t="s">
        <v>11</v>
      </c>
      <c r="G148" s="45">
        <f t="shared" si="20"/>
        <v>95</v>
      </c>
      <c r="H148" s="45">
        <f t="shared" si="20"/>
        <v>0</v>
      </c>
      <c r="I148" s="45">
        <f t="shared" si="20"/>
        <v>95</v>
      </c>
      <c r="J148" s="46">
        <f t="shared" si="20"/>
        <v>0</v>
      </c>
      <c r="K148" s="45">
        <f>K149</f>
        <v>0</v>
      </c>
      <c r="L148" s="46">
        <f t="shared" si="20"/>
        <v>0</v>
      </c>
      <c r="M148" s="45">
        <f t="shared" si="20"/>
        <v>95</v>
      </c>
      <c r="N148" s="45">
        <f t="shared" si="20"/>
        <v>0</v>
      </c>
      <c r="O148" s="45">
        <f t="shared" si="20"/>
        <v>95</v>
      </c>
    </row>
    <row r="149" spans="1:16" ht="20.45" customHeight="1" x14ac:dyDescent="0.2">
      <c r="A149" s="40"/>
      <c r="B149" s="41" t="s">
        <v>210</v>
      </c>
      <c r="C149" s="42" t="s">
        <v>51</v>
      </c>
      <c r="D149" s="43" t="s">
        <v>193</v>
      </c>
      <c r="E149" s="43" t="s">
        <v>211</v>
      </c>
      <c r="F149" s="44" t="s">
        <v>11</v>
      </c>
      <c r="G149" s="45">
        <f>G150</f>
        <v>95</v>
      </c>
      <c r="H149" s="45"/>
      <c r="I149" s="45">
        <f>I150</f>
        <v>95</v>
      </c>
      <c r="J149" s="46">
        <f t="shared" si="20"/>
        <v>0</v>
      </c>
      <c r="K149" s="45"/>
      <c r="L149" s="46">
        <f t="shared" si="20"/>
        <v>0</v>
      </c>
      <c r="M149" s="45">
        <f t="shared" si="20"/>
        <v>95</v>
      </c>
      <c r="N149" s="45">
        <f t="shared" si="20"/>
        <v>0</v>
      </c>
      <c r="O149" s="45">
        <f t="shared" si="20"/>
        <v>95</v>
      </c>
    </row>
    <row r="150" spans="1:16" ht="31.5" x14ac:dyDescent="0.2">
      <c r="A150" s="40"/>
      <c r="B150" s="41" t="s">
        <v>40</v>
      </c>
      <c r="C150" s="42" t="s">
        <v>51</v>
      </c>
      <c r="D150" s="43" t="s">
        <v>193</v>
      </c>
      <c r="E150" s="43" t="s">
        <v>211</v>
      </c>
      <c r="F150" s="44" t="s">
        <v>41</v>
      </c>
      <c r="G150" s="45">
        <v>95</v>
      </c>
      <c r="H150" s="25"/>
      <c r="I150" s="45">
        <v>95</v>
      </c>
      <c r="J150" s="47">
        <v>0</v>
      </c>
      <c r="K150" s="25"/>
      <c r="L150" s="47">
        <v>0</v>
      </c>
      <c r="M150" s="45">
        <v>95</v>
      </c>
      <c r="N150" s="45"/>
      <c r="O150" s="45">
        <v>95</v>
      </c>
    </row>
    <row r="151" spans="1:16" ht="15.75" x14ac:dyDescent="0.2">
      <c r="A151" s="20" t="s">
        <v>212</v>
      </c>
      <c r="B151" s="21" t="s">
        <v>213</v>
      </c>
      <c r="C151" s="22" t="s">
        <v>51</v>
      </c>
      <c r="D151" s="23" t="s">
        <v>214</v>
      </c>
      <c r="E151" s="23" t="s">
        <v>11</v>
      </c>
      <c r="F151" s="24" t="s">
        <v>11</v>
      </c>
      <c r="G151" s="25">
        <f>G152+G158+G179+G185</f>
        <v>46362.399999999994</v>
      </c>
      <c r="H151" s="38">
        <f>H152+H158+H185</f>
        <v>16309.6</v>
      </c>
      <c r="I151" s="25">
        <f>I152+I158+I179+I185</f>
        <v>62672</v>
      </c>
      <c r="J151" s="26">
        <f>J152+J158+J179+J185</f>
        <v>17233.5</v>
      </c>
      <c r="K151" s="38">
        <f>K152+K158</f>
        <v>43692.5</v>
      </c>
      <c r="L151" s="26">
        <f>L152+L158+L179+L185</f>
        <v>60926</v>
      </c>
      <c r="M151" s="25">
        <f>M152+M158+M179+M185</f>
        <v>63595.899999999994</v>
      </c>
      <c r="N151" s="25">
        <f>N152+N158+N179+N185</f>
        <v>60002.1</v>
      </c>
      <c r="O151" s="25">
        <f>O152+O158+O179+O185</f>
        <v>123598</v>
      </c>
      <c r="P151" s="17"/>
    </row>
    <row r="152" spans="1:16" ht="15.75" x14ac:dyDescent="0.2">
      <c r="A152" s="33" t="s">
        <v>215</v>
      </c>
      <c r="B152" s="34" t="s">
        <v>216</v>
      </c>
      <c r="C152" s="35" t="s">
        <v>51</v>
      </c>
      <c r="D152" s="36" t="s">
        <v>217</v>
      </c>
      <c r="E152" s="36" t="s">
        <v>11</v>
      </c>
      <c r="F152" s="37" t="s">
        <v>11</v>
      </c>
      <c r="G152" s="38">
        <f t="shared" ref="G152:I155" si="21">G153</f>
        <v>487.6</v>
      </c>
      <c r="H152" s="45">
        <f t="shared" si="21"/>
        <v>0</v>
      </c>
      <c r="I152" s="38">
        <f t="shared" si="21"/>
        <v>487.6</v>
      </c>
      <c r="J152" s="39">
        <f t="shared" ref="J152:O156" si="22">J153</f>
        <v>9262.4</v>
      </c>
      <c r="K152" s="45">
        <f>K153</f>
        <v>0</v>
      </c>
      <c r="L152" s="39">
        <f t="shared" si="22"/>
        <v>9262.4</v>
      </c>
      <c r="M152" s="38">
        <f t="shared" si="22"/>
        <v>9750</v>
      </c>
      <c r="N152" s="38">
        <f t="shared" si="22"/>
        <v>0</v>
      </c>
      <c r="O152" s="38">
        <f t="shared" si="22"/>
        <v>9750</v>
      </c>
    </row>
    <row r="153" spans="1:16" ht="31.5" x14ac:dyDescent="0.2">
      <c r="A153" s="40"/>
      <c r="B153" s="41" t="s">
        <v>218</v>
      </c>
      <c r="C153" s="42" t="s">
        <v>51</v>
      </c>
      <c r="D153" s="43" t="s">
        <v>217</v>
      </c>
      <c r="E153" s="43" t="s">
        <v>219</v>
      </c>
      <c r="F153" s="44" t="s">
        <v>11</v>
      </c>
      <c r="G153" s="45">
        <f t="shared" si="21"/>
        <v>487.6</v>
      </c>
      <c r="H153" s="45">
        <f t="shared" si="21"/>
        <v>0</v>
      </c>
      <c r="I153" s="45">
        <f t="shared" si="21"/>
        <v>487.6</v>
      </c>
      <c r="J153" s="46">
        <f t="shared" si="22"/>
        <v>9262.4</v>
      </c>
      <c r="K153" s="45">
        <f>K154</f>
        <v>0</v>
      </c>
      <c r="L153" s="46">
        <f t="shared" si="22"/>
        <v>9262.4</v>
      </c>
      <c r="M153" s="45">
        <f t="shared" si="22"/>
        <v>9750</v>
      </c>
      <c r="N153" s="45">
        <f t="shared" si="22"/>
        <v>0</v>
      </c>
      <c r="O153" s="45">
        <f t="shared" si="22"/>
        <v>9750</v>
      </c>
    </row>
    <row r="154" spans="1:16" ht="31.5" x14ac:dyDescent="0.2">
      <c r="A154" s="40"/>
      <c r="B154" s="41" t="s">
        <v>185</v>
      </c>
      <c r="C154" s="42" t="s">
        <v>51</v>
      </c>
      <c r="D154" s="43" t="s">
        <v>217</v>
      </c>
      <c r="E154" s="43" t="s">
        <v>220</v>
      </c>
      <c r="F154" s="44" t="s">
        <v>11</v>
      </c>
      <c r="G154" s="45">
        <f t="shared" si="21"/>
        <v>487.6</v>
      </c>
      <c r="H154" s="45">
        <f t="shared" si="21"/>
        <v>0</v>
      </c>
      <c r="I154" s="45">
        <f t="shared" si="21"/>
        <v>487.6</v>
      </c>
      <c r="J154" s="46">
        <f t="shared" si="22"/>
        <v>9262.4</v>
      </c>
      <c r="K154" s="45">
        <f>K155</f>
        <v>0</v>
      </c>
      <c r="L154" s="46">
        <f t="shared" si="22"/>
        <v>9262.4</v>
      </c>
      <c r="M154" s="45">
        <f t="shared" si="22"/>
        <v>9750</v>
      </c>
      <c r="N154" s="45">
        <f t="shared" si="22"/>
        <v>0</v>
      </c>
      <c r="O154" s="45">
        <f t="shared" si="22"/>
        <v>9750</v>
      </c>
    </row>
    <row r="155" spans="1:16" ht="31.5" x14ac:dyDescent="0.2">
      <c r="A155" s="40"/>
      <c r="B155" s="41" t="s">
        <v>221</v>
      </c>
      <c r="C155" s="42" t="s">
        <v>51</v>
      </c>
      <c r="D155" s="43" t="s">
        <v>217</v>
      </c>
      <c r="E155" s="43" t="s">
        <v>222</v>
      </c>
      <c r="F155" s="44" t="s">
        <v>11</v>
      </c>
      <c r="G155" s="45">
        <f t="shared" si="21"/>
        <v>487.6</v>
      </c>
      <c r="H155" s="45">
        <f t="shared" si="21"/>
        <v>0</v>
      </c>
      <c r="I155" s="45">
        <f t="shared" si="21"/>
        <v>487.6</v>
      </c>
      <c r="J155" s="46">
        <f t="shared" si="22"/>
        <v>9262.4</v>
      </c>
      <c r="K155" s="45">
        <f>K156</f>
        <v>0</v>
      </c>
      <c r="L155" s="46">
        <f t="shared" si="22"/>
        <v>9262.4</v>
      </c>
      <c r="M155" s="45">
        <f t="shared" si="22"/>
        <v>9750</v>
      </c>
      <c r="N155" s="45">
        <f t="shared" si="22"/>
        <v>0</v>
      </c>
      <c r="O155" s="45">
        <f t="shared" si="22"/>
        <v>9750</v>
      </c>
    </row>
    <row r="156" spans="1:16" ht="94.5" x14ac:dyDescent="0.2">
      <c r="A156" s="40"/>
      <c r="B156" s="41" t="s">
        <v>223</v>
      </c>
      <c r="C156" s="42" t="s">
        <v>51</v>
      </c>
      <c r="D156" s="43" t="s">
        <v>217</v>
      </c>
      <c r="E156" s="43" t="s">
        <v>224</v>
      </c>
      <c r="F156" s="44" t="s">
        <v>11</v>
      </c>
      <c r="G156" s="45">
        <f>G157</f>
        <v>487.6</v>
      </c>
      <c r="H156" s="45">
        <f>H157</f>
        <v>0</v>
      </c>
      <c r="I156" s="45">
        <f>I157</f>
        <v>487.6</v>
      </c>
      <c r="J156" s="46">
        <f t="shared" si="22"/>
        <v>9262.4</v>
      </c>
      <c r="K156" s="45"/>
      <c r="L156" s="46">
        <f t="shared" si="22"/>
        <v>9262.4</v>
      </c>
      <c r="M156" s="45">
        <f t="shared" si="22"/>
        <v>9750</v>
      </c>
      <c r="N156" s="45">
        <f t="shared" si="22"/>
        <v>0</v>
      </c>
      <c r="O156" s="45">
        <f t="shared" si="22"/>
        <v>9750</v>
      </c>
    </row>
    <row r="157" spans="1:16" ht="31.5" x14ac:dyDescent="0.2">
      <c r="A157" s="40"/>
      <c r="B157" s="41" t="s">
        <v>225</v>
      </c>
      <c r="C157" s="42" t="s">
        <v>51</v>
      </c>
      <c r="D157" s="43" t="s">
        <v>217</v>
      </c>
      <c r="E157" s="43" t="s">
        <v>224</v>
      </c>
      <c r="F157" s="44" t="s">
        <v>226</v>
      </c>
      <c r="G157" s="45">
        <v>487.6</v>
      </c>
      <c r="H157" s="38"/>
      <c r="I157" s="45">
        <v>487.6</v>
      </c>
      <c r="J157" s="47">
        <v>9262.4</v>
      </c>
      <c r="K157" s="38"/>
      <c r="L157" s="47">
        <v>9262.4</v>
      </c>
      <c r="M157" s="45">
        <f>487.6+J157</f>
        <v>9750</v>
      </c>
      <c r="N157" s="45"/>
      <c r="O157" s="45">
        <f>487.6+L157</f>
        <v>9750</v>
      </c>
    </row>
    <row r="158" spans="1:16" ht="15.75" x14ac:dyDescent="0.2">
      <c r="A158" s="33" t="s">
        <v>227</v>
      </c>
      <c r="B158" s="34" t="s">
        <v>228</v>
      </c>
      <c r="C158" s="35" t="s">
        <v>51</v>
      </c>
      <c r="D158" s="36" t="s">
        <v>229</v>
      </c>
      <c r="E158" s="36" t="s">
        <v>11</v>
      </c>
      <c r="F158" s="37" t="s">
        <v>11</v>
      </c>
      <c r="G158" s="38">
        <f>G159+G172</f>
        <v>24878.2</v>
      </c>
      <c r="H158" s="45">
        <f>H159+H172</f>
        <v>13760.7</v>
      </c>
      <c r="I158" s="38">
        <f>I159+I172</f>
        <v>38638.9</v>
      </c>
      <c r="J158" s="39">
        <f>J159+J172</f>
        <v>0</v>
      </c>
      <c r="K158" s="45">
        <f>K159</f>
        <v>43692.5</v>
      </c>
      <c r="L158" s="39">
        <f>L159+L172</f>
        <v>43692.5</v>
      </c>
      <c r="M158" s="38">
        <f>M159+M172</f>
        <v>24878.2</v>
      </c>
      <c r="N158" s="38">
        <f>N159+N172</f>
        <v>57453.2</v>
      </c>
      <c r="O158" s="38">
        <f>O159+O172</f>
        <v>82331.399999999994</v>
      </c>
      <c r="P158" s="15"/>
    </row>
    <row r="159" spans="1:16" ht="47.25" x14ac:dyDescent="0.2">
      <c r="A159" s="40"/>
      <c r="B159" s="41" t="s">
        <v>230</v>
      </c>
      <c r="C159" s="42" t="s">
        <v>51</v>
      </c>
      <c r="D159" s="43" t="s">
        <v>229</v>
      </c>
      <c r="E159" s="43" t="s">
        <v>231</v>
      </c>
      <c r="F159" s="44" t="s">
        <v>11</v>
      </c>
      <c r="G159" s="45">
        <f>G160</f>
        <v>13010</v>
      </c>
      <c r="H159" s="45">
        <f>H160+H168</f>
        <v>13201.7</v>
      </c>
      <c r="I159" s="45">
        <f>I160</f>
        <v>26211.7</v>
      </c>
      <c r="J159" s="46">
        <f>J160</f>
        <v>0</v>
      </c>
      <c r="K159" s="45">
        <f>K160+K168</f>
        <v>43692.5</v>
      </c>
      <c r="L159" s="46">
        <f>L160</f>
        <v>43692.5</v>
      </c>
      <c r="M159" s="45">
        <f>M160</f>
        <v>13010</v>
      </c>
      <c r="N159" s="45">
        <f>N160</f>
        <v>56894.2</v>
      </c>
      <c r="O159" s="45">
        <f>O160</f>
        <v>69904.2</v>
      </c>
    </row>
    <row r="160" spans="1:16" ht="47.25" x14ac:dyDescent="0.2">
      <c r="A160" s="40"/>
      <c r="B160" s="41" t="s">
        <v>232</v>
      </c>
      <c r="C160" s="42" t="s">
        <v>51</v>
      </c>
      <c r="D160" s="43" t="s">
        <v>229</v>
      </c>
      <c r="E160" s="43" t="s">
        <v>233</v>
      </c>
      <c r="F160" s="44" t="s">
        <v>11</v>
      </c>
      <c r="G160" s="45">
        <f>G161+G169</f>
        <v>13010</v>
      </c>
      <c r="H160" s="45">
        <f>H161+H169</f>
        <v>13201.7</v>
      </c>
      <c r="I160" s="45">
        <f>I161+I169</f>
        <v>26211.7</v>
      </c>
      <c r="J160" s="46">
        <f>J161+J169</f>
        <v>0</v>
      </c>
      <c r="K160" s="45">
        <f>K161</f>
        <v>43692.5</v>
      </c>
      <c r="L160" s="46">
        <f>L161+L169</f>
        <v>43692.5</v>
      </c>
      <c r="M160" s="45">
        <f>M161+M169</f>
        <v>13010</v>
      </c>
      <c r="N160" s="45">
        <f>N161+N169</f>
        <v>56894.2</v>
      </c>
      <c r="O160" s="45">
        <f>O161+O169</f>
        <v>69904.2</v>
      </c>
    </row>
    <row r="161" spans="1:15" ht="31.5" x14ac:dyDescent="0.2">
      <c r="A161" s="40"/>
      <c r="B161" s="41" t="s">
        <v>234</v>
      </c>
      <c r="C161" s="42" t="s">
        <v>51</v>
      </c>
      <c r="D161" s="43" t="s">
        <v>229</v>
      </c>
      <c r="E161" s="43" t="s">
        <v>235</v>
      </c>
      <c r="F161" s="44" t="s">
        <v>11</v>
      </c>
      <c r="G161" s="45">
        <f>G162+G167+G165</f>
        <v>6899.9999999999991</v>
      </c>
      <c r="H161" s="45">
        <f t="shared" ref="H161:O161" si="23">H162+H167+H165</f>
        <v>13201.7</v>
      </c>
      <c r="I161" s="45">
        <f t="shared" si="23"/>
        <v>20101.7</v>
      </c>
      <c r="J161" s="45">
        <f t="shared" si="23"/>
        <v>0</v>
      </c>
      <c r="K161" s="45">
        <f t="shared" si="23"/>
        <v>43692.5</v>
      </c>
      <c r="L161" s="45">
        <f t="shared" si="23"/>
        <v>43692.5</v>
      </c>
      <c r="M161" s="45">
        <f t="shared" si="23"/>
        <v>6899.9999999999991</v>
      </c>
      <c r="N161" s="45">
        <f t="shared" si="23"/>
        <v>56894.2</v>
      </c>
      <c r="O161" s="45">
        <f t="shared" si="23"/>
        <v>63794.2</v>
      </c>
    </row>
    <row r="162" spans="1:15" ht="63" x14ac:dyDescent="0.2">
      <c r="A162" s="40"/>
      <c r="B162" s="41" t="s">
        <v>236</v>
      </c>
      <c r="C162" s="42" t="s">
        <v>51</v>
      </c>
      <c r="D162" s="43" t="s">
        <v>229</v>
      </c>
      <c r="E162" s="43" t="s">
        <v>237</v>
      </c>
      <c r="F162" s="44" t="s">
        <v>11</v>
      </c>
      <c r="G162" s="45">
        <f>G163+G164</f>
        <v>6599.9999999999991</v>
      </c>
      <c r="H162" s="45">
        <f>H163+H164</f>
        <v>13201.7</v>
      </c>
      <c r="I162" s="45">
        <f t="shared" ref="I162:O162" si="24">I163+I164</f>
        <v>19801.7</v>
      </c>
      <c r="J162" s="46">
        <f t="shared" si="24"/>
        <v>0</v>
      </c>
      <c r="K162" s="46">
        <f t="shared" si="24"/>
        <v>17036</v>
      </c>
      <c r="L162" s="46">
        <f t="shared" si="24"/>
        <v>17036</v>
      </c>
      <c r="M162" s="45">
        <f t="shared" si="24"/>
        <v>6599.9999999999991</v>
      </c>
      <c r="N162" s="45">
        <f t="shared" si="24"/>
        <v>30237.7</v>
      </c>
      <c r="O162" s="45">
        <f t="shared" si="24"/>
        <v>36837.699999999997</v>
      </c>
    </row>
    <row r="163" spans="1:15" ht="31.5" x14ac:dyDescent="0.2">
      <c r="A163" s="40"/>
      <c r="B163" s="41" t="s">
        <v>40</v>
      </c>
      <c r="C163" s="42" t="s">
        <v>51</v>
      </c>
      <c r="D163" s="43" t="s">
        <v>229</v>
      </c>
      <c r="E163" s="43" t="s">
        <v>237</v>
      </c>
      <c r="F163" s="44" t="s">
        <v>41</v>
      </c>
      <c r="G163" s="48">
        <f>6600+2030.3-351.1-698.8-980.4-5000</f>
        <v>1599.9999999999991</v>
      </c>
      <c r="H163" s="48">
        <f>5000+378.3+7206.7+4375-5000-558.9+1171.2+200+600-770.6+5000</f>
        <v>17601.7</v>
      </c>
      <c r="I163" s="48">
        <f>6600+2030.3-351.1-698.8-980.4-5000+H163</f>
        <v>19201.7</v>
      </c>
      <c r="J163" s="47">
        <v>0</v>
      </c>
      <c r="K163" s="48">
        <f>26656.5-26656.5</f>
        <v>0</v>
      </c>
      <c r="L163" s="47">
        <f>SUM(K163)</f>
        <v>0</v>
      </c>
      <c r="M163" s="48">
        <f>6600+2030.3-351.1-698.8-980.4-5000</f>
        <v>1599.9999999999991</v>
      </c>
      <c r="N163" s="48">
        <f>SUM(K163)+H163</f>
        <v>17601.7</v>
      </c>
      <c r="O163" s="45">
        <f>SUM(I163+L163)</f>
        <v>19201.7</v>
      </c>
    </row>
    <row r="164" spans="1:15" ht="31.5" x14ac:dyDescent="0.2">
      <c r="A164" s="40"/>
      <c r="B164" s="41" t="s">
        <v>225</v>
      </c>
      <c r="C164" s="58">
        <v>992</v>
      </c>
      <c r="D164" s="57" t="s">
        <v>229</v>
      </c>
      <c r="E164" s="57" t="s">
        <v>237</v>
      </c>
      <c r="F164" s="59" t="s">
        <v>226</v>
      </c>
      <c r="G164" s="48">
        <v>5000</v>
      </c>
      <c r="H164" s="45">
        <f>600-5000</f>
        <v>-4400</v>
      </c>
      <c r="I164" s="48">
        <f>5000+H164</f>
        <v>600</v>
      </c>
      <c r="J164" s="47">
        <v>0</v>
      </c>
      <c r="K164" s="45">
        <v>17036</v>
      </c>
      <c r="L164" s="47">
        <f>SUM(K164)</f>
        <v>17036</v>
      </c>
      <c r="M164" s="48">
        <v>5000</v>
      </c>
      <c r="N164" s="48">
        <f>SUM(K164)+H164</f>
        <v>12636</v>
      </c>
      <c r="O164" s="45">
        <f>SUM(I164+L164)</f>
        <v>17636</v>
      </c>
    </row>
    <row r="165" spans="1:15" ht="110.25" x14ac:dyDescent="0.2">
      <c r="A165" s="40"/>
      <c r="B165" s="56" t="s">
        <v>238</v>
      </c>
      <c r="C165" s="58">
        <v>992</v>
      </c>
      <c r="D165" s="57" t="s">
        <v>229</v>
      </c>
      <c r="E165" s="57" t="s">
        <v>239</v>
      </c>
      <c r="F165" s="59"/>
      <c r="G165" s="48">
        <f t="shared" ref="G165:O165" si="25">G166</f>
        <v>0</v>
      </c>
      <c r="H165" s="45">
        <f t="shared" si="25"/>
        <v>0</v>
      </c>
      <c r="I165" s="48">
        <f t="shared" si="25"/>
        <v>0</v>
      </c>
      <c r="J165" s="47">
        <f t="shared" si="25"/>
        <v>0</v>
      </c>
      <c r="K165" s="45">
        <f t="shared" si="25"/>
        <v>26656.5</v>
      </c>
      <c r="L165" s="47">
        <f t="shared" si="25"/>
        <v>26656.5</v>
      </c>
      <c r="M165" s="48">
        <f t="shared" si="25"/>
        <v>0</v>
      </c>
      <c r="N165" s="48">
        <f t="shared" si="25"/>
        <v>26656.5</v>
      </c>
      <c r="O165" s="45">
        <f t="shared" si="25"/>
        <v>26656.5</v>
      </c>
    </row>
    <row r="166" spans="1:15" ht="31.5" x14ac:dyDescent="0.2">
      <c r="A166" s="40"/>
      <c r="B166" s="56" t="s">
        <v>40</v>
      </c>
      <c r="C166" s="58">
        <v>992</v>
      </c>
      <c r="D166" s="57" t="s">
        <v>229</v>
      </c>
      <c r="E166" s="57" t="s">
        <v>239</v>
      </c>
      <c r="F166" s="59" t="s">
        <v>41</v>
      </c>
      <c r="G166" s="48"/>
      <c r="H166" s="45"/>
      <c r="I166" s="48">
        <f>SUM(G166:H166)</f>
        <v>0</v>
      </c>
      <c r="J166" s="47"/>
      <c r="K166" s="45">
        <v>26656.5</v>
      </c>
      <c r="L166" s="47">
        <f>SUM(J166:K166)</f>
        <v>26656.5</v>
      </c>
      <c r="M166" s="48">
        <f>G166+I166</f>
        <v>0</v>
      </c>
      <c r="N166" s="48">
        <f>H166+K166</f>
        <v>26656.5</v>
      </c>
      <c r="O166" s="45">
        <f>I166+L166</f>
        <v>26656.5</v>
      </c>
    </row>
    <row r="167" spans="1:15" ht="78.75" x14ac:dyDescent="0.2">
      <c r="A167" s="40"/>
      <c r="B167" s="41" t="s">
        <v>240</v>
      </c>
      <c r="C167" s="42" t="s">
        <v>51</v>
      </c>
      <c r="D167" s="43" t="s">
        <v>229</v>
      </c>
      <c r="E167" s="43" t="s">
        <v>241</v>
      </c>
      <c r="F167" s="44" t="s">
        <v>11</v>
      </c>
      <c r="G167" s="45">
        <f>G168</f>
        <v>300</v>
      </c>
      <c r="H167" s="45"/>
      <c r="I167" s="45">
        <f>I168</f>
        <v>300</v>
      </c>
      <c r="J167" s="46">
        <f>J168</f>
        <v>0</v>
      </c>
      <c r="K167" s="45"/>
      <c r="L167" s="46">
        <f>L168</f>
        <v>0</v>
      </c>
      <c r="M167" s="45">
        <f>M168</f>
        <v>300</v>
      </c>
      <c r="N167" s="45">
        <f>N168</f>
        <v>0</v>
      </c>
      <c r="O167" s="45">
        <f>O168</f>
        <v>300</v>
      </c>
    </row>
    <row r="168" spans="1:15" ht="31.5" x14ac:dyDescent="0.2">
      <c r="A168" s="40"/>
      <c r="B168" s="41" t="s">
        <v>40</v>
      </c>
      <c r="C168" s="42" t="s">
        <v>51</v>
      </c>
      <c r="D168" s="43" t="s">
        <v>229</v>
      </c>
      <c r="E168" s="43" t="s">
        <v>241</v>
      </c>
      <c r="F168" s="44" t="s">
        <v>41</v>
      </c>
      <c r="G168" s="45">
        <v>300</v>
      </c>
      <c r="H168" s="45">
        <f t="shared" ref="G168:O170" si="26">H169</f>
        <v>0</v>
      </c>
      <c r="I168" s="45">
        <v>300</v>
      </c>
      <c r="J168" s="47">
        <v>0</v>
      </c>
      <c r="K168" s="45">
        <f t="shared" si="26"/>
        <v>0</v>
      </c>
      <c r="L168" s="47">
        <v>0</v>
      </c>
      <c r="M168" s="45">
        <v>300</v>
      </c>
      <c r="N168" s="45"/>
      <c r="O168" s="45">
        <v>300</v>
      </c>
    </row>
    <row r="169" spans="1:15" ht="31.5" x14ac:dyDescent="0.2">
      <c r="A169" s="40"/>
      <c r="B169" s="41" t="s">
        <v>242</v>
      </c>
      <c r="C169" s="42" t="s">
        <v>51</v>
      </c>
      <c r="D169" s="43" t="s">
        <v>229</v>
      </c>
      <c r="E169" s="43" t="s">
        <v>243</v>
      </c>
      <c r="F169" s="44" t="s">
        <v>11</v>
      </c>
      <c r="G169" s="45">
        <f t="shared" si="26"/>
        <v>6110</v>
      </c>
      <c r="H169" s="45">
        <f t="shared" si="26"/>
        <v>0</v>
      </c>
      <c r="I169" s="45">
        <f t="shared" si="26"/>
        <v>6110</v>
      </c>
      <c r="J169" s="46">
        <f t="shared" si="26"/>
        <v>0</v>
      </c>
      <c r="K169" s="45">
        <f t="shared" si="26"/>
        <v>0</v>
      </c>
      <c r="L169" s="46">
        <f t="shared" si="26"/>
        <v>0</v>
      </c>
      <c r="M169" s="45">
        <f t="shared" si="26"/>
        <v>6110</v>
      </c>
      <c r="N169" s="45">
        <f t="shared" si="26"/>
        <v>0</v>
      </c>
      <c r="O169" s="45">
        <f t="shared" si="26"/>
        <v>6110</v>
      </c>
    </row>
    <row r="170" spans="1:15" ht="78.75" x14ac:dyDescent="0.2">
      <c r="A170" s="40"/>
      <c r="B170" s="41" t="s">
        <v>240</v>
      </c>
      <c r="C170" s="42" t="s">
        <v>51</v>
      </c>
      <c r="D170" s="43" t="s">
        <v>229</v>
      </c>
      <c r="E170" s="43" t="s">
        <v>244</v>
      </c>
      <c r="F170" s="44" t="s">
        <v>11</v>
      </c>
      <c r="G170" s="45">
        <f t="shared" si="26"/>
        <v>6110</v>
      </c>
      <c r="H170" s="48"/>
      <c r="I170" s="45">
        <f t="shared" si="26"/>
        <v>6110</v>
      </c>
      <c r="J170" s="46">
        <f t="shared" si="26"/>
        <v>0</v>
      </c>
      <c r="K170" s="48"/>
      <c r="L170" s="46">
        <f t="shared" si="26"/>
        <v>0</v>
      </c>
      <c r="M170" s="45">
        <f t="shared" si="26"/>
        <v>6110</v>
      </c>
      <c r="N170" s="45">
        <f t="shared" si="26"/>
        <v>0</v>
      </c>
      <c r="O170" s="45">
        <f t="shared" si="26"/>
        <v>6110</v>
      </c>
    </row>
    <row r="171" spans="1:15" ht="31.5" x14ac:dyDescent="0.2">
      <c r="A171" s="40"/>
      <c r="B171" s="41" t="s">
        <v>40</v>
      </c>
      <c r="C171" s="42" t="s">
        <v>51</v>
      </c>
      <c r="D171" s="43" t="s">
        <v>229</v>
      </c>
      <c r="E171" s="43" t="s">
        <v>244</v>
      </c>
      <c r="F171" s="44" t="s">
        <v>41</v>
      </c>
      <c r="G171" s="48">
        <f>4810+1300</f>
        <v>6110</v>
      </c>
      <c r="H171" s="45"/>
      <c r="I171" s="48">
        <f>4810+1300</f>
        <v>6110</v>
      </c>
      <c r="J171" s="47">
        <v>0</v>
      </c>
      <c r="K171" s="45"/>
      <c r="L171" s="47">
        <v>0</v>
      </c>
      <c r="M171" s="48">
        <f>4810+1300</f>
        <v>6110</v>
      </c>
      <c r="N171" s="48"/>
      <c r="O171" s="48">
        <f>4810+1300</f>
        <v>6110</v>
      </c>
    </row>
    <row r="172" spans="1:15" ht="31.5" x14ac:dyDescent="0.2">
      <c r="A172" s="40"/>
      <c r="B172" s="41" t="s">
        <v>245</v>
      </c>
      <c r="C172" s="42" t="s">
        <v>51</v>
      </c>
      <c r="D172" s="43" t="s">
        <v>229</v>
      </c>
      <c r="E172" s="43" t="s">
        <v>246</v>
      </c>
      <c r="F172" s="44" t="s">
        <v>11</v>
      </c>
      <c r="G172" s="45">
        <f t="shared" ref="G172:O175" si="27">G173</f>
        <v>11868.2</v>
      </c>
      <c r="H172" s="45">
        <f t="shared" si="27"/>
        <v>559</v>
      </c>
      <c r="I172" s="45">
        <f t="shared" si="27"/>
        <v>12427.2</v>
      </c>
      <c r="J172" s="46">
        <f t="shared" si="27"/>
        <v>0</v>
      </c>
      <c r="K172" s="45">
        <f>K173</f>
        <v>0</v>
      </c>
      <c r="L172" s="46">
        <f t="shared" si="27"/>
        <v>0</v>
      </c>
      <c r="M172" s="45">
        <f t="shared" si="27"/>
        <v>11868.2</v>
      </c>
      <c r="N172" s="45">
        <f t="shared" si="27"/>
        <v>559</v>
      </c>
      <c r="O172" s="45">
        <f t="shared" si="27"/>
        <v>12427.2</v>
      </c>
    </row>
    <row r="173" spans="1:15" ht="15.75" x14ac:dyDescent="0.2">
      <c r="A173" s="40"/>
      <c r="B173" s="41" t="s">
        <v>247</v>
      </c>
      <c r="C173" s="42" t="s">
        <v>51</v>
      </c>
      <c r="D173" s="43" t="s">
        <v>229</v>
      </c>
      <c r="E173" s="43" t="s">
        <v>248</v>
      </c>
      <c r="F173" s="44" t="s">
        <v>11</v>
      </c>
      <c r="G173" s="45">
        <f t="shared" si="27"/>
        <v>11868.2</v>
      </c>
      <c r="H173" s="45">
        <f t="shared" si="27"/>
        <v>559</v>
      </c>
      <c r="I173" s="45">
        <f t="shared" si="27"/>
        <v>12427.2</v>
      </c>
      <c r="J173" s="46">
        <f t="shared" si="27"/>
        <v>0</v>
      </c>
      <c r="K173" s="45">
        <f>K174</f>
        <v>0</v>
      </c>
      <c r="L173" s="46">
        <f t="shared" si="27"/>
        <v>0</v>
      </c>
      <c r="M173" s="45">
        <f t="shared" si="27"/>
        <v>11868.2</v>
      </c>
      <c r="N173" s="45">
        <f t="shared" si="27"/>
        <v>559</v>
      </c>
      <c r="O173" s="45">
        <f t="shared" si="27"/>
        <v>12427.2</v>
      </c>
    </row>
    <row r="174" spans="1:15" ht="47.25" x14ac:dyDescent="0.2">
      <c r="A174" s="40"/>
      <c r="B174" s="41" t="s">
        <v>249</v>
      </c>
      <c r="C174" s="42" t="s">
        <v>51</v>
      </c>
      <c r="D174" s="43" t="s">
        <v>229</v>
      </c>
      <c r="E174" s="43" t="s">
        <v>250</v>
      </c>
      <c r="F174" s="44" t="s">
        <v>11</v>
      </c>
      <c r="G174" s="45">
        <f t="shared" si="27"/>
        <v>11868.2</v>
      </c>
      <c r="H174" s="45">
        <f>H175+H177</f>
        <v>559</v>
      </c>
      <c r="I174" s="45">
        <f>I175+I177</f>
        <v>12427.2</v>
      </c>
      <c r="J174" s="46">
        <f t="shared" si="27"/>
        <v>0</v>
      </c>
      <c r="K174" s="45">
        <f>K175</f>
        <v>0</v>
      </c>
      <c r="L174" s="46">
        <f t="shared" si="27"/>
        <v>0</v>
      </c>
      <c r="M174" s="45">
        <f t="shared" si="27"/>
        <v>11868.2</v>
      </c>
      <c r="N174" s="45">
        <f>SUM(N177)+N175</f>
        <v>559</v>
      </c>
      <c r="O174" s="45">
        <f>O175+O177</f>
        <v>12427.2</v>
      </c>
    </row>
    <row r="175" spans="1:15" ht="31.5" x14ac:dyDescent="0.2">
      <c r="A175" s="40"/>
      <c r="B175" s="41" t="s">
        <v>134</v>
      </c>
      <c r="C175" s="42" t="s">
        <v>51</v>
      </c>
      <c r="D175" s="43" t="s">
        <v>229</v>
      </c>
      <c r="E175" s="43" t="s">
        <v>251</v>
      </c>
      <c r="F175" s="44" t="s">
        <v>11</v>
      </c>
      <c r="G175" s="45">
        <f>G176</f>
        <v>11868.2</v>
      </c>
      <c r="H175" s="45">
        <f>SUM(H176)</f>
        <v>559</v>
      </c>
      <c r="I175" s="45">
        <f>I176</f>
        <v>12427.2</v>
      </c>
      <c r="J175" s="46">
        <f t="shared" si="27"/>
        <v>0</v>
      </c>
      <c r="K175" s="45"/>
      <c r="L175" s="46">
        <f t="shared" si="27"/>
        <v>0</v>
      </c>
      <c r="M175" s="45">
        <f t="shared" si="27"/>
        <v>11868.2</v>
      </c>
      <c r="N175" s="45">
        <f t="shared" si="27"/>
        <v>559</v>
      </c>
      <c r="O175" s="45">
        <f t="shared" si="27"/>
        <v>12427.2</v>
      </c>
    </row>
    <row r="176" spans="1:15" ht="34.9" customHeight="1" x14ac:dyDescent="0.2">
      <c r="A176" s="40"/>
      <c r="B176" s="41" t="s">
        <v>95</v>
      </c>
      <c r="C176" s="42" t="s">
        <v>51</v>
      </c>
      <c r="D176" s="43" t="s">
        <v>229</v>
      </c>
      <c r="E176" s="43" t="s">
        <v>251</v>
      </c>
      <c r="F176" s="44" t="s">
        <v>96</v>
      </c>
      <c r="G176" s="45">
        <v>11868.2</v>
      </c>
      <c r="H176" s="66">
        <v>559</v>
      </c>
      <c r="I176" s="45">
        <f>11868.2+H176</f>
        <v>12427.2</v>
      </c>
      <c r="J176" s="47">
        <v>0</v>
      </c>
      <c r="K176" s="38"/>
      <c r="L176" s="47">
        <v>0</v>
      </c>
      <c r="M176" s="45">
        <v>11868.2</v>
      </c>
      <c r="N176" s="45">
        <f>SUM(H176)</f>
        <v>559</v>
      </c>
      <c r="O176" s="45">
        <f>11868.2+N176</f>
        <v>12427.2</v>
      </c>
    </row>
    <row r="177" spans="1:16" ht="0.75" customHeight="1" x14ac:dyDescent="0.2">
      <c r="A177" s="40"/>
      <c r="B177" s="41"/>
      <c r="C177" s="42">
        <v>992</v>
      </c>
      <c r="D177" s="43" t="s">
        <v>229</v>
      </c>
      <c r="E177" s="43">
        <v>650309100</v>
      </c>
      <c r="F177" s="44"/>
      <c r="G177" s="45"/>
      <c r="H177" s="66">
        <f>SUM(H178)</f>
        <v>0</v>
      </c>
      <c r="I177" s="66">
        <f>SUM(I178)</f>
        <v>0</v>
      </c>
      <c r="J177" s="47"/>
      <c r="K177" s="38"/>
      <c r="L177" s="47"/>
      <c r="M177" s="45"/>
      <c r="N177" s="45">
        <f>SUM(H177)</f>
        <v>0</v>
      </c>
      <c r="O177" s="45">
        <f>SUM(I177)</f>
        <v>0</v>
      </c>
    </row>
    <row r="178" spans="1:16" ht="34.5" hidden="1" customHeight="1" x14ac:dyDescent="0.2">
      <c r="A178" s="40"/>
      <c r="B178" s="41" t="s">
        <v>95</v>
      </c>
      <c r="C178" s="42">
        <v>992</v>
      </c>
      <c r="D178" s="43" t="s">
        <v>229</v>
      </c>
      <c r="E178" s="43">
        <v>650309100</v>
      </c>
      <c r="F178" s="44">
        <v>600</v>
      </c>
      <c r="G178" s="45"/>
      <c r="H178" s="66"/>
      <c r="I178" s="66"/>
      <c r="J178" s="47"/>
      <c r="K178" s="38"/>
      <c r="L178" s="47"/>
      <c r="M178" s="45"/>
      <c r="N178" s="45">
        <f>SUM(H178)</f>
        <v>0</v>
      </c>
      <c r="O178" s="45">
        <f>SUM(I178)</f>
        <v>0</v>
      </c>
    </row>
    <row r="179" spans="1:16" ht="23.25" customHeight="1" x14ac:dyDescent="0.2">
      <c r="A179" s="33" t="s">
        <v>252</v>
      </c>
      <c r="B179" s="34" t="s">
        <v>253</v>
      </c>
      <c r="C179" s="35" t="s">
        <v>51</v>
      </c>
      <c r="D179" s="36" t="s">
        <v>254</v>
      </c>
      <c r="E179" s="36" t="s">
        <v>11</v>
      </c>
      <c r="F179" s="37" t="s">
        <v>11</v>
      </c>
      <c r="G179" s="38">
        <f t="shared" ref="G179:O183" si="28">G180</f>
        <v>1736</v>
      </c>
      <c r="H179" s="45">
        <f t="shared" si="28"/>
        <v>0</v>
      </c>
      <c r="I179" s="38">
        <f t="shared" si="28"/>
        <v>1736</v>
      </c>
      <c r="J179" s="39">
        <f t="shared" si="28"/>
        <v>0</v>
      </c>
      <c r="K179" s="45">
        <f>K180</f>
        <v>0</v>
      </c>
      <c r="L179" s="39">
        <f t="shared" si="28"/>
        <v>0</v>
      </c>
      <c r="M179" s="38">
        <f t="shared" si="28"/>
        <v>1736</v>
      </c>
      <c r="N179" s="38">
        <f t="shared" si="28"/>
        <v>0</v>
      </c>
      <c r="O179" s="38">
        <f t="shared" si="28"/>
        <v>1736</v>
      </c>
    </row>
    <row r="180" spans="1:16" ht="31.5" x14ac:dyDescent="0.2">
      <c r="A180" s="40"/>
      <c r="B180" s="41" t="s">
        <v>97</v>
      </c>
      <c r="C180" s="42" t="s">
        <v>51</v>
      </c>
      <c r="D180" s="43" t="s">
        <v>254</v>
      </c>
      <c r="E180" s="43" t="s">
        <v>98</v>
      </c>
      <c r="F180" s="44" t="s">
        <v>11</v>
      </c>
      <c r="G180" s="45">
        <f t="shared" si="28"/>
        <v>1736</v>
      </c>
      <c r="H180" s="45">
        <f t="shared" si="28"/>
        <v>0</v>
      </c>
      <c r="I180" s="45">
        <f t="shared" si="28"/>
        <v>1736</v>
      </c>
      <c r="J180" s="46">
        <f t="shared" si="28"/>
        <v>0</v>
      </c>
      <c r="K180" s="45">
        <f>K181</f>
        <v>0</v>
      </c>
      <c r="L180" s="46">
        <f t="shared" si="28"/>
        <v>0</v>
      </c>
      <c r="M180" s="45">
        <f t="shared" si="28"/>
        <v>1736</v>
      </c>
      <c r="N180" s="45">
        <f t="shared" si="28"/>
        <v>0</v>
      </c>
      <c r="O180" s="45">
        <f t="shared" si="28"/>
        <v>1736</v>
      </c>
    </row>
    <row r="181" spans="1:16" ht="15.75" x14ac:dyDescent="0.2">
      <c r="A181" s="40"/>
      <c r="B181" s="41" t="s">
        <v>255</v>
      </c>
      <c r="C181" s="42" t="s">
        <v>51</v>
      </c>
      <c r="D181" s="43" t="s">
        <v>254</v>
      </c>
      <c r="E181" s="43" t="s">
        <v>256</v>
      </c>
      <c r="F181" s="44" t="s">
        <v>11</v>
      </c>
      <c r="G181" s="45">
        <f t="shared" si="28"/>
        <v>1736</v>
      </c>
      <c r="H181" s="45">
        <f t="shared" si="28"/>
        <v>0</v>
      </c>
      <c r="I181" s="45">
        <f t="shared" si="28"/>
        <v>1736</v>
      </c>
      <c r="J181" s="46">
        <f t="shared" si="28"/>
        <v>0</v>
      </c>
      <c r="K181" s="45">
        <f>K182</f>
        <v>0</v>
      </c>
      <c r="L181" s="46">
        <f t="shared" si="28"/>
        <v>0</v>
      </c>
      <c r="M181" s="45">
        <f t="shared" si="28"/>
        <v>1736</v>
      </c>
      <c r="N181" s="45">
        <f t="shared" si="28"/>
        <v>0</v>
      </c>
      <c r="O181" s="45">
        <f t="shared" si="28"/>
        <v>1736</v>
      </c>
    </row>
    <row r="182" spans="1:16" ht="31.5" x14ac:dyDescent="0.2">
      <c r="A182" s="40"/>
      <c r="B182" s="41" t="s">
        <v>257</v>
      </c>
      <c r="C182" s="42" t="s">
        <v>51</v>
      </c>
      <c r="D182" s="43" t="s">
        <v>254</v>
      </c>
      <c r="E182" s="43" t="s">
        <v>258</v>
      </c>
      <c r="F182" s="44" t="s">
        <v>11</v>
      </c>
      <c r="G182" s="45">
        <f t="shared" si="28"/>
        <v>1736</v>
      </c>
      <c r="H182" s="45">
        <f t="shared" si="28"/>
        <v>0</v>
      </c>
      <c r="I182" s="45">
        <f t="shared" si="28"/>
        <v>1736</v>
      </c>
      <c r="J182" s="46">
        <f t="shared" si="28"/>
        <v>0</v>
      </c>
      <c r="K182" s="45">
        <f>K183</f>
        <v>0</v>
      </c>
      <c r="L182" s="46">
        <f t="shared" si="28"/>
        <v>0</v>
      </c>
      <c r="M182" s="45">
        <f t="shared" si="28"/>
        <v>1736</v>
      </c>
      <c r="N182" s="45">
        <f t="shared" si="28"/>
        <v>0</v>
      </c>
      <c r="O182" s="45">
        <f t="shared" si="28"/>
        <v>1736</v>
      </c>
    </row>
    <row r="183" spans="1:16" ht="32.450000000000003" customHeight="1" x14ac:dyDescent="0.2">
      <c r="A183" s="40"/>
      <c r="B183" s="41" t="s">
        <v>103</v>
      </c>
      <c r="C183" s="42" t="s">
        <v>51</v>
      </c>
      <c r="D183" s="43" t="s">
        <v>254</v>
      </c>
      <c r="E183" s="43" t="s">
        <v>259</v>
      </c>
      <c r="F183" s="44" t="s">
        <v>11</v>
      </c>
      <c r="G183" s="45">
        <f>G184</f>
        <v>1736</v>
      </c>
      <c r="H183" s="45"/>
      <c r="I183" s="45">
        <f>I184</f>
        <v>1736</v>
      </c>
      <c r="J183" s="46">
        <f t="shared" si="28"/>
        <v>0</v>
      </c>
      <c r="K183" s="45"/>
      <c r="L183" s="46">
        <f t="shared" si="28"/>
        <v>0</v>
      </c>
      <c r="M183" s="45">
        <f t="shared" si="28"/>
        <v>1736</v>
      </c>
      <c r="N183" s="45">
        <f t="shared" si="28"/>
        <v>0</v>
      </c>
      <c r="O183" s="45">
        <f t="shared" si="28"/>
        <v>1736</v>
      </c>
    </row>
    <row r="184" spans="1:16" ht="31.5" x14ac:dyDescent="0.2">
      <c r="A184" s="40"/>
      <c r="B184" s="41" t="s">
        <v>40</v>
      </c>
      <c r="C184" s="42" t="s">
        <v>51</v>
      </c>
      <c r="D184" s="43" t="s">
        <v>254</v>
      </c>
      <c r="E184" s="43" t="s">
        <v>259</v>
      </c>
      <c r="F184" s="44" t="s">
        <v>41</v>
      </c>
      <c r="G184" s="45">
        <v>1736</v>
      </c>
      <c r="H184" s="38"/>
      <c r="I184" s="45">
        <v>1736</v>
      </c>
      <c r="J184" s="47">
        <v>0</v>
      </c>
      <c r="K184" s="38"/>
      <c r="L184" s="47">
        <v>0</v>
      </c>
      <c r="M184" s="45">
        <v>1736</v>
      </c>
      <c r="N184" s="45"/>
      <c r="O184" s="45">
        <v>1736</v>
      </c>
    </row>
    <row r="185" spans="1:16" ht="36.75" customHeight="1" x14ac:dyDescent="0.2">
      <c r="A185" s="33" t="s">
        <v>260</v>
      </c>
      <c r="B185" s="34" t="s">
        <v>261</v>
      </c>
      <c r="C185" s="35" t="s">
        <v>51</v>
      </c>
      <c r="D185" s="36" t="s">
        <v>262</v>
      </c>
      <c r="E185" s="36" t="s">
        <v>11</v>
      </c>
      <c r="F185" s="37" t="s">
        <v>11</v>
      </c>
      <c r="G185" s="38">
        <f>G186+G208</f>
        <v>19260.599999999999</v>
      </c>
      <c r="H185" s="45">
        <f>H186+H193+H205</f>
        <v>2548.9</v>
      </c>
      <c r="I185" s="38">
        <f>I186+I208+I205</f>
        <v>21809.5</v>
      </c>
      <c r="J185" s="39">
        <f>J186+J208</f>
        <v>7971.1</v>
      </c>
      <c r="K185" s="45">
        <f>K186+K193</f>
        <v>0</v>
      </c>
      <c r="L185" s="39">
        <f>L186+L208</f>
        <v>7971.1</v>
      </c>
      <c r="M185" s="38">
        <f>M186+M208</f>
        <v>27231.699999999997</v>
      </c>
      <c r="N185" s="45">
        <f>N186+N193+N205</f>
        <v>2548.9</v>
      </c>
      <c r="O185" s="38">
        <f>O186+O208+O205</f>
        <v>29780.6</v>
      </c>
      <c r="P185" s="15"/>
    </row>
    <row r="186" spans="1:16" ht="47.25" x14ac:dyDescent="0.2">
      <c r="A186" s="40"/>
      <c r="B186" s="41" t="s">
        <v>230</v>
      </c>
      <c r="C186" s="42" t="s">
        <v>51</v>
      </c>
      <c r="D186" s="43" t="s">
        <v>262</v>
      </c>
      <c r="E186" s="43" t="s">
        <v>231</v>
      </c>
      <c r="F186" s="44" t="s">
        <v>11</v>
      </c>
      <c r="G186" s="45">
        <f>G187+G194</f>
        <v>14797</v>
      </c>
      <c r="H186" s="45">
        <f>H187+H194</f>
        <v>1389.9</v>
      </c>
      <c r="I186" s="45">
        <f>I187+I194</f>
        <v>16186.9</v>
      </c>
      <c r="J186" s="46">
        <f>J187+J194</f>
        <v>7971.1</v>
      </c>
      <c r="K186" s="45">
        <f>K187</f>
        <v>0</v>
      </c>
      <c r="L186" s="46">
        <f>L187+L194</f>
        <v>7971.1</v>
      </c>
      <c r="M186" s="45">
        <f>M187+M194</f>
        <v>22768.1</v>
      </c>
      <c r="N186" s="45">
        <f>N187+N194</f>
        <v>1389.9</v>
      </c>
      <c r="O186" s="45">
        <f>O187+O194</f>
        <v>24158</v>
      </c>
      <c r="P186" s="16"/>
    </row>
    <row r="187" spans="1:16" ht="36" customHeight="1" x14ac:dyDescent="0.2">
      <c r="A187" s="40"/>
      <c r="B187" s="41" t="s">
        <v>263</v>
      </c>
      <c r="C187" s="42" t="s">
        <v>51</v>
      </c>
      <c r="D187" s="43" t="s">
        <v>262</v>
      </c>
      <c r="E187" s="43" t="s">
        <v>264</v>
      </c>
      <c r="F187" s="44" t="s">
        <v>11</v>
      </c>
      <c r="G187" s="45">
        <f>G188</f>
        <v>419.6</v>
      </c>
      <c r="H187" s="45">
        <f>H188</f>
        <v>735.3</v>
      </c>
      <c r="I187" s="45">
        <f>I188</f>
        <v>1154.9000000000001</v>
      </c>
      <c r="J187" s="46">
        <f>J188</f>
        <v>7971.1</v>
      </c>
      <c r="K187" s="45">
        <f>K188</f>
        <v>0</v>
      </c>
      <c r="L187" s="46">
        <f>L188</f>
        <v>7971.1</v>
      </c>
      <c r="M187" s="45">
        <f>M188</f>
        <v>8390.7000000000007</v>
      </c>
      <c r="N187" s="45">
        <f>N188</f>
        <v>735.3</v>
      </c>
      <c r="O187" s="45">
        <f>O188</f>
        <v>9126</v>
      </c>
    </row>
    <row r="188" spans="1:16" ht="47.25" x14ac:dyDescent="0.2">
      <c r="A188" s="40"/>
      <c r="B188" s="41" t="s">
        <v>265</v>
      </c>
      <c r="C188" s="42" t="s">
        <v>51</v>
      </c>
      <c r="D188" s="43" t="s">
        <v>262</v>
      </c>
      <c r="E188" s="43" t="s">
        <v>266</v>
      </c>
      <c r="F188" s="44" t="s">
        <v>11</v>
      </c>
      <c r="G188" s="45">
        <f>G192</f>
        <v>419.6</v>
      </c>
      <c r="H188" s="45">
        <f>H192+H189</f>
        <v>735.3</v>
      </c>
      <c r="I188" s="45">
        <f>I192+I189</f>
        <v>1154.9000000000001</v>
      </c>
      <c r="J188" s="46">
        <f>J192</f>
        <v>7971.1</v>
      </c>
      <c r="K188" s="45">
        <f>K192</f>
        <v>0</v>
      </c>
      <c r="L188" s="46">
        <f>L192</f>
        <v>7971.1</v>
      </c>
      <c r="M188" s="45">
        <f>M192</f>
        <v>8390.7000000000007</v>
      </c>
      <c r="N188" s="45">
        <f>N192+N189</f>
        <v>735.3</v>
      </c>
      <c r="O188" s="45">
        <f>O192+O189</f>
        <v>9126</v>
      </c>
    </row>
    <row r="189" spans="1:16" ht="31.5" x14ac:dyDescent="0.2">
      <c r="A189" s="40"/>
      <c r="B189" s="69" t="s">
        <v>267</v>
      </c>
      <c r="C189" s="42">
        <v>992</v>
      </c>
      <c r="D189" s="43" t="s">
        <v>262</v>
      </c>
      <c r="E189" s="57" t="s">
        <v>268</v>
      </c>
      <c r="F189" s="44"/>
      <c r="G189" s="45"/>
      <c r="H189" s="45">
        <f>SUM(H190)</f>
        <v>735.3</v>
      </c>
      <c r="I189" s="45">
        <f>SUM(H189)</f>
        <v>735.3</v>
      </c>
      <c r="J189" s="46"/>
      <c r="K189" s="45"/>
      <c r="L189" s="46"/>
      <c r="M189" s="45"/>
      <c r="N189" s="45">
        <f>SUM(N190)</f>
        <v>735.3</v>
      </c>
      <c r="O189" s="45">
        <f>SUM(N189)</f>
        <v>735.3</v>
      </c>
    </row>
    <row r="190" spans="1:16" ht="31.5" x14ac:dyDescent="0.2">
      <c r="A190" s="40"/>
      <c r="B190" s="41" t="s">
        <v>40</v>
      </c>
      <c r="C190" s="42">
        <v>992</v>
      </c>
      <c r="D190" s="43" t="s">
        <v>262</v>
      </c>
      <c r="E190" s="57" t="s">
        <v>268</v>
      </c>
      <c r="F190" s="44">
        <v>200</v>
      </c>
      <c r="G190" s="45"/>
      <c r="H190" s="45">
        <f>590+145.3</f>
        <v>735.3</v>
      </c>
      <c r="I190" s="45">
        <f>SUM(H190)</f>
        <v>735.3</v>
      </c>
      <c r="J190" s="46"/>
      <c r="K190" s="45"/>
      <c r="L190" s="46"/>
      <c r="M190" s="45"/>
      <c r="N190" s="45">
        <f>SUM(H190)</f>
        <v>735.3</v>
      </c>
      <c r="O190" s="45">
        <f>SUM(N190)</f>
        <v>735.3</v>
      </c>
    </row>
    <row r="191" spans="1:16" ht="0.75" customHeight="1" x14ac:dyDescent="0.2">
      <c r="A191" s="40"/>
      <c r="B191" s="41"/>
      <c r="C191" s="42"/>
      <c r="D191" s="43"/>
      <c r="E191" s="43"/>
      <c r="F191" s="44"/>
      <c r="G191" s="45"/>
      <c r="H191" s="45"/>
      <c r="I191" s="45"/>
      <c r="J191" s="46"/>
      <c r="K191" s="45"/>
      <c r="L191" s="46"/>
      <c r="M191" s="45"/>
      <c r="N191" s="45"/>
      <c r="O191" s="45"/>
    </row>
    <row r="192" spans="1:16" ht="47.25" x14ac:dyDescent="0.2">
      <c r="A192" s="40"/>
      <c r="B192" s="41" t="s">
        <v>269</v>
      </c>
      <c r="C192" s="42" t="s">
        <v>51</v>
      </c>
      <c r="D192" s="43" t="s">
        <v>262</v>
      </c>
      <c r="E192" s="43" t="s">
        <v>270</v>
      </c>
      <c r="F192" s="44" t="s">
        <v>11</v>
      </c>
      <c r="G192" s="45">
        <f>G193</f>
        <v>419.6</v>
      </c>
      <c r="H192" s="45"/>
      <c r="I192" s="45">
        <f>I193</f>
        <v>419.6</v>
      </c>
      <c r="J192" s="46">
        <f>J193</f>
        <v>7971.1</v>
      </c>
      <c r="K192" s="45"/>
      <c r="L192" s="46">
        <f>L193</f>
        <v>7971.1</v>
      </c>
      <c r="M192" s="45">
        <f>M193</f>
        <v>8390.7000000000007</v>
      </c>
      <c r="N192" s="45">
        <f>N193</f>
        <v>0</v>
      </c>
      <c r="O192" s="45">
        <f>O193</f>
        <v>8390.7000000000007</v>
      </c>
    </row>
    <row r="193" spans="1:15" ht="31.5" x14ac:dyDescent="0.2">
      <c r="A193" s="40"/>
      <c r="B193" s="41" t="s">
        <v>40</v>
      </c>
      <c r="C193" s="42" t="s">
        <v>51</v>
      </c>
      <c r="D193" s="43" t="s">
        <v>262</v>
      </c>
      <c r="E193" s="43" t="s">
        <v>270</v>
      </c>
      <c r="F193" s="44" t="s">
        <v>41</v>
      </c>
      <c r="G193" s="45">
        <v>419.6</v>
      </c>
      <c r="H193" s="45"/>
      <c r="I193" s="45">
        <v>419.6</v>
      </c>
      <c r="J193" s="47">
        <v>7971.1</v>
      </c>
      <c r="K193" s="45"/>
      <c r="L193" s="47">
        <v>7971.1</v>
      </c>
      <c r="M193" s="45">
        <f>419.6+J193</f>
        <v>8390.7000000000007</v>
      </c>
      <c r="N193" s="45"/>
      <c r="O193" s="45">
        <f>419.6+L193</f>
        <v>8390.7000000000007</v>
      </c>
    </row>
    <row r="194" spans="1:15" ht="31.5" x14ac:dyDescent="0.2">
      <c r="A194" s="40"/>
      <c r="B194" s="41" t="s">
        <v>185</v>
      </c>
      <c r="C194" s="42" t="s">
        <v>51</v>
      </c>
      <c r="D194" s="43" t="s">
        <v>262</v>
      </c>
      <c r="E194" s="43" t="s">
        <v>271</v>
      </c>
      <c r="F194" s="44" t="s">
        <v>11</v>
      </c>
      <c r="G194" s="45">
        <f>G195+G202</f>
        <v>14377.4</v>
      </c>
      <c r="H194" s="45">
        <f>H195+H199</f>
        <v>654.6</v>
      </c>
      <c r="I194" s="45">
        <f>I195+I202+I199</f>
        <v>15032</v>
      </c>
      <c r="J194" s="46">
        <f>J195+J202</f>
        <v>0</v>
      </c>
      <c r="K194" s="45">
        <f>K195</f>
        <v>0</v>
      </c>
      <c r="L194" s="46">
        <f>L195+L202</f>
        <v>0</v>
      </c>
      <c r="M194" s="45">
        <f>M195+M202</f>
        <v>14377.4</v>
      </c>
      <c r="N194" s="45">
        <f>N195+N199</f>
        <v>654.6</v>
      </c>
      <c r="O194" s="45">
        <f>O195+O202+O199</f>
        <v>15032</v>
      </c>
    </row>
    <row r="195" spans="1:15" ht="51.6" customHeight="1" x14ac:dyDescent="0.2">
      <c r="A195" s="40"/>
      <c r="B195" s="41" t="s">
        <v>272</v>
      </c>
      <c r="C195" s="42" t="s">
        <v>51</v>
      </c>
      <c r="D195" s="43" t="s">
        <v>262</v>
      </c>
      <c r="E195" s="43" t="s">
        <v>273</v>
      </c>
      <c r="F195" s="44" t="s">
        <v>11</v>
      </c>
      <c r="G195" s="45">
        <f>G196</f>
        <v>8104</v>
      </c>
      <c r="H195" s="45">
        <f>H196+H197</f>
        <v>54.6</v>
      </c>
      <c r="I195" s="45">
        <f>I196</f>
        <v>8158.5999999999995</v>
      </c>
      <c r="J195" s="46">
        <f>J196</f>
        <v>0</v>
      </c>
      <c r="K195" s="45">
        <f>K196+K197</f>
        <v>0</v>
      </c>
      <c r="L195" s="46">
        <f>L196</f>
        <v>0</v>
      </c>
      <c r="M195" s="45">
        <f>M196</f>
        <v>8104</v>
      </c>
      <c r="N195" s="45">
        <f>N196</f>
        <v>54.6</v>
      </c>
      <c r="O195" s="45">
        <f>O196</f>
        <v>8158.5999999999995</v>
      </c>
    </row>
    <row r="196" spans="1:15" ht="31.5" x14ac:dyDescent="0.2">
      <c r="A196" s="40"/>
      <c r="B196" s="41" t="s">
        <v>134</v>
      </c>
      <c r="C196" s="42" t="s">
        <v>51</v>
      </c>
      <c r="D196" s="43" t="s">
        <v>262</v>
      </c>
      <c r="E196" s="43" t="s">
        <v>274</v>
      </c>
      <c r="F196" s="44" t="s">
        <v>11</v>
      </c>
      <c r="G196" s="45">
        <f>G197+G198</f>
        <v>8104</v>
      </c>
      <c r="H196" s="45">
        <f>SUM(H198)</f>
        <v>54.6</v>
      </c>
      <c r="I196" s="45">
        <f>I197+I198</f>
        <v>8158.5999999999995</v>
      </c>
      <c r="J196" s="46">
        <f>J197+J198</f>
        <v>0</v>
      </c>
      <c r="K196" s="45"/>
      <c r="L196" s="46">
        <f>L197+L198</f>
        <v>0</v>
      </c>
      <c r="M196" s="45">
        <f>M197+M198</f>
        <v>8104</v>
      </c>
      <c r="N196" s="45">
        <f>N197+N198</f>
        <v>54.6</v>
      </c>
      <c r="O196" s="45">
        <f>O197+O198</f>
        <v>8158.5999999999995</v>
      </c>
    </row>
    <row r="197" spans="1:15" ht="78.75" x14ac:dyDescent="0.2">
      <c r="A197" s="40"/>
      <c r="B197" s="41" t="s">
        <v>61</v>
      </c>
      <c r="C197" s="42" t="s">
        <v>51</v>
      </c>
      <c r="D197" s="43" t="s">
        <v>262</v>
      </c>
      <c r="E197" s="43" t="s">
        <v>274</v>
      </c>
      <c r="F197" s="44" t="s">
        <v>62</v>
      </c>
      <c r="G197" s="45">
        <v>7905.2</v>
      </c>
      <c r="H197" s="45"/>
      <c r="I197" s="45">
        <v>7905.2</v>
      </c>
      <c r="J197" s="47">
        <v>0</v>
      </c>
      <c r="K197" s="45"/>
      <c r="L197" s="47">
        <v>0</v>
      </c>
      <c r="M197" s="45">
        <v>7905.2</v>
      </c>
      <c r="N197" s="45"/>
      <c r="O197" s="45">
        <v>7905.2</v>
      </c>
    </row>
    <row r="198" spans="1:15" ht="31.5" x14ac:dyDescent="0.2">
      <c r="A198" s="40"/>
      <c r="B198" s="41" t="s">
        <v>40</v>
      </c>
      <c r="C198" s="42" t="s">
        <v>51</v>
      </c>
      <c r="D198" s="43" t="s">
        <v>262</v>
      </c>
      <c r="E198" s="43" t="s">
        <v>274</v>
      </c>
      <c r="F198" s="44" t="s">
        <v>41</v>
      </c>
      <c r="G198" s="45">
        <v>198.8</v>
      </c>
      <c r="H198" s="45">
        <v>54.6</v>
      </c>
      <c r="I198" s="45">
        <f>198.8+H198</f>
        <v>253.4</v>
      </c>
      <c r="J198" s="47">
        <v>0</v>
      </c>
      <c r="K198" s="45"/>
      <c r="L198" s="47">
        <v>0</v>
      </c>
      <c r="M198" s="45">
        <v>198.8</v>
      </c>
      <c r="N198" s="45">
        <f>SUM(H198)</f>
        <v>54.6</v>
      </c>
      <c r="O198" s="45">
        <f>198.8+N198</f>
        <v>253.4</v>
      </c>
    </row>
    <row r="199" spans="1:15" ht="15.75" x14ac:dyDescent="0.2">
      <c r="A199" s="40"/>
      <c r="B199" s="41" t="s">
        <v>275</v>
      </c>
      <c r="C199" s="42">
        <v>992</v>
      </c>
      <c r="D199" s="43" t="s">
        <v>262</v>
      </c>
      <c r="E199" s="57" t="s">
        <v>276</v>
      </c>
      <c r="F199" s="44"/>
      <c r="G199" s="45"/>
      <c r="H199" s="45">
        <v>600</v>
      </c>
      <c r="I199" s="45">
        <f>SUM(H199)</f>
        <v>600</v>
      </c>
      <c r="J199" s="47"/>
      <c r="K199" s="45"/>
      <c r="L199" s="47"/>
      <c r="M199" s="45"/>
      <c r="N199" s="45">
        <f>SUM(H199)</f>
        <v>600</v>
      </c>
      <c r="O199" s="45">
        <f>SUM(I199)</f>
        <v>600</v>
      </c>
    </row>
    <row r="200" spans="1:15" ht="15.75" x14ac:dyDescent="0.2">
      <c r="A200" s="40"/>
      <c r="B200" s="41" t="s">
        <v>277</v>
      </c>
      <c r="C200" s="42">
        <v>992</v>
      </c>
      <c r="D200" s="43" t="s">
        <v>262</v>
      </c>
      <c r="E200" s="57" t="s">
        <v>276</v>
      </c>
      <c r="F200" s="44"/>
      <c r="G200" s="45"/>
      <c r="H200" s="45">
        <v>600</v>
      </c>
      <c r="I200" s="45">
        <f>SUM(H200)</f>
        <v>600</v>
      </c>
      <c r="J200" s="47"/>
      <c r="K200" s="45"/>
      <c r="L200" s="47"/>
      <c r="M200" s="45"/>
      <c r="N200" s="45">
        <f>SUM(H200)</f>
        <v>600</v>
      </c>
      <c r="O200" s="45">
        <f>SUM(I200)</f>
        <v>600</v>
      </c>
    </row>
    <row r="201" spans="1:15" ht="31.5" x14ac:dyDescent="0.2">
      <c r="A201" s="40"/>
      <c r="B201" s="41" t="s">
        <v>40</v>
      </c>
      <c r="C201" s="42">
        <v>992</v>
      </c>
      <c r="D201" s="43" t="s">
        <v>262</v>
      </c>
      <c r="E201" s="57" t="s">
        <v>278</v>
      </c>
      <c r="F201" s="44">
        <v>200</v>
      </c>
      <c r="G201" s="45"/>
      <c r="H201" s="45">
        <v>600</v>
      </c>
      <c r="I201" s="45">
        <f>SUM(H201)</f>
        <v>600</v>
      </c>
      <c r="J201" s="47"/>
      <c r="K201" s="45"/>
      <c r="L201" s="47"/>
      <c r="M201" s="45"/>
      <c r="N201" s="45">
        <f>SUM(H201)</f>
        <v>600</v>
      </c>
      <c r="O201" s="45">
        <f>SUM(I201)</f>
        <v>600</v>
      </c>
    </row>
    <row r="202" spans="1:15" ht="52.15" customHeight="1" x14ac:dyDescent="0.2">
      <c r="A202" s="40"/>
      <c r="B202" s="41" t="s">
        <v>279</v>
      </c>
      <c r="C202" s="42" t="s">
        <v>51</v>
      </c>
      <c r="D202" s="43" t="s">
        <v>262</v>
      </c>
      <c r="E202" s="43" t="s">
        <v>280</v>
      </c>
      <c r="F202" s="44" t="s">
        <v>11</v>
      </c>
      <c r="G202" s="45">
        <f t="shared" ref="G202:O203" si="29">G203</f>
        <v>6273.4</v>
      </c>
      <c r="H202" s="45">
        <f t="shared" si="29"/>
        <v>0</v>
      </c>
      <c r="I202" s="45">
        <f t="shared" si="29"/>
        <v>6273.4</v>
      </c>
      <c r="J202" s="46">
        <f t="shared" si="29"/>
        <v>0</v>
      </c>
      <c r="K202" s="45">
        <f t="shared" si="29"/>
        <v>0</v>
      </c>
      <c r="L202" s="46">
        <f t="shared" si="29"/>
        <v>0</v>
      </c>
      <c r="M202" s="45">
        <f t="shared" si="29"/>
        <v>6273.4</v>
      </c>
      <c r="N202" s="45">
        <f t="shared" si="29"/>
        <v>0</v>
      </c>
      <c r="O202" s="45">
        <f t="shared" si="29"/>
        <v>6273.4</v>
      </c>
    </row>
    <row r="203" spans="1:15" ht="31.5" x14ac:dyDescent="0.2">
      <c r="A203" s="40"/>
      <c r="B203" s="41" t="s">
        <v>134</v>
      </c>
      <c r="C203" s="42" t="s">
        <v>51</v>
      </c>
      <c r="D203" s="43" t="s">
        <v>262</v>
      </c>
      <c r="E203" s="43" t="s">
        <v>281</v>
      </c>
      <c r="F203" s="44" t="s">
        <v>11</v>
      </c>
      <c r="G203" s="45">
        <f t="shared" si="29"/>
        <v>6273.4</v>
      </c>
      <c r="H203" s="45"/>
      <c r="I203" s="45">
        <f t="shared" si="29"/>
        <v>6273.4</v>
      </c>
      <c r="J203" s="46">
        <f t="shared" si="29"/>
        <v>0</v>
      </c>
      <c r="K203" s="45"/>
      <c r="L203" s="46">
        <f t="shared" si="29"/>
        <v>0</v>
      </c>
      <c r="M203" s="45">
        <f t="shared" si="29"/>
        <v>6273.4</v>
      </c>
      <c r="N203" s="45">
        <f t="shared" si="29"/>
        <v>0</v>
      </c>
      <c r="O203" s="45">
        <f t="shared" si="29"/>
        <v>6273.4</v>
      </c>
    </row>
    <row r="204" spans="1:15" ht="37.9" customHeight="1" x14ac:dyDescent="0.2">
      <c r="A204" s="40"/>
      <c r="B204" s="41" t="s">
        <v>95</v>
      </c>
      <c r="C204" s="42" t="s">
        <v>51</v>
      </c>
      <c r="D204" s="43" t="s">
        <v>262</v>
      </c>
      <c r="E204" s="43" t="s">
        <v>281</v>
      </c>
      <c r="F204" s="44" t="s">
        <v>96</v>
      </c>
      <c r="G204" s="45">
        <v>6273.4</v>
      </c>
      <c r="H204" s="45"/>
      <c r="I204" s="45">
        <v>6273.4</v>
      </c>
      <c r="J204" s="47">
        <v>0</v>
      </c>
      <c r="K204" s="45"/>
      <c r="L204" s="47">
        <v>0</v>
      </c>
      <c r="M204" s="45">
        <v>6273.4</v>
      </c>
      <c r="N204" s="45"/>
      <c r="O204" s="45">
        <v>6273.4</v>
      </c>
    </row>
    <row r="205" spans="1:15" ht="37.9" customHeight="1" x14ac:dyDescent="0.2">
      <c r="A205" s="40"/>
      <c r="B205" s="68" t="s">
        <v>282</v>
      </c>
      <c r="C205" s="42">
        <v>992</v>
      </c>
      <c r="D205" s="43" t="s">
        <v>262</v>
      </c>
      <c r="E205" s="57" t="s">
        <v>248</v>
      </c>
      <c r="F205" s="44"/>
      <c r="G205" s="45"/>
      <c r="H205" s="45">
        <f>SUM(H206)</f>
        <v>1159</v>
      </c>
      <c r="I205" s="45">
        <f>SUM(H205)</f>
        <v>1159</v>
      </c>
      <c r="J205" s="47"/>
      <c r="K205" s="45"/>
      <c r="L205" s="47"/>
      <c r="M205" s="45"/>
      <c r="N205" s="45">
        <f t="shared" ref="N205:O207" si="30">SUM(H205)</f>
        <v>1159</v>
      </c>
      <c r="O205" s="45">
        <f t="shared" si="30"/>
        <v>1159</v>
      </c>
    </row>
    <row r="206" spans="1:15" ht="37.9" customHeight="1" x14ac:dyDescent="0.2">
      <c r="A206" s="40"/>
      <c r="B206" s="67" t="s">
        <v>283</v>
      </c>
      <c r="C206" s="42">
        <v>992</v>
      </c>
      <c r="D206" s="43" t="s">
        <v>262</v>
      </c>
      <c r="E206" s="57" t="s">
        <v>284</v>
      </c>
      <c r="F206" s="44"/>
      <c r="G206" s="45"/>
      <c r="H206" s="45">
        <f>SUM(H207)</f>
        <v>1159</v>
      </c>
      <c r="I206" s="45">
        <f>SUM(H206)</f>
        <v>1159</v>
      </c>
      <c r="J206" s="47"/>
      <c r="K206" s="45"/>
      <c r="L206" s="47"/>
      <c r="M206" s="45"/>
      <c r="N206" s="45">
        <f t="shared" si="30"/>
        <v>1159</v>
      </c>
      <c r="O206" s="45">
        <f t="shared" si="30"/>
        <v>1159</v>
      </c>
    </row>
    <row r="207" spans="1:15" ht="37.9" customHeight="1" x14ac:dyDescent="0.2">
      <c r="A207" s="40"/>
      <c r="B207" s="41" t="s">
        <v>95</v>
      </c>
      <c r="C207" s="42">
        <v>992</v>
      </c>
      <c r="D207" s="43" t="s">
        <v>262</v>
      </c>
      <c r="E207" s="57" t="s">
        <v>284</v>
      </c>
      <c r="F207" s="44">
        <v>600</v>
      </c>
      <c r="G207" s="45"/>
      <c r="H207" s="45">
        <v>1159</v>
      </c>
      <c r="I207" s="45">
        <f>SUM(H207)</f>
        <v>1159</v>
      </c>
      <c r="J207" s="47"/>
      <c r="K207" s="45"/>
      <c r="L207" s="47"/>
      <c r="M207" s="45"/>
      <c r="N207" s="45">
        <f t="shared" si="30"/>
        <v>1159</v>
      </c>
      <c r="O207" s="45">
        <f t="shared" si="30"/>
        <v>1159</v>
      </c>
    </row>
    <row r="208" spans="1:15" ht="31.5" x14ac:dyDescent="0.2">
      <c r="A208" s="40"/>
      <c r="B208" s="41" t="s">
        <v>218</v>
      </c>
      <c r="C208" s="42" t="s">
        <v>51</v>
      </c>
      <c r="D208" s="43" t="s">
        <v>262</v>
      </c>
      <c r="E208" s="43" t="s">
        <v>219</v>
      </c>
      <c r="F208" s="44" t="s">
        <v>11</v>
      </c>
      <c r="G208" s="45">
        <f>G209+G214+G219</f>
        <v>4463.6000000000004</v>
      </c>
      <c r="H208" s="45">
        <f>H209</f>
        <v>0</v>
      </c>
      <c r="I208" s="45">
        <f>I209+I214+I219</f>
        <v>4463.6000000000004</v>
      </c>
      <c r="J208" s="46">
        <f>J209+J214+J219</f>
        <v>0</v>
      </c>
      <c r="K208" s="45">
        <f>K209</f>
        <v>0</v>
      </c>
      <c r="L208" s="46">
        <f>L209+L214+L219</f>
        <v>0</v>
      </c>
      <c r="M208" s="45">
        <f>M209+M214+M219</f>
        <v>4463.6000000000004</v>
      </c>
      <c r="N208" s="45">
        <f>N209+N214+N219</f>
        <v>0</v>
      </c>
      <c r="O208" s="45">
        <f>O209+O214+O219</f>
        <v>4463.6000000000004</v>
      </c>
    </row>
    <row r="209" spans="1:16" ht="31.5" x14ac:dyDescent="0.2">
      <c r="A209" s="40"/>
      <c r="B209" s="41" t="s">
        <v>285</v>
      </c>
      <c r="C209" s="42" t="s">
        <v>51</v>
      </c>
      <c r="D209" s="43" t="s">
        <v>262</v>
      </c>
      <c r="E209" s="43" t="s">
        <v>286</v>
      </c>
      <c r="F209" s="44" t="s">
        <v>11</v>
      </c>
      <c r="G209" s="45">
        <f>G210</f>
        <v>330</v>
      </c>
      <c r="H209" s="45">
        <f>H210</f>
        <v>0</v>
      </c>
      <c r="I209" s="45">
        <f>I210</f>
        <v>330</v>
      </c>
      <c r="J209" s="46">
        <f t="shared" ref="J209:O210" si="31">J210</f>
        <v>0</v>
      </c>
      <c r="K209" s="45">
        <f>K210</f>
        <v>0</v>
      </c>
      <c r="L209" s="46">
        <f t="shared" si="31"/>
        <v>0</v>
      </c>
      <c r="M209" s="45">
        <f t="shared" si="31"/>
        <v>330</v>
      </c>
      <c r="N209" s="45">
        <f t="shared" si="31"/>
        <v>0</v>
      </c>
      <c r="O209" s="45">
        <f t="shared" si="31"/>
        <v>330</v>
      </c>
    </row>
    <row r="210" spans="1:16" ht="31.5" x14ac:dyDescent="0.2">
      <c r="A210" s="40"/>
      <c r="B210" s="41" t="s">
        <v>287</v>
      </c>
      <c r="C210" s="42" t="s">
        <v>51</v>
      </c>
      <c r="D210" s="43" t="s">
        <v>262</v>
      </c>
      <c r="E210" s="43" t="s">
        <v>288</v>
      </c>
      <c r="F210" s="44" t="s">
        <v>11</v>
      </c>
      <c r="G210" s="45">
        <f>G211</f>
        <v>330</v>
      </c>
      <c r="H210" s="45">
        <f>H212+H211</f>
        <v>0</v>
      </c>
      <c r="I210" s="45">
        <f>I211</f>
        <v>330</v>
      </c>
      <c r="J210" s="46">
        <f t="shared" si="31"/>
        <v>0</v>
      </c>
      <c r="K210" s="45">
        <f>K212+K211</f>
        <v>0</v>
      </c>
      <c r="L210" s="46">
        <f t="shared" si="31"/>
        <v>0</v>
      </c>
      <c r="M210" s="45">
        <f t="shared" si="31"/>
        <v>330</v>
      </c>
      <c r="N210" s="45">
        <f t="shared" si="31"/>
        <v>0</v>
      </c>
      <c r="O210" s="45">
        <f t="shared" si="31"/>
        <v>330</v>
      </c>
    </row>
    <row r="211" spans="1:16" ht="31.5" x14ac:dyDescent="0.2">
      <c r="A211" s="40"/>
      <c r="B211" s="41" t="s">
        <v>285</v>
      </c>
      <c r="C211" s="42" t="s">
        <v>51</v>
      </c>
      <c r="D211" s="43" t="s">
        <v>262</v>
      </c>
      <c r="E211" s="43" t="s">
        <v>289</v>
      </c>
      <c r="F211" s="44" t="s">
        <v>11</v>
      </c>
      <c r="G211" s="45">
        <f>G213+G212</f>
        <v>330</v>
      </c>
      <c r="H211" s="45"/>
      <c r="I211" s="45">
        <f>I213+I212</f>
        <v>330</v>
      </c>
      <c r="J211" s="46">
        <f>J213+J212</f>
        <v>0</v>
      </c>
      <c r="K211" s="45"/>
      <c r="L211" s="46">
        <f>L213+L212</f>
        <v>0</v>
      </c>
      <c r="M211" s="45">
        <f>M213+M212</f>
        <v>330</v>
      </c>
      <c r="N211" s="45">
        <f>N213+N212</f>
        <v>0</v>
      </c>
      <c r="O211" s="45">
        <f>O213+O212</f>
        <v>330</v>
      </c>
    </row>
    <row r="212" spans="1:16" ht="31.5" x14ac:dyDescent="0.2">
      <c r="A212" s="40"/>
      <c r="B212" s="41" t="s">
        <v>40</v>
      </c>
      <c r="C212" s="42" t="s">
        <v>51</v>
      </c>
      <c r="D212" s="43" t="s">
        <v>262</v>
      </c>
      <c r="E212" s="43" t="s">
        <v>289</v>
      </c>
      <c r="F212" s="44">
        <v>200</v>
      </c>
      <c r="G212" s="45">
        <v>200</v>
      </c>
      <c r="H212" s="45"/>
      <c r="I212" s="45">
        <v>200</v>
      </c>
      <c r="J212" s="46">
        <v>0</v>
      </c>
      <c r="K212" s="45"/>
      <c r="L212" s="46">
        <v>0</v>
      </c>
      <c r="M212" s="45">
        <v>200</v>
      </c>
      <c r="N212" s="45"/>
      <c r="O212" s="45">
        <v>200</v>
      </c>
    </row>
    <row r="213" spans="1:16" ht="15.75" x14ac:dyDescent="0.2">
      <c r="A213" s="40"/>
      <c r="B213" s="41" t="s">
        <v>70</v>
      </c>
      <c r="C213" s="42" t="s">
        <v>51</v>
      </c>
      <c r="D213" s="43" t="s">
        <v>262</v>
      </c>
      <c r="E213" s="43" t="s">
        <v>289</v>
      </c>
      <c r="F213" s="44" t="s">
        <v>71</v>
      </c>
      <c r="G213" s="45">
        <v>130</v>
      </c>
      <c r="H213" s="45"/>
      <c r="I213" s="45">
        <v>130</v>
      </c>
      <c r="J213" s="47">
        <v>0</v>
      </c>
      <c r="K213" s="45"/>
      <c r="L213" s="47">
        <v>0</v>
      </c>
      <c r="M213" s="45">
        <v>130</v>
      </c>
      <c r="N213" s="45"/>
      <c r="O213" s="45">
        <v>130</v>
      </c>
    </row>
    <row r="214" spans="1:16" ht="31.5" x14ac:dyDescent="0.2">
      <c r="A214" s="40"/>
      <c r="B214" s="41" t="s">
        <v>290</v>
      </c>
      <c r="C214" s="42" t="s">
        <v>51</v>
      </c>
      <c r="D214" s="43" t="s">
        <v>262</v>
      </c>
      <c r="E214" s="43" t="s">
        <v>291</v>
      </c>
      <c r="F214" s="44" t="s">
        <v>11</v>
      </c>
      <c r="G214" s="45">
        <f t="shared" ref="G214:O215" si="32">G215</f>
        <v>3933.6</v>
      </c>
      <c r="H214" s="45">
        <f t="shared" si="32"/>
        <v>0</v>
      </c>
      <c r="I214" s="45">
        <f t="shared" si="32"/>
        <v>3933.6</v>
      </c>
      <c r="J214" s="46">
        <f t="shared" si="32"/>
        <v>0</v>
      </c>
      <c r="K214" s="45">
        <f t="shared" si="32"/>
        <v>0</v>
      </c>
      <c r="L214" s="46">
        <f t="shared" si="32"/>
        <v>0</v>
      </c>
      <c r="M214" s="45">
        <f t="shared" si="32"/>
        <v>3933.6</v>
      </c>
      <c r="N214" s="45">
        <f t="shared" si="32"/>
        <v>0</v>
      </c>
      <c r="O214" s="45">
        <f t="shared" si="32"/>
        <v>3933.6</v>
      </c>
    </row>
    <row r="215" spans="1:16" ht="47.25" x14ac:dyDescent="0.2">
      <c r="A215" s="40"/>
      <c r="B215" s="41" t="s">
        <v>292</v>
      </c>
      <c r="C215" s="42" t="s">
        <v>51</v>
      </c>
      <c r="D215" s="43" t="s">
        <v>262</v>
      </c>
      <c r="E215" s="43" t="s">
        <v>293</v>
      </c>
      <c r="F215" s="44" t="s">
        <v>11</v>
      </c>
      <c r="G215" s="45">
        <f t="shared" si="32"/>
        <v>3933.6</v>
      </c>
      <c r="H215" s="45">
        <f>H216+H217</f>
        <v>0</v>
      </c>
      <c r="I215" s="45">
        <f t="shared" si="32"/>
        <v>3933.6</v>
      </c>
      <c r="J215" s="46">
        <f t="shared" si="32"/>
        <v>0</v>
      </c>
      <c r="K215" s="45">
        <f>K216+K217</f>
        <v>0</v>
      </c>
      <c r="L215" s="46">
        <f t="shared" si="32"/>
        <v>0</v>
      </c>
      <c r="M215" s="45">
        <f t="shared" si="32"/>
        <v>3933.6</v>
      </c>
      <c r="N215" s="45">
        <f t="shared" si="32"/>
        <v>0</v>
      </c>
      <c r="O215" s="45">
        <f t="shared" si="32"/>
        <v>3933.6</v>
      </c>
    </row>
    <row r="216" spans="1:16" ht="31.5" x14ac:dyDescent="0.2">
      <c r="A216" s="40"/>
      <c r="B216" s="41" t="s">
        <v>134</v>
      </c>
      <c r="C216" s="42" t="s">
        <v>51</v>
      </c>
      <c r="D216" s="43" t="s">
        <v>262</v>
      </c>
      <c r="E216" s="43" t="s">
        <v>294</v>
      </c>
      <c r="F216" s="44" t="s">
        <v>11</v>
      </c>
      <c r="G216" s="45">
        <f>G217+G218</f>
        <v>3933.6</v>
      </c>
      <c r="H216" s="45"/>
      <c r="I216" s="45">
        <f>I217+I218</f>
        <v>3933.6</v>
      </c>
      <c r="J216" s="46">
        <f>J217+J218</f>
        <v>0</v>
      </c>
      <c r="K216" s="45"/>
      <c r="L216" s="46">
        <f>L217+L218</f>
        <v>0</v>
      </c>
      <c r="M216" s="45">
        <f>M217+M218</f>
        <v>3933.6</v>
      </c>
      <c r="N216" s="45">
        <f>N217+N218</f>
        <v>0</v>
      </c>
      <c r="O216" s="45">
        <f>O217+O218</f>
        <v>3933.6</v>
      </c>
    </row>
    <row r="217" spans="1:16" ht="78.75" x14ac:dyDescent="0.2">
      <c r="A217" s="40"/>
      <c r="B217" s="41" t="s">
        <v>61</v>
      </c>
      <c r="C217" s="42" t="s">
        <v>51</v>
      </c>
      <c r="D217" s="43" t="s">
        <v>262</v>
      </c>
      <c r="E217" s="43" t="s">
        <v>294</v>
      </c>
      <c r="F217" s="44" t="s">
        <v>62</v>
      </c>
      <c r="G217" s="45">
        <v>3788.1</v>
      </c>
      <c r="H217" s="45"/>
      <c r="I217" s="45">
        <v>3788.1</v>
      </c>
      <c r="J217" s="47">
        <v>0</v>
      </c>
      <c r="K217" s="45"/>
      <c r="L217" s="47">
        <v>0</v>
      </c>
      <c r="M217" s="45">
        <v>3788.1</v>
      </c>
      <c r="N217" s="45"/>
      <c r="O217" s="45">
        <v>3788.1</v>
      </c>
    </row>
    <row r="218" spans="1:16" ht="31.5" x14ac:dyDescent="0.2">
      <c r="A218" s="40"/>
      <c r="B218" s="41" t="s">
        <v>40</v>
      </c>
      <c r="C218" s="42" t="s">
        <v>51</v>
      </c>
      <c r="D218" s="43" t="s">
        <v>262</v>
      </c>
      <c r="E218" s="43" t="s">
        <v>294</v>
      </c>
      <c r="F218" s="44" t="s">
        <v>41</v>
      </c>
      <c r="G218" s="45">
        <v>145.5</v>
      </c>
      <c r="H218" s="45"/>
      <c r="I218" s="45">
        <v>145.5</v>
      </c>
      <c r="J218" s="47">
        <v>0</v>
      </c>
      <c r="K218" s="45"/>
      <c r="L218" s="47">
        <v>0</v>
      </c>
      <c r="M218" s="45">
        <v>145.5</v>
      </c>
      <c r="N218" s="45"/>
      <c r="O218" s="45">
        <v>145.5</v>
      </c>
    </row>
    <row r="219" spans="1:16" ht="63" x14ac:dyDescent="0.2">
      <c r="A219" s="40"/>
      <c r="B219" s="41" t="s">
        <v>295</v>
      </c>
      <c r="C219" s="42" t="s">
        <v>51</v>
      </c>
      <c r="D219" s="43" t="s">
        <v>262</v>
      </c>
      <c r="E219" s="43" t="s">
        <v>296</v>
      </c>
      <c r="F219" s="44" t="s">
        <v>11</v>
      </c>
      <c r="G219" s="45">
        <f t="shared" ref="G219:O221" si="33">G220</f>
        <v>200</v>
      </c>
      <c r="H219" s="45">
        <f t="shared" si="33"/>
        <v>0</v>
      </c>
      <c r="I219" s="45">
        <f t="shared" si="33"/>
        <v>200</v>
      </c>
      <c r="J219" s="46">
        <f t="shared" si="33"/>
        <v>0</v>
      </c>
      <c r="K219" s="45">
        <f>K220</f>
        <v>0</v>
      </c>
      <c r="L219" s="46">
        <f t="shared" si="33"/>
        <v>0</v>
      </c>
      <c r="M219" s="45">
        <f t="shared" si="33"/>
        <v>200</v>
      </c>
      <c r="N219" s="45">
        <f t="shared" si="33"/>
        <v>0</v>
      </c>
      <c r="O219" s="45">
        <f t="shared" si="33"/>
        <v>200</v>
      </c>
    </row>
    <row r="220" spans="1:16" ht="47.25" x14ac:dyDescent="0.2">
      <c r="A220" s="40"/>
      <c r="B220" s="41" t="s">
        <v>297</v>
      </c>
      <c r="C220" s="42" t="s">
        <v>51</v>
      </c>
      <c r="D220" s="43" t="s">
        <v>262</v>
      </c>
      <c r="E220" s="43" t="s">
        <v>298</v>
      </c>
      <c r="F220" s="44" t="s">
        <v>11</v>
      </c>
      <c r="G220" s="45">
        <f t="shared" si="33"/>
        <v>200</v>
      </c>
      <c r="H220" s="45">
        <f t="shared" si="33"/>
        <v>0</v>
      </c>
      <c r="I220" s="45">
        <f t="shared" si="33"/>
        <v>200</v>
      </c>
      <c r="J220" s="46">
        <f t="shared" si="33"/>
        <v>0</v>
      </c>
      <c r="K220" s="45">
        <f>K221</f>
        <v>0</v>
      </c>
      <c r="L220" s="46">
        <f t="shared" si="33"/>
        <v>0</v>
      </c>
      <c r="M220" s="45">
        <f t="shared" si="33"/>
        <v>200</v>
      </c>
      <c r="N220" s="45">
        <f t="shared" si="33"/>
        <v>0</v>
      </c>
      <c r="O220" s="45">
        <f t="shared" si="33"/>
        <v>200</v>
      </c>
    </row>
    <row r="221" spans="1:16" ht="31.5" x14ac:dyDescent="0.2">
      <c r="A221" s="40"/>
      <c r="B221" s="41" t="s">
        <v>299</v>
      </c>
      <c r="C221" s="42" t="s">
        <v>51</v>
      </c>
      <c r="D221" s="43" t="s">
        <v>262</v>
      </c>
      <c r="E221" s="43" t="s">
        <v>300</v>
      </c>
      <c r="F221" s="44" t="s">
        <v>11</v>
      </c>
      <c r="G221" s="45">
        <f>G222</f>
        <v>200</v>
      </c>
      <c r="H221" s="45"/>
      <c r="I221" s="45">
        <f>I222</f>
        <v>200</v>
      </c>
      <c r="J221" s="46">
        <f t="shared" si="33"/>
        <v>0</v>
      </c>
      <c r="K221" s="45"/>
      <c r="L221" s="46">
        <f t="shared" si="33"/>
        <v>0</v>
      </c>
      <c r="M221" s="45">
        <f t="shared" si="33"/>
        <v>200</v>
      </c>
      <c r="N221" s="45">
        <f t="shared" si="33"/>
        <v>0</v>
      </c>
      <c r="O221" s="45">
        <f t="shared" si="33"/>
        <v>200</v>
      </c>
    </row>
    <row r="222" spans="1:16" ht="31.5" x14ac:dyDescent="0.2">
      <c r="A222" s="40"/>
      <c r="B222" s="41" t="s">
        <v>40</v>
      </c>
      <c r="C222" s="42" t="s">
        <v>51</v>
      </c>
      <c r="D222" s="43" t="s">
        <v>262</v>
      </c>
      <c r="E222" s="43" t="s">
        <v>300</v>
      </c>
      <c r="F222" s="44" t="s">
        <v>41</v>
      </c>
      <c r="G222" s="45">
        <v>200</v>
      </c>
      <c r="H222" s="25"/>
      <c r="I222" s="45">
        <v>200</v>
      </c>
      <c r="J222" s="47"/>
      <c r="K222" s="25"/>
      <c r="L222" s="47"/>
      <c r="M222" s="45">
        <v>200</v>
      </c>
      <c r="N222" s="45"/>
      <c r="O222" s="45">
        <v>200</v>
      </c>
    </row>
    <row r="223" spans="1:16" ht="15.75" x14ac:dyDescent="0.2">
      <c r="A223" s="20" t="s">
        <v>301</v>
      </c>
      <c r="B223" s="21" t="s">
        <v>302</v>
      </c>
      <c r="C223" s="42" t="s">
        <v>51</v>
      </c>
      <c r="D223" s="43" t="s">
        <v>303</v>
      </c>
      <c r="E223" s="43" t="s">
        <v>11</v>
      </c>
      <c r="F223" s="44" t="s">
        <v>11</v>
      </c>
      <c r="G223" s="25">
        <f>G224+G236+G267+G305</f>
        <v>174453.4</v>
      </c>
      <c r="H223" s="38">
        <f>H224+H236+H305+H267</f>
        <v>56213.3</v>
      </c>
      <c r="I223" s="25">
        <f>I224+I236+I267+I305</f>
        <v>230666.69999999998</v>
      </c>
      <c r="J223" s="26">
        <f>J224+J236+J267+J305</f>
        <v>2372009.3000000003</v>
      </c>
      <c r="K223" s="38">
        <f>K224+K236+K267</f>
        <v>1604.5</v>
      </c>
      <c r="L223" s="26">
        <f>L224+L236+L267+L305</f>
        <v>2420959.3000000003</v>
      </c>
      <c r="M223" s="25">
        <f>M224+M236+M267+M305</f>
        <v>2546462.7000000002</v>
      </c>
      <c r="N223" s="25">
        <f>N224+N236+N267+N305</f>
        <v>105163.3</v>
      </c>
      <c r="O223" s="25">
        <f>O224+O236+O267+O305</f>
        <v>2651626</v>
      </c>
      <c r="P223" s="17"/>
    </row>
    <row r="224" spans="1:16" ht="15.75" x14ac:dyDescent="0.2">
      <c r="A224" s="33" t="s">
        <v>304</v>
      </c>
      <c r="B224" s="34" t="s">
        <v>305</v>
      </c>
      <c r="C224" s="42" t="s">
        <v>51</v>
      </c>
      <c r="D224" s="43" t="s">
        <v>306</v>
      </c>
      <c r="E224" s="57" t="s">
        <v>231</v>
      </c>
      <c r="F224" s="44" t="s">
        <v>11</v>
      </c>
      <c r="G224" s="38">
        <f>G229</f>
        <v>4743.5</v>
      </c>
      <c r="H224" s="45">
        <f>H229+H225</f>
        <v>3699</v>
      </c>
      <c r="I224" s="38">
        <f>I229+I225</f>
        <v>8442.5</v>
      </c>
      <c r="J224" s="39">
        <f>J229</f>
        <v>0</v>
      </c>
      <c r="K224" s="45">
        <f>K229</f>
        <v>0</v>
      </c>
      <c r="L224" s="39">
        <f>L229</f>
        <v>0</v>
      </c>
      <c r="M224" s="38">
        <f>M229</f>
        <v>4743.5</v>
      </c>
      <c r="N224" s="45">
        <f>N229+N225</f>
        <v>3699</v>
      </c>
      <c r="O224" s="38">
        <f>O229+O225</f>
        <v>8442.5</v>
      </c>
    </row>
    <row r="225" spans="1:16" ht="31.5" x14ac:dyDescent="0.2">
      <c r="A225" s="33"/>
      <c r="B225" s="34" t="s">
        <v>307</v>
      </c>
      <c r="C225" s="42">
        <v>992</v>
      </c>
      <c r="D225" s="43" t="s">
        <v>306</v>
      </c>
      <c r="E225" s="57" t="s">
        <v>308</v>
      </c>
      <c r="F225" s="44"/>
      <c r="G225" s="38"/>
      <c r="H225" s="45">
        <f>SUM(H226)</f>
        <v>1070</v>
      </c>
      <c r="I225" s="38">
        <f>SUM(H225)</f>
        <v>1070</v>
      </c>
      <c r="J225" s="39"/>
      <c r="K225" s="45"/>
      <c r="L225" s="39"/>
      <c r="M225" s="38"/>
      <c r="N225" s="38">
        <f t="shared" ref="N225:O227" si="34">SUM(H225)</f>
        <v>1070</v>
      </c>
      <c r="O225" s="38">
        <f t="shared" si="34"/>
        <v>1070</v>
      </c>
    </row>
    <row r="226" spans="1:16" ht="31.5" x14ac:dyDescent="0.2">
      <c r="A226" s="33"/>
      <c r="B226" s="56" t="s">
        <v>309</v>
      </c>
      <c r="C226" s="42">
        <v>992</v>
      </c>
      <c r="D226" s="43" t="s">
        <v>306</v>
      </c>
      <c r="E226" s="57" t="s">
        <v>310</v>
      </c>
      <c r="F226" s="44"/>
      <c r="G226" s="38"/>
      <c r="H226" s="45">
        <f>SUM(H227)</f>
        <v>1070</v>
      </c>
      <c r="I226" s="38">
        <f>SUM(H226)</f>
        <v>1070</v>
      </c>
      <c r="J226" s="39"/>
      <c r="K226" s="45"/>
      <c r="L226" s="39"/>
      <c r="M226" s="38"/>
      <c r="N226" s="38">
        <f t="shared" si="34"/>
        <v>1070</v>
      </c>
      <c r="O226" s="38">
        <f t="shared" si="34"/>
        <v>1070</v>
      </c>
    </row>
    <row r="227" spans="1:16" ht="30" customHeight="1" x14ac:dyDescent="0.2">
      <c r="A227" s="33"/>
      <c r="B227" s="41" t="s">
        <v>225</v>
      </c>
      <c r="C227" s="42">
        <v>992</v>
      </c>
      <c r="D227" s="43" t="s">
        <v>306</v>
      </c>
      <c r="E227" s="57" t="s">
        <v>308</v>
      </c>
      <c r="F227" s="44">
        <v>400</v>
      </c>
      <c r="G227" s="38"/>
      <c r="H227" s="45">
        <v>1070</v>
      </c>
      <c r="I227" s="38">
        <f>SUM(H227)</f>
        <v>1070</v>
      </c>
      <c r="J227" s="39"/>
      <c r="K227" s="45"/>
      <c r="L227" s="39"/>
      <c r="M227" s="38"/>
      <c r="N227" s="38">
        <f t="shared" si="34"/>
        <v>1070</v>
      </c>
      <c r="O227" s="38">
        <f t="shared" si="34"/>
        <v>1070</v>
      </c>
    </row>
    <row r="228" spans="1:16" ht="15.75" hidden="1" x14ac:dyDescent="0.2">
      <c r="A228" s="33"/>
      <c r="B228" s="34"/>
      <c r="C228" s="35"/>
      <c r="D228" s="36"/>
      <c r="E228" s="36"/>
      <c r="F228" s="37"/>
      <c r="G228" s="38"/>
      <c r="H228" s="45"/>
      <c r="I228" s="38"/>
      <c r="J228" s="39"/>
      <c r="K228" s="45"/>
      <c r="L228" s="39"/>
      <c r="M228" s="38"/>
      <c r="N228" s="38"/>
      <c r="O228" s="38"/>
    </row>
    <row r="229" spans="1:16" ht="31.5" x14ac:dyDescent="0.2">
      <c r="A229" s="40"/>
      <c r="B229" s="41" t="s">
        <v>245</v>
      </c>
      <c r="C229" s="42" t="s">
        <v>51</v>
      </c>
      <c r="D229" s="43" t="s">
        <v>306</v>
      </c>
      <c r="E229" s="43" t="s">
        <v>246</v>
      </c>
      <c r="F229" s="44" t="s">
        <v>11</v>
      </c>
      <c r="G229" s="45">
        <f>G230</f>
        <v>4743.5</v>
      </c>
      <c r="H229" s="45">
        <f>H230</f>
        <v>2629</v>
      </c>
      <c r="I229" s="45">
        <f>I230</f>
        <v>7372.5</v>
      </c>
      <c r="J229" s="46">
        <f t="shared" ref="J229:O230" si="35">J230</f>
        <v>0</v>
      </c>
      <c r="K229" s="45">
        <f>K230</f>
        <v>0</v>
      </c>
      <c r="L229" s="46">
        <f t="shared" si="35"/>
        <v>0</v>
      </c>
      <c r="M229" s="45">
        <f t="shared" si="35"/>
        <v>4743.5</v>
      </c>
      <c r="N229" s="45">
        <f t="shared" si="35"/>
        <v>2629</v>
      </c>
      <c r="O229" s="45">
        <f t="shared" si="35"/>
        <v>7372.5</v>
      </c>
    </row>
    <row r="230" spans="1:16" ht="31.5" x14ac:dyDescent="0.2">
      <c r="A230" s="40"/>
      <c r="B230" s="41" t="s">
        <v>311</v>
      </c>
      <c r="C230" s="42" t="s">
        <v>51</v>
      </c>
      <c r="D230" s="43" t="s">
        <v>306</v>
      </c>
      <c r="E230" s="43" t="s">
        <v>312</v>
      </c>
      <c r="F230" s="44" t="s">
        <v>11</v>
      </c>
      <c r="G230" s="45">
        <f>G231</f>
        <v>4743.5</v>
      </c>
      <c r="H230" s="45">
        <f>H231+H233</f>
        <v>2629</v>
      </c>
      <c r="I230" s="45">
        <f>I231</f>
        <v>7372.5</v>
      </c>
      <c r="J230" s="46">
        <f t="shared" si="35"/>
        <v>0</v>
      </c>
      <c r="K230" s="45">
        <f>K231+K233</f>
        <v>0</v>
      </c>
      <c r="L230" s="46">
        <f t="shared" si="35"/>
        <v>0</v>
      </c>
      <c r="M230" s="45">
        <f t="shared" si="35"/>
        <v>4743.5</v>
      </c>
      <c r="N230" s="45">
        <f t="shared" si="35"/>
        <v>2629</v>
      </c>
      <c r="O230" s="45">
        <f t="shared" si="35"/>
        <v>7372.5</v>
      </c>
    </row>
    <row r="231" spans="1:16" ht="31.5" x14ac:dyDescent="0.2">
      <c r="A231" s="40"/>
      <c r="B231" s="41" t="s">
        <v>313</v>
      </c>
      <c r="C231" s="42" t="s">
        <v>51</v>
      </c>
      <c r="D231" s="43" t="s">
        <v>306</v>
      </c>
      <c r="E231" s="43" t="s">
        <v>314</v>
      </c>
      <c r="F231" s="44" t="s">
        <v>11</v>
      </c>
      <c r="G231" s="45">
        <f>G232+G234</f>
        <v>4743.5</v>
      </c>
      <c r="H231" s="45">
        <f>H232+H234</f>
        <v>2629</v>
      </c>
      <c r="I231" s="45">
        <f>I232+I234</f>
        <v>7372.5</v>
      </c>
      <c r="J231" s="46">
        <f>J232+J234</f>
        <v>0</v>
      </c>
      <c r="K231" s="45">
        <f>K232</f>
        <v>0</v>
      </c>
      <c r="L231" s="46">
        <f>L232+L234</f>
        <v>0</v>
      </c>
      <c r="M231" s="45">
        <f>M232+M234</f>
        <v>4743.5</v>
      </c>
      <c r="N231" s="45">
        <f>N232+N234</f>
        <v>2629</v>
      </c>
      <c r="O231" s="45">
        <f>O232+O234</f>
        <v>7372.5</v>
      </c>
    </row>
    <row r="232" spans="1:16" ht="47.25" x14ac:dyDescent="0.2">
      <c r="A232" s="40"/>
      <c r="B232" s="41" t="s">
        <v>315</v>
      </c>
      <c r="C232" s="42" t="s">
        <v>51</v>
      </c>
      <c r="D232" s="43" t="s">
        <v>306</v>
      </c>
      <c r="E232" s="43" t="s">
        <v>316</v>
      </c>
      <c r="F232" s="44" t="s">
        <v>11</v>
      </c>
      <c r="G232" s="45">
        <f>G233</f>
        <v>2400</v>
      </c>
      <c r="H232" s="45"/>
      <c r="I232" s="45">
        <f>I233</f>
        <v>2400</v>
      </c>
      <c r="J232" s="46">
        <f>J233</f>
        <v>0</v>
      </c>
      <c r="K232" s="45"/>
      <c r="L232" s="46">
        <f>L233</f>
        <v>0</v>
      </c>
      <c r="M232" s="45">
        <f>M233</f>
        <v>2400</v>
      </c>
      <c r="N232" s="45">
        <f>N233</f>
        <v>0</v>
      </c>
      <c r="O232" s="45">
        <f>O233</f>
        <v>2400</v>
      </c>
    </row>
    <row r="233" spans="1:16" ht="31.5" x14ac:dyDescent="0.2">
      <c r="A233" s="40"/>
      <c r="B233" s="41" t="s">
        <v>40</v>
      </c>
      <c r="C233" s="42" t="s">
        <v>51</v>
      </c>
      <c r="D233" s="43" t="s">
        <v>306</v>
      </c>
      <c r="E233" s="43" t="s">
        <v>316</v>
      </c>
      <c r="F233" s="44" t="s">
        <v>41</v>
      </c>
      <c r="G233" s="45">
        <v>2400</v>
      </c>
      <c r="H233" s="45"/>
      <c r="I233" s="45">
        <v>2400</v>
      </c>
      <c r="J233" s="47"/>
      <c r="K233" s="45"/>
      <c r="L233" s="47"/>
      <c r="M233" s="45">
        <v>2400</v>
      </c>
      <c r="N233" s="45"/>
      <c r="O233" s="45">
        <v>2400</v>
      </c>
    </row>
    <row r="234" spans="1:16" ht="47.25" x14ac:dyDescent="0.2">
      <c r="A234" s="40"/>
      <c r="B234" s="41" t="s">
        <v>317</v>
      </c>
      <c r="C234" s="42" t="s">
        <v>51</v>
      </c>
      <c r="D234" s="43" t="s">
        <v>306</v>
      </c>
      <c r="E234" s="43" t="s">
        <v>318</v>
      </c>
      <c r="F234" s="44" t="s">
        <v>11</v>
      </c>
      <c r="G234" s="45">
        <f>G235</f>
        <v>2343.5</v>
      </c>
      <c r="H234" s="45">
        <f>H235</f>
        <v>2629</v>
      </c>
      <c r="I234" s="45">
        <f>I235</f>
        <v>4972.5</v>
      </c>
      <c r="J234" s="46">
        <f>J235</f>
        <v>0</v>
      </c>
      <c r="K234" s="48"/>
      <c r="L234" s="46">
        <f>L235</f>
        <v>0</v>
      </c>
      <c r="M234" s="45">
        <f>M235</f>
        <v>2343.5</v>
      </c>
      <c r="N234" s="45">
        <f>N235</f>
        <v>2629</v>
      </c>
      <c r="O234" s="45">
        <f>O235</f>
        <v>4972.5</v>
      </c>
    </row>
    <row r="235" spans="1:16" ht="31.5" x14ac:dyDescent="0.2">
      <c r="A235" s="40"/>
      <c r="B235" s="41" t="s">
        <v>40</v>
      </c>
      <c r="C235" s="42" t="s">
        <v>51</v>
      </c>
      <c r="D235" s="43" t="s">
        <v>306</v>
      </c>
      <c r="E235" s="43" t="s">
        <v>318</v>
      </c>
      <c r="F235" s="44" t="s">
        <v>41</v>
      </c>
      <c r="G235" s="48">
        <f>2843.5-500</f>
        <v>2343.5</v>
      </c>
      <c r="H235" s="66">
        <f>1449+1180</f>
        <v>2629</v>
      </c>
      <c r="I235" s="48">
        <f>2843.5-500+H235</f>
        <v>4972.5</v>
      </c>
      <c r="J235" s="47"/>
      <c r="K235" s="38"/>
      <c r="L235" s="47"/>
      <c r="M235" s="48">
        <f>2843.5-500</f>
        <v>2343.5</v>
      </c>
      <c r="N235" s="48">
        <f>SUM(H235)</f>
        <v>2629</v>
      </c>
      <c r="O235" s="48">
        <f>2843.5-500+N235</f>
        <v>4972.5</v>
      </c>
    </row>
    <row r="236" spans="1:16" ht="15.75" x14ac:dyDescent="0.2">
      <c r="A236" s="33" t="s">
        <v>319</v>
      </c>
      <c r="B236" s="34" t="s">
        <v>320</v>
      </c>
      <c r="C236" s="35" t="s">
        <v>51</v>
      </c>
      <c r="D236" s="36" t="s">
        <v>321</v>
      </c>
      <c r="E236" s="36" t="s">
        <v>11</v>
      </c>
      <c r="F236" s="37" t="s">
        <v>11</v>
      </c>
      <c r="G236" s="38">
        <f>G237+G252</f>
        <v>29351.5</v>
      </c>
      <c r="H236" s="45">
        <f>H237+H252</f>
        <v>16599</v>
      </c>
      <c r="I236" s="38">
        <f>I237+I252</f>
        <v>45950.5</v>
      </c>
      <c r="J236" s="39">
        <f>J237+J252</f>
        <v>2372009.3000000003</v>
      </c>
      <c r="K236" s="45">
        <f t="shared" ref="G236:O238" si="36">K237</f>
        <v>1529.5</v>
      </c>
      <c r="L236" s="39">
        <f>L237+L252</f>
        <v>2420884.3000000003</v>
      </c>
      <c r="M236" s="38">
        <f>M237+M252</f>
        <v>2401360.8000000003</v>
      </c>
      <c r="N236" s="45">
        <f>N237+N252</f>
        <v>65474</v>
      </c>
      <c r="O236" s="38">
        <f>O237+O252</f>
        <v>2466834.8000000003</v>
      </c>
      <c r="P236" s="15"/>
    </row>
    <row r="237" spans="1:16" ht="31.5" x14ac:dyDescent="0.2">
      <c r="A237" s="40"/>
      <c r="B237" s="41" t="s">
        <v>245</v>
      </c>
      <c r="C237" s="42" t="s">
        <v>51</v>
      </c>
      <c r="D237" s="43" t="s">
        <v>321</v>
      </c>
      <c r="E237" s="43" t="s">
        <v>246</v>
      </c>
      <c r="F237" s="44" t="s">
        <v>11</v>
      </c>
      <c r="G237" s="45">
        <f t="shared" si="36"/>
        <v>14186.4</v>
      </c>
      <c r="H237" s="45">
        <f>H238+H249</f>
        <v>2113.4</v>
      </c>
      <c r="I237" s="45">
        <f>I238+I249</f>
        <v>16299.8</v>
      </c>
      <c r="J237" s="46">
        <f t="shared" si="36"/>
        <v>2299964.3000000003</v>
      </c>
      <c r="K237" s="45">
        <f t="shared" si="36"/>
        <v>1529.5</v>
      </c>
      <c r="L237" s="46">
        <f t="shared" si="36"/>
        <v>2301493.8000000003</v>
      </c>
      <c r="M237" s="45">
        <f t="shared" si="36"/>
        <v>2314150.7000000002</v>
      </c>
      <c r="N237" s="45">
        <f>SUM(N249)+N238</f>
        <v>3642.9</v>
      </c>
      <c r="O237" s="45">
        <f>O238+O249</f>
        <v>2317793.6</v>
      </c>
      <c r="P237" s="16"/>
    </row>
    <row r="238" spans="1:16" ht="31.5" x14ac:dyDescent="0.2">
      <c r="A238" s="40"/>
      <c r="B238" s="41" t="s">
        <v>322</v>
      </c>
      <c r="C238" s="42" t="s">
        <v>51</v>
      </c>
      <c r="D238" s="43" t="s">
        <v>321</v>
      </c>
      <c r="E238" s="43" t="s">
        <v>323</v>
      </c>
      <c r="F238" s="44" t="s">
        <v>11</v>
      </c>
      <c r="G238" s="45">
        <f t="shared" si="36"/>
        <v>14186.4</v>
      </c>
      <c r="H238" s="45">
        <f>SUM(H239)</f>
        <v>606.50000000000011</v>
      </c>
      <c r="I238" s="45">
        <f t="shared" si="36"/>
        <v>14792.9</v>
      </c>
      <c r="J238" s="46">
        <f t="shared" si="36"/>
        <v>2299964.3000000003</v>
      </c>
      <c r="K238" s="45">
        <f>SUM(K239)</f>
        <v>1529.5</v>
      </c>
      <c r="L238" s="46">
        <f t="shared" si="36"/>
        <v>2301493.8000000003</v>
      </c>
      <c r="M238" s="45">
        <f t="shared" si="36"/>
        <v>2314150.7000000002</v>
      </c>
      <c r="N238" s="45">
        <f t="shared" si="36"/>
        <v>2136</v>
      </c>
      <c r="O238" s="45">
        <f t="shared" si="36"/>
        <v>2316286.7000000002</v>
      </c>
      <c r="P238" s="16"/>
    </row>
    <row r="239" spans="1:16" ht="47.25" x14ac:dyDescent="0.2">
      <c r="A239" s="40"/>
      <c r="B239" s="41" t="s">
        <v>324</v>
      </c>
      <c r="C239" s="42" t="s">
        <v>51</v>
      </c>
      <c r="D239" s="43" t="s">
        <v>321</v>
      </c>
      <c r="E239" s="43" t="s">
        <v>325</v>
      </c>
      <c r="F239" s="44" t="s">
        <v>11</v>
      </c>
      <c r="G239" s="45">
        <f>G240+G243+G245+G247</f>
        <v>14186.4</v>
      </c>
      <c r="H239" s="45">
        <f>H240+H245</f>
        <v>606.50000000000011</v>
      </c>
      <c r="I239" s="45">
        <f>I240+I243+I245+I247</f>
        <v>14792.9</v>
      </c>
      <c r="J239" s="46">
        <f>J240+J243+J245+J247</f>
        <v>2299964.3000000003</v>
      </c>
      <c r="K239" s="45">
        <f>K240</f>
        <v>1529.5</v>
      </c>
      <c r="L239" s="46">
        <f>L240+L243+L245+L247</f>
        <v>2301493.8000000003</v>
      </c>
      <c r="M239" s="45">
        <f>M240+M243+M245+M247</f>
        <v>2314150.7000000002</v>
      </c>
      <c r="N239" s="45">
        <f>N240+N243+N245+N247</f>
        <v>2136</v>
      </c>
      <c r="O239" s="45">
        <f>O240+O243+O245+O247</f>
        <v>2316286.7000000002</v>
      </c>
      <c r="P239" s="16"/>
    </row>
    <row r="240" spans="1:16" ht="15.75" x14ac:dyDescent="0.2">
      <c r="A240" s="40"/>
      <c r="B240" s="41" t="s">
        <v>326</v>
      </c>
      <c r="C240" s="42" t="s">
        <v>51</v>
      </c>
      <c r="D240" s="43" t="s">
        <v>321</v>
      </c>
      <c r="E240" s="43" t="s">
        <v>327</v>
      </c>
      <c r="F240" s="44" t="s">
        <v>11</v>
      </c>
      <c r="G240" s="45">
        <f>G241</f>
        <v>1530</v>
      </c>
      <c r="H240" s="45">
        <f>SUM(H241)+H242</f>
        <v>220.40000000000009</v>
      </c>
      <c r="I240" s="45">
        <f>I241+I242</f>
        <v>1750.4</v>
      </c>
      <c r="J240" s="46">
        <f>J241</f>
        <v>0</v>
      </c>
      <c r="K240" s="45">
        <f>SUM(K241)</f>
        <v>1529.5</v>
      </c>
      <c r="L240" s="46">
        <f>L241</f>
        <v>1529.5</v>
      </c>
      <c r="M240" s="45">
        <f>M241</f>
        <v>1530</v>
      </c>
      <c r="N240" s="45">
        <f>N241+N242</f>
        <v>1749.9</v>
      </c>
      <c r="O240" s="45">
        <f>O241+O242</f>
        <v>3279.9</v>
      </c>
    </row>
    <row r="241" spans="1:16" ht="31.5" x14ac:dyDescent="0.2">
      <c r="A241" s="40"/>
      <c r="B241" s="41" t="s">
        <v>40</v>
      </c>
      <c r="C241" s="42" t="s">
        <v>51</v>
      </c>
      <c r="D241" s="43" t="s">
        <v>321</v>
      </c>
      <c r="E241" s="43" t="s">
        <v>327</v>
      </c>
      <c r="F241" s="44" t="s">
        <v>41</v>
      </c>
      <c r="G241" s="45">
        <v>1530</v>
      </c>
      <c r="H241" s="45">
        <f>-1530</f>
        <v>-1530</v>
      </c>
      <c r="I241" s="45">
        <f>1530+H241</f>
        <v>0</v>
      </c>
      <c r="J241" s="47">
        <v>0</v>
      </c>
      <c r="K241" s="45">
        <v>1529.5</v>
      </c>
      <c r="L241" s="45">
        <f>SUM(K241)</f>
        <v>1529.5</v>
      </c>
      <c r="M241" s="45">
        <v>1530</v>
      </c>
      <c r="N241" s="45">
        <f>SUM(H241+K241)</f>
        <v>-0.5</v>
      </c>
      <c r="O241" s="45">
        <f>1530+N241</f>
        <v>1529.5</v>
      </c>
    </row>
    <row r="242" spans="1:16" ht="31.5" x14ac:dyDescent="0.2">
      <c r="A242" s="40"/>
      <c r="B242" s="41" t="s">
        <v>225</v>
      </c>
      <c r="C242" s="42">
        <v>992</v>
      </c>
      <c r="D242" s="43" t="s">
        <v>321</v>
      </c>
      <c r="E242" s="43" t="s">
        <v>327</v>
      </c>
      <c r="F242" s="44">
        <v>400</v>
      </c>
      <c r="G242" s="45"/>
      <c r="H242" s="45">
        <v>1750.4</v>
      </c>
      <c r="I242" s="45">
        <f>SUM(H242)</f>
        <v>1750.4</v>
      </c>
      <c r="J242" s="47"/>
      <c r="K242" s="45"/>
      <c r="L242" s="70"/>
      <c r="M242" s="45"/>
      <c r="N242" s="45">
        <f>SUM(H242)</f>
        <v>1750.4</v>
      </c>
      <c r="O242" s="45">
        <f>SUM(N242)</f>
        <v>1750.4</v>
      </c>
    </row>
    <row r="243" spans="1:16" ht="31.5" x14ac:dyDescent="0.2">
      <c r="A243" s="40"/>
      <c r="B243" s="41" t="s">
        <v>328</v>
      </c>
      <c r="C243" s="42" t="s">
        <v>51</v>
      </c>
      <c r="D243" s="43" t="s">
        <v>321</v>
      </c>
      <c r="E243" s="43" t="s">
        <v>329</v>
      </c>
      <c r="F243" s="44" t="s">
        <v>11</v>
      </c>
      <c r="G243" s="45">
        <f>G244</f>
        <v>11457.5</v>
      </c>
      <c r="H243" s="45"/>
      <c r="I243" s="45">
        <f>I244</f>
        <v>11457.5</v>
      </c>
      <c r="J243" s="46">
        <f>J244</f>
        <v>2280029.1</v>
      </c>
      <c r="K243" s="45"/>
      <c r="L243" s="46">
        <f>L244</f>
        <v>2280029.1</v>
      </c>
      <c r="M243" s="45">
        <f>M244</f>
        <v>2291486.6</v>
      </c>
      <c r="N243" s="45">
        <f>N244</f>
        <v>0</v>
      </c>
      <c r="O243" s="45">
        <f>O244</f>
        <v>2291486.6</v>
      </c>
    </row>
    <row r="244" spans="1:16" ht="31.5" x14ac:dyDescent="0.2">
      <c r="A244" s="40"/>
      <c r="B244" s="41" t="s">
        <v>225</v>
      </c>
      <c r="C244" s="42" t="s">
        <v>51</v>
      </c>
      <c r="D244" s="43" t="s">
        <v>321</v>
      </c>
      <c r="E244" s="43" t="s">
        <v>329</v>
      </c>
      <c r="F244" s="44" t="s">
        <v>226</v>
      </c>
      <c r="G244" s="45">
        <v>11457.5</v>
      </c>
      <c r="H244" s="45"/>
      <c r="I244" s="45">
        <v>11457.5</v>
      </c>
      <c r="J244" s="47">
        <v>2280029.1</v>
      </c>
      <c r="K244" s="45"/>
      <c r="L244" s="47">
        <v>2280029.1</v>
      </c>
      <c r="M244" s="45">
        <f>11457.5+J244</f>
        <v>2291486.6</v>
      </c>
      <c r="N244" s="45"/>
      <c r="O244" s="45">
        <f>11457.5+L244</f>
        <v>2291486.6</v>
      </c>
    </row>
    <row r="245" spans="1:16" ht="15.75" x14ac:dyDescent="0.2">
      <c r="A245" s="40"/>
      <c r="B245" s="41" t="s">
        <v>330</v>
      </c>
      <c r="C245" s="42" t="s">
        <v>51</v>
      </c>
      <c r="D245" s="43" t="s">
        <v>321</v>
      </c>
      <c r="E245" s="43" t="s">
        <v>331</v>
      </c>
      <c r="F245" s="44" t="s">
        <v>11</v>
      </c>
      <c r="G245" s="45">
        <f>G246</f>
        <v>0</v>
      </c>
      <c r="H245" s="45">
        <f>SUM(H246)</f>
        <v>386.1</v>
      </c>
      <c r="I245" s="45">
        <f>I246</f>
        <v>386.1</v>
      </c>
      <c r="J245" s="46">
        <f>J246</f>
        <v>7335.5</v>
      </c>
      <c r="K245" s="45">
        <v>0</v>
      </c>
      <c r="L245" s="46">
        <f>L246</f>
        <v>7335.5</v>
      </c>
      <c r="M245" s="45">
        <f>M246</f>
        <v>7335.5</v>
      </c>
      <c r="N245" s="45">
        <f>N246</f>
        <v>386.1</v>
      </c>
      <c r="O245" s="45">
        <f>O246</f>
        <v>7721.6</v>
      </c>
    </row>
    <row r="246" spans="1:16" ht="31.5" x14ac:dyDescent="0.2">
      <c r="A246" s="40"/>
      <c r="B246" s="41" t="s">
        <v>225</v>
      </c>
      <c r="C246" s="42" t="s">
        <v>51</v>
      </c>
      <c r="D246" s="43" t="s">
        <v>321</v>
      </c>
      <c r="E246" s="43" t="s">
        <v>331</v>
      </c>
      <c r="F246" s="44" t="s">
        <v>226</v>
      </c>
      <c r="G246" s="45">
        <v>0</v>
      </c>
      <c r="H246" s="45">
        <v>386.1</v>
      </c>
      <c r="I246" s="45">
        <f>SUM(H246)</f>
        <v>386.1</v>
      </c>
      <c r="J246" s="47">
        <f>14200-6864.5</f>
        <v>7335.5</v>
      </c>
      <c r="K246" s="45"/>
      <c r="L246" s="47">
        <f>14200-6864.5</f>
        <v>7335.5</v>
      </c>
      <c r="M246" s="45">
        <f>SUM(J246)</f>
        <v>7335.5</v>
      </c>
      <c r="N246" s="45">
        <f>SUM(H246)</f>
        <v>386.1</v>
      </c>
      <c r="O246" s="45">
        <f>SUM(L246)+N246</f>
        <v>7721.6</v>
      </c>
    </row>
    <row r="247" spans="1:16" ht="15.75" x14ac:dyDescent="0.2">
      <c r="A247" s="40"/>
      <c r="B247" s="41" t="s">
        <v>332</v>
      </c>
      <c r="C247" s="42" t="s">
        <v>51</v>
      </c>
      <c r="D247" s="43" t="s">
        <v>321</v>
      </c>
      <c r="E247" s="43" t="s">
        <v>333</v>
      </c>
      <c r="F247" s="44" t="s">
        <v>11</v>
      </c>
      <c r="G247" s="45">
        <f>G248</f>
        <v>1198.9000000000001</v>
      </c>
      <c r="H247" s="45"/>
      <c r="I247" s="45">
        <f>I248</f>
        <v>1198.9000000000001</v>
      </c>
      <c r="J247" s="46">
        <f>J248</f>
        <v>12599.699999999999</v>
      </c>
      <c r="K247" s="45"/>
      <c r="L247" s="46">
        <f>L248</f>
        <v>12599.699999999999</v>
      </c>
      <c r="M247" s="45">
        <f>M248</f>
        <v>13798.599999999999</v>
      </c>
      <c r="N247" s="45">
        <f>N248</f>
        <v>0</v>
      </c>
      <c r="O247" s="45">
        <f>O248</f>
        <v>13798.599999999999</v>
      </c>
    </row>
    <row r="248" spans="1:16" ht="31.5" x14ac:dyDescent="0.2">
      <c r="A248" s="40"/>
      <c r="B248" s="41" t="s">
        <v>225</v>
      </c>
      <c r="C248" s="42" t="s">
        <v>51</v>
      </c>
      <c r="D248" s="43" t="s">
        <v>321</v>
      </c>
      <c r="E248" s="43" t="s">
        <v>333</v>
      </c>
      <c r="F248" s="44" t="s">
        <v>226</v>
      </c>
      <c r="G248" s="45">
        <v>1198.9000000000001</v>
      </c>
      <c r="H248" s="45"/>
      <c r="I248" s="45">
        <v>1198.9000000000001</v>
      </c>
      <c r="J248" s="47">
        <f>11689.4+910.3</f>
        <v>12599.699999999999</v>
      </c>
      <c r="K248" s="45"/>
      <c r="L248" s="47">
        <f>11689.4+910.3</f>
        <v>12599.699999999999</v>
      </c>
      <c r="M248" s="45">
        <f>1198.9+J248</f>
        <v>13798.599999999999</v>
      </c>
      <c r="N248" s="45"/>
      <c r="O248" s="45">
        <f>1198.9+L248</f>
        <v>13798.599999999999</v>
      </c>
    </row>
    <row r="249" spans="1:16" ht="47.25" x14ac:dyDescent="0.2">
      <c r="A249" s="40"/>
      <c r="B249" s="65" t="s">
        <v>334</v>
      </c>
      <c r="C249" s="42">
        <v>992</v>
      </c>
      <c r="D249" s="43" t="s">
        <v>321</v>
      </c>
      <c r="E249" s="57" t="s">
        <v>335</v>
      </c>
      <c r="F249" s="44"/>
      <c r="G249" s="45"/>
      <c r="H249" s="45">
        <f>SUM(H250)</f>
        <v>1506.9</v>
      </c>
      <c r="I249" s="45">
        <f>SUM(I250)</f>
        <v>1506.9</v>
      </c>
      <c r="J249" s="47"/>
      <c r="K249" s="45"/>
      <c r="L249" s="47"/>
      <c r="M249" s="45"/>
      <c r="N249" s="45">
        <f t="shared" ref="N249:O251" si="37">SUM(H249)</f>
        <v>1506.9</v>
      </c>
      <c r="O249" s="45">
        <f t="shared" si="37"/>
        <v>1506.9</v>
      </c>
    </row>
    <row r="250" spans="1:16" ht="78.75" x14ac:dyDescent="0.2">
      <c r="A250" s="40"/>
      <c r="B250" s="64" t="s">
        <v>336</v>
      </c>
      <c r="C250" s="42">
        <v>992</v>
      </c>
      <c r="D250" s="43" t="s">
        <v>321</v>
      </c>
      <c r="E250" s="57" t="s">
        <v>337</v>
      </c>
      <c r="F250" s="44"/>
      <c r="G250" s="45"/>
      <c r="H250" s="45">
        <f>SUM(H251)</f>
        <v>1506.9</v>
      </c>
      <c r="I250" s="45">
        <f>SUM(I251)</f>
        <v>1506.9</v>
      </c>
      <c r="J250" s="47"/>
      <c r="K250" s="45"/>
      <c r="L250" s="47"/>
      <c r="M250" s="45"/>
      <c r="N250" s="45">
        <f t="shared" si="37"/>
        <v>1506.9</v>
      </c>
      <c r="O250" s="45">
        <f t="shared" si="37"/>
        <v>1506.9</v>
      </c>
    </row>
    <row r="251" spans="1:16" ht="15.75" x14ac:dyDescent="0.2">
      <c r="A251" s="40"/>
      <c r="B251" s="41" t="s">
        <v>338</v>
      </c>
      <c r="C251" s="42">
        <v>992</v>
      </c>
      <c r="D251" s="43" t="s">
        <v>321</v>
      </c>
      <c r="E251" s="57" t="s">
        <v>337</v>
      </c>
      <c r="F251" s="44">
        <v>800</v>
      </c>
      <c r="G251" s="45"/>
      <c r="H251" s="45">
        <v>1506.9</v>
      </c>
      <c r="I251" s="45">
        <f>SUM(H251)</f>
        <v>1506.9</v>
      </c>
      <c r="J251" s="47"/>
      <c r="K251" s="45"/>
      <c r="L251" s="47"/>
      <c r="M251" s="45"/>
      <c r="N251" s="45">
        <f t="shared" si="37"/>
        <v>1506.9</v>
      </c>
      <c r="O251" s="45">
        <f t="shared" si="37"/>
        <v>1506.9</v>
      </c>
    </row>
    <row r="252" spans="1:16" ht="31.5" x14ac:dyDescent="0.2">
      <c r="A252" s="40"/>
      <c r="B252" s="41" t="s">
        <v>339</v>
      </c>
      <c r="C252" s="42" t="s">
        <v>51</v>
      </c>
      <c r="D252" s="43" t="s">
        <v>321</v>
      </c>
      <c r="E252" s="43" t="s">
        <v>340</v>
      </c>
      <c r="F252" s="44" t="s">
        <v>11</v>
      </c>
      <c r="G252" s="45">
        <f>G253+G263</f>
        <v>15165.1</v>
      </c>
      <c r="H252" s="45">
        <f>H253+H260</f>
        <v>14485.599999999999</v>
      </c>
      <c r="I252" s="45">
        <f>I253+I263+I260</f>
        <v>29650.7</v>
      </c>
      <c r="J252" s="46">
        <f t="shared" ref="G252:O253" si="38">J253</f>
        <v>72045</v>
      </c>
      <c r="K252" s="45">
        <f t="shared" si="38"/>
        <v>0</v>
      </c>
      <c r="L252" s="46">
        <f t="shared" si="38"/>
        <v>119390.5</v>
      </c>
      <c r="M252" s="45">
        <f>M253+M263</f>
        <v>87210.1</v>
      </c>
      <c r="N252" s="45">
        <f>N253+N260</f>
        <v>61831.1</v>
      </c>
      <c r="O252" s="45">
        <f>O253+O263+O260</f>
        <v>149041.20000000001</v>
      </c>
      <c r="P252" s="16"/>
    </row>
    <row r="253" spans="1:16" ht="15.75" x14ac:dyDescent="0.2">
      <c r="A253" s="40"/>
      <c r="B253" s="41" t="s">
        <v>341</v>
      </c>
      <c r="C253" s="42" t="s">
        <v>51</v>
      </c>
      <c r="D253" s="43" t="s">
        <v>321</v>
      </c>
      <c r="E253" s="43" t="s">
        <v>342</v>
      </c>
      <c r="F253" s="44" t="s">
        <v>11</v>
      </c>
      <c r="G253" s="45">
        <f t="shared" si="38"/>
        <v>13201.1</v>
      </c>
      <c r="H253" s="45">
        <f>H254</f>
        <v>6383.5999999999995</v>
      </c>
      <c r="I253" s="45">
        <f t="shared" si="38"/>
        <v>19584.7</v>
      </c>
      <c r="J253" s="46">
        <f t="shared" si="38"/>
        <v>72045</v>
      </c>
      <c r="K253" s="45">
        <f>K254+K257</f>
        <v>0</v>
      </c>
      <c r="L253" s="46">
        <f t="shared" si="38"/>
        <v>119390.5</v>
      </c>
      <c r="M253" s="45">
        <f t="shared" si="38"/>
        <v>85246.1</v>
      </c>
      <c r="N253" s="45">
        <f t="shared" si="38"/>
        <v>53729.1</v>
      </c>
      <c r="O253" s="45">
        <f t="shared" si="38"/>
        <v>138975.20000000001</v>
      </c>
      <c r="P253" s="16"/>
    </row>
    <row r="254" spans="1:16" ht="47.25" x14ac:dyDescent="0.2">
      <c r="A254" s="40"/>
      <c r="B254" s="41" t="s">
        <v>343</v>
      </c>
      <c r="C254" s="42" t="s">
        <v>51</v>
      </c>
      <c r="D254" s="43" t="s">
        <v>321</v>
      </c>
      <c r="E254" s="43" t="s">
        <v>344</v>
      </c>
      <c r="F254" s="44" t="s">
        <v>11</v>
      </c>
      <c r="G254" s="45">
        <f>G255+G258</f>
        <v>13201.1</v>
      </c>
      <c r="H254" s="45">
        <f>H255</f>
        <v>6383.5999999999995</v>
      </c>
      <c r="I254" s="45">
        <f>I255+I258</f>
        <v>19584.7</v>
      </c>
      <c r="J254" s="46">
        <f>J255+J258</f>
        <v>72045</v>
      </c>
      <c r="K254" s="45">
        <f>K255+K256</f>
        <v>0</v>
      </c>
      <c r="L254" s="46">
        <f>L255+L258</f>
        <v>119390.5</v>
      </c>
      <c r="M254" s="45">
        <f>M255+M258</f>
        <v>85246.1</v>
      </c>
      <c r="N254" s="45">
        <f>N255+N258</f>
        <v>53729.1</v>
      </c>
      <c r="O254" s="45">
        <f>O255+O258</f>
        <v>138975.20000000001</v>
      </c>
      <c r="P254" s="16"/>
    </row>
    <row r="255" spans="1:16" ht="47.25" x14ac:dyDescent="0.2">
      <c r="A255" s="40"/>
      <c r="B255" s="41" t="s">
        <v>345</v>
      </c>
      <c r="C255" s="42" t="s">
        <v>51</v>
      </c>
      <c r="D255" s="43" t="s">
        <v>321</v>
      </c>
      <c r="E255" s="43" t="s">
        <v>346</v>
      </c>
      <c r="F255" s="44" t="s">
        <v>11</v>
      </c>
      <c r="G255" s="45">
        <f>G256+G257</f>
        <v>600</v>
      </c>
      <c r="H255" s="45">
        <f>SUM(H256+H257)</f>
        <v>6383.5999999999995</v>
      </c>
      <c r="I255" s="45">
        <f>I256+I257</f>
        <v>6983.5999999999995</v>
      </c>
      <c r="J255" s="46">
        <f>J256+J257</f>
        <v>0</v>
      </c>
      <c r="K255" s="45"/>
      <c r="L255" s="46">
        <f>L256+L257</f>
        <v>0</v>
      </c>
      <c r="M255" s="45">
        <f>M256+M257</f>
        <v>600</v>
      </c>
      <c r="N255" s="45">
        <f>N256+N257</f>
        <v>6383.5999999999995</v>
      </c>
      <c r="O255" s="45">
        <f>O256+O257</f>
        <v>6983.5999999999995</v>
      </c>
    </row>
    <row r="256" spans="1:16" ht="31.5" x14ac:dyDescent="0.2">
      <c r="A256" s="40"/>
      <c r="B256" s="41" t="s">
        <v>40</v>
      </c>
      <c r="C256" s="42" t="s">
        <v>51</v>
      </c>
      <c r="D256" s="43" t="s">
        <v>321</v>
      </c>
      <c r="E256" s="43" t="s">
        <v>346</v>
      </c>
      <c r="F256" s="44" t="s">
        <v>41</v>
      </c>
      <c r="G256" s="45">
        <v>600</v>
      </c>
      <c r="H256" s="60">
        <v>598</v>
      </c>
      <c r="I256" s="45">
        <f>600+H256</f>
        <v>1198</v>
      </c>
      <c r="J256" s="47">
        <v>0</v>
      </c>
      <c r="K256" s="60">
        <f>2803.6+840-1820-983.6-840</f>
        <v>0</v>
      </c>
      <c r="L256" s="47">
        <v>0</v>
      </c>
      <c r="M256" s="45">
        <v>600</v>
      </c>
      <c r="N256" s="45">
        <f>SUM(H256)</f>
        <v>598</v>
      </c>
      <c r="O256" s="45">
        <f>600+N256</f>
        <v>1198</v>
      </c>
    </row>
    <row r="257" spans="1:16" ht="31.5" x14ac:dyDescent="0.2">
      <c r="A257" s="40"/>
      <c r="B257" s="41" t="s">
        <v>225</v>
      </c>
      <c r="C257" s="42" t="s">
        <v>51</v>
      </c>
      <c r="D257" s="43" t="s">
        <v>321</v>
      </c>
      <c r="E257" s="43" t="s">
        <v>346</v>
      </c>
      <c r="F257" s="44" t="s">
        <v>226</v>
      </c>
      <c r="G257" s="60">
        <f>2803.6+840-1820-983.6-840</f>
        <v>0</v>
      </c>
      <c r="H257" s="45">
        <f>1013.4+4772.2</f>
        <v>5785.5999999999995</v>
      </c>
      <c r="I257" s="60">
        <f>SUM(H257)</f>
        <v>5785.5999999999995</v>
      </c>
      <c r="J257" s="47">
        <v>0</v>
      </c>
      <c r="K257" s="45"/>
      <c r="L257" s="47">
        <v>0</v>
      </c>
      <c r="M257" s="60">
        <f>2803.6+840-1820-983.6-840</f>
        <v>0</v>
      </c>
      <c r="N257" s="60">
        <f>SUM(H257)</f>
        <v>5785.5999999999995</v>
      </c>
      <c r="O257" s="60">
        <f>SUM(N257)</f>
        <v>5785.5999999999995</v>
      </c>
    </row>
    <row r="258" spans="1:16" ht="15.75" x14ac:dyDescent="0.2">
      <c r="A258" s="40"/>
      <c r="B258" s="41" t="s">
        <v>347</v>
      </c>
      <c r="C258" s="42" t="s">
        <v>51</v>
      </c>
      <c r="D258" s="43" t="s">
        <v>321</v>
      </c>
      <c r="E258" s="43" t="s">
        <v>348</v>
      </c>
      <c r="F258" s="44" t="s">
        <v>11</v>
      </c>
      <c r="G258" s="45">
        <f>G259</f>
        <v>12601.1</v>
      </c>
      <c r="H258" s="45"/>
      <c r="I258" s="45">
        <f>I259</f>
        <v>12601.1</v>
      </c>
      <c r="J258" s="46">
        <f>J259</f>
        <v>72045</v>
      </c>
      <c r="K258" s="45">
        <f>SUM(I258:J258)</f>
        <v>84646.1</v>
      </c>
      <c r="L258" s="46">
        <f>L259</f>
        <v>119390.5</v>
      </c>
      <c r="M258" s="45">
        <f>M259</f>
        <v>84646.1</v>
      </c>
      <c r="N258" s="45">
        <f>N259</f>
        <v>47345.5</v>
      </c>
      <c r="O258" s="45">
        <f>O259</f>
        <v>131991.6</v>
      </c>
    </row>
    <row r="259" spans="1:16" ht="31.5" x14ac:dyDescent="0.2">
      <c r="A259" s="40"/>
      <c r="B259" s="41" t="s">
        <v>225</v>
      </c>
      <c r="C259" s="42" t="s">
        <v>51</v>
      </c>
      <c r="D259" s="43" t="s">
        <v>321</v>
      </c>
      <c r="E259" s="43" t="s">
        <v>348</v>
      </c>
      <c r="F259" s="44" t="s">
        <v>226</v>
      </c>
      <c r="G259" s="45">
        <f>10781.1-840+1820+840</f>
        <v>12601.1</v>
      </c>
      <c r="H259" s="45"/>
      <c r="I259" s="45">
        <f>10781.1-840+1820+840</f>
        <v>12601.1</v>
      </c>
      <c r="J259" s="47">
        <f>60865+11180</f>
        <v>72045</v>
      </c>
      <c r="K259" s="45">
        <v>47345.5</v>
      </c>
      <c r="L259" s="47">
        <f>60865+11180+K259</f>
        <v>119390.5</v>
      </c>
      <c r="M259" s="45">
        <f>10781.1-840+1820+840+J259</f>
        <v>84646.1</v>
      </c>
      <c r="N259" s="45">
        <f>SUM(K259)</f>
        <v>47345.5</v>
      </c>
      <c r="O259" s="45">
        <f>10781.1-840+1820+840+L259</f>
        <v>131991.6</v>
      </c>
    </row>
    <row r="260" spans="1:16" ht="15.75" x14ac:dyDescent="0.2">
      <c r="A260" s="40"/>
      <c r="B260" s="41" t="s">
        <v>349</v>
      </c>
      <c r="C260" s="42">
        <v>992</v>
      </c>
      <c r="D260" s="43" t="s">
        <v>321</v>
      </c>
      <c r="E260" s="43">
        <v>1120121140</v>
      </c>
      <c r="F260" s="44"/>
      <c r="G260" s="45"/>
      <c r="H260" s="45">
        <f>SUM(H262)</f>
        <v>8102</v>
      </c>
      <c r="I260" s="45">
        <f>SUM(H260)</f>
        <v>8102</v>
      </c>
      <c r="J260" s="47"/>
      <c r="K260" s="45"/>
      <c r="L260" s="47"/>
      <c r="M260" s="45"/>
      <c r="N260" s="45">
        <f t="shared" ref="N260:O262" si="39">SUM(H260)</f>
        <v>8102</v>
      </c>
      <c r="O260" s="45">
        <f t="shared" si="39"/>
        <v>8102</v>
      </c>
    </row>
    <row r="261" spans="1:16" ht="2.25" customHeight="1" x14ac:dyDescent="0.2">
      <c r="A261" s="40"/>
      <c r="B261" s="41"/>
      <c r="C261" s="42">
        <v>992</v>
      </c>
      <c r="D261" s="43" t="s">
        <v>321</v>
      </c>
      <c r="E261" s="43">
        <v>1120121140</v>
      </c>
      <c r="F261" s="44">
        <v>400</v>
      </c>
      <c r="G261" s="45"/>
      <c r="H261" s="45">
        <f>SUM(H262)</f>
        <v>8102</v>
      </c>
      <c r="I261" s="45">
        <f>SUM(H261)</f>
        <v>8102</v>
      </c>
      <c r="J261" s="47"/>
      <c r="K261" s="45"/>
      <c r="L261" s="47"/>
      <c r="M261" s="45"/>
      <c r="N261" s="45">
        <f t="shared" si="39"/>
        <v>8102</v>
      </c>
      <c r="O261" s="45">
        <f t="shared" si="39"/>
        <v>8102</v>
      </c>
    </row>
    <row r="262" spans="1:16" ht="31.5" x14ac:dyDescent="0.2">
      <c r="A262" s="40"/>
      <c r="B262" s="41" t="s">
        <v>225</v>
      </c>
      <c r="C262" s="42">
        <v>992</v>
      </c>
      <c r="D262" s="43" t="s">
        <v>321</v>
      </c>
      <c r="E262" s="43">
        <v>1120121140</v>
      </c>
      <c r="F262" s="44">
        <v>400</v>
      </c>
      <c r="G262" s="45"/>
      <c r="H262" s="45">
        <v>8102</v>
      </c>
      <c r="I262" s="45">
        <f>SUM(H262)</f>
        <v>8102</v>
      </c>
      <c r="J262" s="47"/>
      <c r="K262" s="45"/>
      <c r="L262" s="47"/>
      <c r="M262" s="45"/>
      <c r="N262" s="45">
        <f t="shared" si="39"/>
        <v>8102</v>
      </c>
      <c r="O262" s="45">
        <f t="shared" si="39"/>
        <v>8102</v>
      </c>
    </row>
    <row r="263" spans="1:16" ht="15.75" x14ac:dyDescent="0.2">
      <c r="A263" s="40"/>
      <c r="B263" s="56" t="s">
        <v>350</v>
      </c>
      <c r="C263" s="42">
        <v>992</v>
      </c>
      <c r="D263" s="43" t="s">
        <v>321</v>
      </c>
      <c r="E263" s="43">
        <v>113000000</v>
      </c>
      <c r="F263" s="44"/>
      <c r="G263" s="45">
        <v>1964</v>
      </c>
      <c r="H263" s="45"/>
      <c r="I263" s="45">
        <v>1964</v>
      </c>
      <c r="J263" s="47"/>
      <c r="K263" s="45"/>
      <c r="L263" s="47"/>
      <c r="M263" s="45">
        <v>1964</v>
      </c>
      <c r="N263" s="45"/>
      <c r="O263" s="45">
        <v>1964</v>
      </c>
    </row>
    <row r="264" spans="1:16" ht="47.25" x14ac:dyDescent="0.2">
      <c r="A264" s="40"/>
      <c r="B264" s="56" t="s">
        <v>351</v>
      </c>
      <c r="C264" s="42">
        <v>992</v>
      </c>
      <c r="D264" s="43" t="s">
        <v>321</v>
      </c>
      <c r="E264" s="43">
        <v>113010000</v>
      </c>
      <c r="F264" s="44"/>
      <c r="G264" s="45">
        <v>1964</v>
      </c>
      <c r="H264" s="45"/>
      <c r="I264" s="45">
        <v>1964</v>
      </c>
      <c r="J264" s="47"/>
      <c r="K264" s="45"/>
      <c r="L264" s="47"/>
      <c r="M264" s="45">
        <v>1964</v>
      </c>
      <c r="N264" s="45"/>
      <c r="O264" s="45">
        <v>1964</v>
      </c>
    </row>
    <row r="265" spans="1:16" ht="15.75" x14ac:dyDescent="0.2">
      <c r="A265" s="40"/>
      <c r="B265" s="56" t="s">
        <v>350</v>
      </c>
      <c r="C265" s="42">
        <v>992</v>
      </c>
      <c r="D265" s="43" t="s">
        <v>321</v>
      </c>
      <c r="E265" s="43">
        <v>1130121070</v>
      </c>
      <c r="F265" s="44"/>
      <c r="G265" s="45">
        <v>1964</v>
      </c>
      <c r="H265" s="45"/>
      <c r="I265" s="45">
        <v>1964</v>
      </c>
      <c r="J265" s="47"/>
      <c r="K265" s="45"/>
      <c r="L265" s="47"/>
      <c r="M265" s="45">
        <v>1964</v>
      </c>
      <c r="N265" s="45"/>
      <c r="O265" s="45">
        <v>1964</v>
      </c>
    </row>
    <row r="266" spans="1:16" ht="31.5" x14ac:dyDescent="0.2">
      <c r="A266" s="40"/>
      <c r="B266" s="41" t="s">
        <v>225</v>
      </c>
      <c r="C266" s="42">
        <v>992</v>
      </c>
      <c r="D266" s="43" t="s">
        <v>321</v>
      </c>
      <c r="E266" s="57" t="s">
        <v>352</v>
      </c>
      <c r="F266" s="44">
        <v>400</v>
      </c>
      <c r="G266" s="45">
        <v>1964</v>
      </c>
      <c r="H266" s="38"/>
      <c r="I266" s="45">
        <v>1964</v>
      </c>
      <c r="J266" s="47"/>
      <c r="K266" s="38"/>
      <c r="L266" s="47"/>
      <c r="M266" s="45">
        <v>1964</v>
      </c>
      <c r="N266" s="45"/>
      <c r="O266" s="45">
        <v>1964</v>
      </c>
    </row>
    <row r="267" spans="1:16" ht="15.75" x14ac:dyDescent="0.2">
      <c r="A267" s="33" t="s">
        <v>353</v>
      </c>
      <c r="B267" s="34" t="s">
        <v>354</v>
      </c>
      <c r="C267" s="35" t="s">
        <v>51</v>
      </c>
      <c r="D267" s="36" t="s">
        <v>355</v>
      </c>
      <c r="E267" s="36" t="s">
        <v>11</v>
      </c>
      <c r="F267" s="37" t="s">
        <v>11</v>
      </c>
      <c r="G267" s="38">
        <f>G268+G289+G294+G285</f>
        <v>52763.8</v>
      </c>
      <c r="H267" s="45">
        <f>H268+H285+H289+H300+H294</f>
        <v>32145.100000000002</v>
      </c>
      <c r="I267" s="38">
        <f>I268+I289+I294+I285+I300</f>
        <v>84908.9</v>
      </c>
      <c r="J267" s="39">
        <f>J268+J289+J294</f>
        <v>0</v>
      </c>
      <c r="K267" s="45">
        <f t="shared" ref="G267:O269" si="40">K268</f>
        <v>75</v>
      </c>
      <c r="L267" s="39">
        <f>L268+L289+L294</f>
        <v>75</v>
      </c>
      <c r="M267" s="38">
        <f>M268+M289+M294+M285</f>
        <v>52763.8</v>
      </c>
      <c r="N267" s="45">
        <f>N268+N285+N289+N300+N294</f>
        <v>32220.100000000002</v>
      </c>
      <c r="O267" s="38">
        <v>84983.9</v>
      </c>
      <c r="P267" s="15"/>
    </row>
    <row r="268" spans="1:16" ht="31.5" x14ac:dyDescent="0.2">
      <c r="A268" s="40"/>
      <c r="B268" s="41" t="s">
        <v>245</v>
      </c>
      <c r="C268" s="42" t="s">
        <v>51</v>
      </c>
      <c r="D268" s="43" t="s">
        <v>355</v>
      </c>
      <c r="E268" s="43" t="s">
        <v>246</v>
      </c>
      <c r="F268" s="44" t="s">
        <v>11</v>
      </c>
      <c r="G268" s="45">
        <f t="shared" si="40"/>
        <v>51863.8</v>
      </c>
      <c r="H268" s="45">
        <f t="shared" si="40"/>
        <v>27392.7</v>
      </c>
      <c r="I268" s="45">
        <f t="shared" si="40"/>
        <v>79256.5</v>
      </c>
      <c r="J268" s="46">
        <f t="shared" si="40"/>
        <v>0</v>
      </c>
      <c r="K268" s="45">
        <f t="shared" si="40"/>
        <v>75</v>
      </c>
      <c r="L268" s="46">
        <f t="shared" si="40"/>
        <v>75</v>
      </c>
      <c r="M268" s="45">
        <f t="shared" si="40"/>
        <v>51863.8</v>
      </c>
      <c r="N268" s="45">
        <f t="shared" si="40"/>
        <v>27467.7</v>
      </c>
      <c r="O268" s="45">
        <f t="shared" si="40"/>
        <v>79331.5</v>
      </c>
    </row>
    <row r="269" spans="1:16" ht="15.75" x14ac:dyDescent="0.2">
      <c r="A269" s="40"/>
      <c r="B269" s="41" t="s">
        <v>356</v>
      </c>
      <c r="C269" s="42" t="s">
        <v>51</v>
      </c>
      <c r="D269" s="43" t="s">
        <v>355</v>
      </c>
      <c r="E269" s="43" t="s">
        <v>357</v>
      </c>
      <c r="F269" s="44" t="s">
        <v>11</v>
      </c>
      <c r="G269" s="45">
        <f t="shared" si="40"/>
        <v>51863.8</v>
      </c>
      <c r="H269" s="45">
        <f t="shared" si="40"/>
        <v>27392.7</v>
      </c>
      <c r="I269" s="45">
        <f t="shared" si="40"/>
        <v>79256.5</v>
      </c>
      <c r="J269" s="46">
        <f t="shared" si="40"/>
        <v>0</v>
      </c>
      <c r="K269" s="45">
        <f>K270+K272+K274+K276+K278+K282</f>
        <v>75</v>
      </c>
      <c r="L269" s="46">
        <f t="shared" si="40"/>
        <v>75</v>
      </c>
      <c r="M269" s="45">
        <f t="shared" si="40"/>
        <v>51863.8</v>
      </c>
      <c r="N269" s="45">
        <f>N270+N279</f>
        <v>27467.7</v>
      </c>
      <c r="O269" s="45">
        <f>O270+O279</f>
        <v>79331.5</v>
      </c>
    </row>
    <row r="270" spans="1:16" ht="47.25" x14ac:dyDescent="0.2">
      <c r="A270" s="40"/>
      <c r="B270" s="41" t="s">
        <v>358</v>
      </c>
      <c r="C270" s="42" t="s">
        <v>51</v>
      </c>
      <c r="D270" s="43" t="s">
        <v>355</v>
      </c>
      <c r="E270" s="43" t="s">
        <v>359</v>
      </c>
      <c r="F270" s="44" t="s">
        <v>11</v>
      </c>
      <c r="G270" s="45">
        <f>G271+G273+G275+G277+G281+G283</f>
        <v>51863.8</v>
      </c>
      <c r="H270" s="45">
        <f>H271+H277+H273+H283+H279</f>
        <v>27392.7</v>
      </c>
      <c r="I270" s="45">
        <f>I271+I273+I275+I277+I281+I283+I279</f>
        <v>79256.5</v>
      </c>
      <c r="J270" s="46">
        <f>J271+J273+J275+J277+J281+J283</f>
        <v>0</v>
      </c>
      <c r="K270" s="45">
        <f>K271</f>
        <v>0</v>
      </c>
      <c r="L270" s="46">
        <f>L271+L273+L275+L277+L281+L283</f>
        <v>75</v>
      </c>
      <c r="M270" s="45">
        <f>M271+M273+M275+M277+M281+M283</f>
        <v>51863.8</v>
      </c>
      <c r="N270" s="45">
        <f>N271+N277+N273+N283</f>
        <v>26767.7</v>
      </c>
      <c r="O270" s="45">
        <f>O271+O273+O275+O277+O281+O283</f>
        <v>78631.5</v>
      </c>
      <c r="P270" s="16"/>
    </row>
    <row r="271" spans="1:16" ht="15.75" x14ac:dyDescent="0.2">
      <c r="A271" s="40"/>
      <c r="B271" s="41" t="s">
        <v>360</v>
      </c>
      <c r="C271" s="42" t="s">
        <v>51</v>
      </c>
      <c r="D271" s="43" t="s">
        <v>355</v>
      </c>
      <c r="E271" s="43" t="s">
        <v>361</v>
      </c>
      <c r="F271" s="44" t="s">
        <v>11</v>
      </c>
      <c r="G271" s="45">
        <f>G272</f>
        <v>28601.8</v>
      </c>
      <c r="H271" s="45">
        <f>H272</f>
        <v>25439.200000000001</v>
      </c>
      <c r="I271" s="45">
        <f>I272</f>
        <v>54041</v>
      </c>
      <c r="J271" s="46">
        <f>J272</f>
        <v>0</v>
      </c>
      <c r="K271" s="45"/>
      <c r="L271" s="46">
        <f>L272</f>
        <v>0</v>
      </c>
      <c r="M271" s="45">
        <f>M272</f>
        <v>28601.8</v>
      </c>
      <c r="N271" s="45">
        <f>N272</f>
        <v>25439.200000000001</v>
      </c>
      <c r="O271" s="45">
        <f>O272</f>
        <v>54041</v>
      </c>
    </row>
    <row r="272" spans="1:16" ht="31.5" x14ac:dyDescent="0.2">
      <c r="A272" s="40"/>
      <c r="B272" s="41" t="s">
        <v>40</v>
      </c>
      <c r="C272" s="42" t="s">
        <v>51</v>
      </c>
      <c r="D272" s="43" t="s">
        <v>355</v>
      </c>
      <c r="E272" s="43" t="s">
        <v>361</v>
      </c>
      <c r="F272" s="44" t="s">
        <v>41</v>
      </c>
      <c r="G272" s="45">
        <v>28601.8</v>
      </c>
      <c r="H272" s="45">
        <f>24254+400+361.2+424</f>
        <v>25439.200000000001</v>
      </c>
      <c r="I272" s="45">
        <f>28601.8+H272</f>
        <v>54041</v>
      </c>
      <c r="J272" s="47"/>
      <c r="K272" s="45"/>
      <c r="L272" s="47"/>
      <c r="M272" s="45">
        <v>28601.8</v>
      </c>
      <c r="N272" s="45">
        <f>SUM(H272)+K272</f>
        <v>25439.200000000001</v>
      </c>
      <c r="O272" s="45">
        <f>28601.8+N272</f>
        <v>54041</v>
      </c>
    </row>
    <row r="273" spans="1:15" ht="15.75" x14ac:dyDescent="0.2">
      <c r="A273" s="40"/>
      <c r="B273" s="41" t="s">
        <v>362</v>
      </c>
      <c r="C273" s="42" t="s">
        <v>51</v>
      </c>
      <c r="D273" s="43" t="s">
        <v>355</v>
      </c>
      <c r="E273" s="43" t="s">
        <v>363</v>
      </c>
      <c r="F273" s="44" t="s">
        <v>11</v>
      </c>
      <c r="G273" s="45">
        <f>G274</f>
        <v>3000</v>
      </c>
      <c r="H273" s="45">
        <f>H274</f>
        <v>1842.6</v>
      </c>
      <c r="I273" s="45">
        <f>I274</f>
        <v>4842.6000000000004</v>
      </c>
      <c r="J273" s="46">
        <f>J274</f>
        <v>0</v>
      </c>
      <c r="K273" s="45">
        <f>SUM(K274)</f>
        <v>75</v>
      </c>
      <c r="L273" s="46">
        <f>L274</f>
        <v>75</v>
      </c>
      <c r="M273" s="45">
        <f>M274</f>
        <v>3000</v>
      </c>
      <c r="N273" s="45">
        <f>N274</f>
        <v>1917.6</v>
      </c>
      <c r="O273" s="45">
        <f>O274</f>
        <v>4917.6000000000004</v>
      </c>
    </row>
    <row r="274" spans="1:15" ht="31.5" x14ac:dyDescent="0.2">
      <c r="A274" s="40"/>
      <c r="B274" s="41" t="s">
        <v>40</v>
      </c>
      <c r="C274" s="42" t="s">
        <v>51</v>
      </c>
      <c r="D274" s="43" t="s">
        <v>355</v>
      </c>
      <c r="E274" s="43" t="s">
        <v>363</v>
      </c>
      <c r="F274" s="44" t="s">
        <v>41</v>
      </c>
      <c r="G274" s="45">
        <v>3000</v>
      </c>
      <c r="H274" s="45">
        <f>1842.6</f>
        <v>1842.6</v>
      </c>
      <c r="I274" s="45">
        <f>3000+H274</f>
        <v>4842.6000000000004</v>
      </c>
      <c r="J274" s="47"/>
      <c r="K274" s="45">
        <v>75</v>
      </c>
      <c r="L274" s="45">
        <f>SUM(K274)</f>
        <v>75</v>
      </c>
      <c r="M274" s="45">
        <v>3000</v>
      </c>
      <c r="N274" s="45">
        <f>SUM(H274)+K274</f>
        <v>1917.6</v>
      </c>
      <c r="O274" s="45">
        <f>3000+N274</f>
        <v>4917.6000000000004</v>
      </c>
    </row>
    <row r="275" spans="1:15" ht="15.75" x14ac:dyDescent="0.2">
      <c r="A275" s="40"/>
      <c r="B275" s="41" t="s">
        <v>364</v>
      </c>
      <c r="C275" s="42" t="s">
        <v>51</v>
      </c>
      <c r="D275" s="43" t="s">
        <v>355</v>
      </c>
      <c r="E275" s="43" t="s">
        <v>365</v>
      </c>
      <c r="F275" s="44" t="s">
        <v>11</v>
      </c>
      <c r="G275" s="45">
        <f>G276</f>
        <v>2550</v>
      </c>
      <c r="H275" s="45"/>
      <c r="I275" s="45">
        <f>I276</f>
        <v>2550</v>
      </c>
      <c r="J275" s="46">
        <f>J276</f>
        <v>0</v>
      </c>
      <c r="K275" s="45"/>
      <c r="L275" s="46">
        <f>L276</f>
        <v>0</v>
      </c>
      <c r="M275" s="45">
        <f>M276</f>
        <v>2550</v>
      </c>
      <c r="N275" s="45">
        <f>N276</f>
        <v>0</v>
      </c>
      <c r="O275" s="45">
        <f>O276</f>
        <v>2550</v>
      </c>
    </row>
    <row r="276" spans="1:15" ht="31.5" x14ac:dyDescent="0.2">
      <c r="A276" s="40"/>
      <c r="B276" s="41" t="s">
        <v>40</v>
      </c>
      <c r="C276" s="42" t="s">
        <v>51</v>
      </c>
      <c r="D276" s="43" t="s">
        <v>355</v>
      </c>
      <c r="E276" s="43" t="s">
        <v>365</v>
      </c>
      <c r="F276" s="44" t="s">
        <v>41</v>
      </c>
      <c r="G276" s="45">
        <v>2550</v>
      </c>
      <c r="H276" s="45"/>
      <c r="I276" s="45">
        <v>2550</v>
      </c>
      <c r="J276" s="47"/>
      <c r="K276" s="45"/>
      <c r="L276" s="47"/>
      <c r="M276" s="45">
        <v>2550</v>
      </c>
      <c r="N276" s="45"/>
      <c r="O276" s="45">
        <v>2550</v>
      </c>
    </row>
    <row r="277" spans="1:15" ht="15.75" x14ac:dyDescent="0.2">
      <c r="A277" s="40"/>
      <c r="B277" s="41" t="s">
        <v>366</v>
      </c>
      <c r="C277" s="42" t="s">
        <v>51</v>
      </c>
      <c r="D277" s="43" t="s">
        <v>355</v>
      </c>
      <c r="E277" s="43" t="s">
        <v>367</v>
      </c>
      <c r="F277" s="44" t="s">
        <v>11</v>
      </c>
      <c r="G277" s="45">
        <f>G278</f>
        <v>50</v>
      </c>
      <c r="H277" s="45">
        <f>H278</f>
        <v>1547.4</v>
      </c>
      <c r="I277" s="45">
        <f>I278</f>
        <v>1597.4</v>
      </c>
      <c r="J277" s="46">
        <f>J278</f>
        <v>0</v>
      </c>
      <c r="K277" s="45"/>
      <c r="L277" s="46">
        <f>L278</f>
        <v>0</v>
      </c>
      <c r="M277" s="45">
        <f>M278</f>
        <v>50</v>
      </c>
      <c r="N277" s="45">
        <f>N278</f>
        <v>1547.4</v>
      </c>
      <c r="O277" s="45">
        <f>O278</f>
        <v>1597.4</v>
      </c>
    </row>
    <row r="278" spans="1:15" ht="31.5" x14ac:dyDescent="0.2">
      <c r="A278" s="40"/>
      <c r="B278" s="41" t="s">
        <v>40</v>
      </c>
      <c r="C278" s="42" t="s">
        <v>51</v>
      </c>
      <c r="D278" s="43" t="s">
        <v>355</v>
      </c>
      <c r="E278" s="43" t="s">
        <v>367</v>
      </c>
      <c r="F278" s="44" t="s">
        <v>41</v>
      </c>
      <c r="G278" s="45">
        <v>50</v>
      </c>
      <c r="H278" s="45">
        <f>1249.4+298</f>
        <v>1547.4</v>
      </c>
      <c r="I278" s="45">
        <f>50+H278</f>
        <v>1597.4</v>
      </c>
      <c r="J278" s="47"/>
      <c r="K278" s="45"/>
      <c r="L278" s="47"/>
      <c r="M278" s="45">
        <v>50</v>
      </c>
      <c r="N278" s="45">
        <f>SUM(H278)</f>
        <v>1547.4</v>
      </c>
      <c r="O278" s="45">
        <f>50+N278</f>
        <v>1597.4</v>
      </c>
    </row>
    <row r="279" spans="1:15" ht="31.5" x14ac:dyDescent="0.2">
      <c r="A279" s="40"/>
      <c r="B279" s="56" t="s">
        <v>368</v>
      </c>
      <c r="C279" s="42">
        <v>992</v>
      </c>
      <c r="D279" s="43" t="s">
        <v>355</v>
      </c>
      <c r="E279" s="57" t="s">
        <v>369</v>
      </c>
      <c r="F279" s="44"/>
      <c r="G279" s="45"/>
      <c r="H279" s="45">
        <v>700</v>
      </c>
      <c r="I279" s="45">
        <f>SUM(H279)</f>
        <v>700</v>
      </c>
      <c r="J279" s="47"/>
      <c r="K279" s="45"/>
      <c r="L279" s="47"/>
      <c r="M279" s="45"/>
      <c r="N279" s="45">
        <f>SUM(H279)</f>
        <v>700</v>
      </c>
      <c r="O279" s="45">
        <f>SUM(I279)</f>
        <v>700</v>
      </c>
    </row>
    <row r="280" spans="1:15" ht="31.5" x14ac:dyDescent="0.2">
      <c r="A280" s="40"/>
      <c r="B280" s="41" t="s">
        <v>40</v>
      </c>
      <c r="C280" s="42">
        <v>992</v>
      </c>
      <c r="D280" s="43" t="s">
        <v>355</v>
      </c>
      <c r="E280" s="57" t="s">
        <v>369</v>
      </c>
      <c r="F280" s="44">
        <v>200</v>
      </c>
      <c r="G280" s="45"/>
      <c r="H280" s="45">
        <v>700</v>
      </c>
      <c r="I280" s="45">
        <f>SUM(H280)</f>
        <v>700</v>
      </c>
      <c r="J280" s="47"/>
      <c r="K280" s="45"/>
      <c r="L280" s="47"/>
      <c r="M280" s="45"/>
      <c r="N280" s="45">
        <f>SUM(H280)</f>
        <v>700</v>
      </c>
      <c r="O280" s="45">
        <f>SUM(I280)</f>
        <v>700</v>
      </c>
    </row>
    <row r="281" spans="1:15" ht="31.5" x14ac:dyDescent="0.2">
      <c r="A281" s="40"/>
      <c r="B281" s="41" t="s">
        <v>370</v>
      </c>
      <c r="C281" s="42" t="s">
        <v>51</v>
      </c>
      <c r="D281" s="43" t="s">
        <v>355</v>
      </c>
      <c r="E281" s="43" t="s">
        <v>371</v>
      </c>
      <c r="F281" s="44" t="s">
        <v>11</v>
      </c>
      <c r="G281" s="45">
        <f>G282</f>
        <v>4100</v>
      </c>
      <c r="H281" s="45"/>
      <c r="I281" s="45">
        <f>I282</f>
        <v>4100</v>
      </c>
      <c r="J281" s="46">
        <f>J282</f>
        <v>0</v>
      </c>
      <c r="K281" s="45"/>
      <c r="L281" s="46">
        <f>L282</f>
        <v>0</v>
      </c>
      <c r="M281" s="45">
        <f>M282</f>
        <v>4100</v>
      </c>
      <c r="N281" s="45">
        <f>N282</f>
        <v>0</v>
      </c>
      <c r="O281" s="45">
        <f>O282</f>
        <v>4100</v>
      </c>
    </row>
    <row r="282" spans="1:15" ht="31.5" x14ac:dyDescent="0.2">
      <c r="A282" s="40"/>
      <c r="B282" s="41" t="s">
        <v>40</v>
      </c>
      <c r="C282" s="42" t="s">
        <v>51</v>
      </c>
      <c r="D282" s="43" t="s">
        <v>355</v>
      </c>
      <c r="E282" s="43" t="s">
        <v>371</v>
      </c>
      <c r="F282" s="44" t="s">
        <v>41</v>
      </c>
      <c r="G282" s="45">
        <v>4100</v>
      </c>
      <c r="H282" s="45"/>
      <c r="I282" s="45">
        <v>4100</v>
      </c>
      <c r="J282" s="47"/>
      <c r="K282" s="45"/>
      <c r="L282" s="47"/>
      <c r="M282" s="45">
        <v>4100</v>
      </c>
      <c r="N282" s="45"/>
      <c r="O282" s="45">
        <v>4100</v>
      </c>
    </row>
    <row r="283" spans="1:15" ht="47.25" x14ac:dyDescent="0.2">
      <c r="A283" s="40"/>
      <c r="B283" s="41" t="s">
        <v>372</v>
      </c>
      <c r="C283" s="42" t="s">
        <v>51</v>
      </c>
      <c r="D283" s="43" t="s">
        <v>355</v>
      </c>
      <c r="E283" s="43" t="s">
        <v>373</v>
      </c>
      <c r="F283" s="44" t="s">
        <v>11</v>
      </c>
      <c r="G283" s="45">
        <f>G284</f>
        <v>13562</v>
      </c>
      <c r="H283" s="48">
        <f>SUM(H284)</f>
        <v>-2136.5</v>
      </c>
      <c r="I283" s="45">
        <f>I284</f>
        <v>11425.5</v>
      </c>
      <c r="J283" s="46">
        <f>J284</f>
        <v>0</v>
      </c>
      <c r="K283" s="48"/>
      <c r="L283" s="46">
        <f>L284</f>
        <v>0</v>
      </c>
      <c r="M283" s="45">
        <f>M284</f>
        <v>13562</v>
      </c>
      <c r="N283" s="45">
        <f>N284</f>
        <v>-2136.5</v>
      </c>
      <c r="O283" s="45">
        <f>SUM(M283+N283)</f>
        <v>11425.5</v>
      </c>
    </row>
    <row r="284" spans="1:15" ht="31.5" x14ac:dyDescent="0.2">
      <c r="A284" s="40"/>
      <c r="B284" s="41" t="s">
        <v>40</v>
      </c>
      <c r="C284" s="42" t="s">
        <v>51</v>
      </c>
      <c r="D284" s="43" t="s">
        <v>355</v>
      </c>
      <c r="E284" s="43" t="s">
        <v>373</v>
      </c>
      <c r="F284" s="44" t="s">
        <v>41</v>
      </c>
      <c r="G284" s="48">
        <f>4350+9212</f>
        <v>13562</v>
      </c>
      <c r="H284" s="48">
        <v>-2136.5</v>
      </c>
      <c r="I284" s="48">
        <f>4350+9212+H284</f>
        <v>11425.5</v>
      </c>
      <c r="J284" s="47">
        <v>0</v>
      </c>
      <c r="K284" s="48"/>
      <c r="L284" s="47">
        <v>0</v>
      </c>
      <c r="M284" s="48">
        <f>4350+9212</f>
        <v>13562</v>
      </c>
      <c r="N284" s="48">
        <f>SUM(H284)</f>
        <v>-2136.5</v>
      </c>
      <c r="O284" s="48">
        <f>4350+9212+N284</f>
        <v>11425.5</v>
      </c>
    </row>
    <row r="285" spans="1:15" ht="15.75" x14ac:dyDescent="0.2">
      <c r="A285" s="40"/>
      <c r="B285" s="56" t="s">
        <v>374</v>
      </c>
      <c r="C285" s="42">
        <v>992</v>
      </c>
      <c r="D285" s="43" t="s">
        <v>355</v>
      </c>
      <c r="E285" s="57" t="s">
        <v>375</v>
      </c>
      <c r="F285" s="44"/>
      <c r="G285" s="48">
        <f t="shared" ref="G285:O287" si="41">G286</f>
        <v>400</v>
      </c>
      <c r="H285" s="48">
        <f t="shared" si="41"/>
        <v>1514.2</v>
      </c>
      <c r="I285" s="48">
        <f t="shared" si="41"/>
        <v>1914.2</v>
      </c>
      <c r="J285" s="47">
        <f t="shared" si="41"/>
        <v>0</v>
      </c>
      <c r="K285" s="48">
        <f t="shared" si="41"/>
        <v>0</v>
      </c>
      <c r="L285" s="47">
        <f t="shared" si="41"/>
        <v>0</v>
      </c>
      <c r="M285" s="48">
        <f t="shared" si="41"/>
        <v>400</v>
      </c>
      <c r="N285" s="48">
        <f t="shared" si="41"/>
        <v>1514.2</v>
      </c>
      <c r="O285" s="48">
        <f t="shared" si="41"/>
        <v>1914.2</v>
      </c>
    </row>
    <row r="286" spans="1:15" ht="31.5" x14ac:dyDescent="0.2">
      <c r="A286" s="40"/>
      <c r="B286" s="56" t="s">
        <v>376</v>
      </c>
      <c r="C286" s="42">
        <v>992</v>
      </c>
      <c r="D286" s="43" t="s">
        <v>355</v>
      </c>
      <c r="E286" s="57" t="s">
        <v>377</v>
      </c>
      <c r="F286" s="44"/>
      <c r="G286" s="48">
        <f t="shared" si="41"/>
        <v>400</v>
      </c>
      <c r="H286" s="48">
        <f t="shared" si="41"/>
        <v>1514.2</v>
      </c>
      <c r="I286" s="48">
        <f t="shared" si="41"/>
        <v>1914.2</v>
      </c>
      <c r="J286" s="47">
        <f t="shared" si="41"/>
        <v>0</v>
      </c>
      <c r="K286" s="48">
        <f t="shared" si="41"/>
        <v>0</v>
      </c>
      <c r="L286" s="47">
        <f t="shared" si="41"/>
        <v>0</v>
      </c>
      <c r="M286" s="48">
        <f t="shared" si="41"/>
        <v>400</v>
      </c>
      <c r="N286" s="48">
        <f t="shared" si="41"/>
        <v>1514.2</v>
      </c>
      <c r="O286" s="48">
        <f t="shared" si="41"/>
        <v>1914.2</v>
      </c>
    </row>
    <row r="287" spans="1:15" ht="15.75" x14ac:dyDescent="0.2">
      <c r="A287" s="40"/>
      <c r="B287" s="56" t="s">
        <v>378</v>
      </c>
      <c r="C287" s="42">
        <v>992</v>
      </c>
      <c r="D287" s="43" t="s">
        <v>355</v>
      </c>
      <c r="E287" s="57" t="s">
        <v>379</v>
      </c>
      <c r="F287" s="44"/>
      <c r="G287" s="48">
        <f t="shared" si="41"/>
        <v>400</v>
      </c>
      <c r="H287" s="48">
        <f t="shared" si="41"/>
        <v>1514.2</v>
      </c>
      <c r="I287" s="48">
        <f t="shared" si="41"/>
        <v>1914.2</v>
      </c>
      <c r="J287" s="47">
        <f t="shared" si="41"/>
        <v>0</v>
      </c>
      <c r="K287" s="48"/>
      <c r="L287" s="47">
        <f t="shared" si="41"/>
        <v>0</v>
      </c>
      <c r="M287" s="48">
        <f t="shared" si="41"/>
        <v>400</v>
      </c>
      <c r="N287" s="48">
        <f t="shared" si="41"/>
        <v>1514.2</v>
      </c>
      <c r="O287" s="48">
        <f t="shared" si="41"/>
        <v>1914.2</v>
      </c>
    </row>
    <row r="288" spans="1:15" ht="31.5" x14ac:dyDescent="0.2">
      <c r="A288" s="40"/>
      <c r="B288" s="41" t="s">
        <v>40</v>
      </c>
      <c r="C288" s="42">
        <v>992</v>
      </c>
      <c r="D288" s="43" t="s">
        <v>355</v>
      </c>
      <c r="E288" s="57" t="s">
        <v>379</v>
      </c>
      <c r="F288" s="44">
        <v>200</v>
      </c>
      <c r="G288" s="48">
        <v>400</v>
      </c>
      <c r="H288" s="45">
        <v>1514.2</v>
      </c>
      <c r="I288" s="48">
        <f>400+H288</f>
        <v>1914.2</v>
      </c>
      <c r="J288" s="47">
        <v>0</v>
      </c>
      <c r="K288" s="45"/>
      <c r="L288" s="47">
        <v>0</v>
      </c>
      <c r="M288" s="48">
        <v>400</v>
      </c>
      <c r="N288" s="45">
        <f>SUM(H288)</f>
        <v>1514.2</v>
      </c>
      <c r="O288" s="48">
        <f>400+N288</f>
        <v>1914.2</v>
      </c>
    </row>
    <row r="289" spans="1:15" ht="47.25" x14ac:dyDescent="0.2">
      <c r="A289" s="40"/>
      <c r="B289" s="41" t="s">
        <v>105</v>
      </c>
      <c r="C289" s="42" t="s">
        <v>51</v>
      </c>
      <c r="D289" s="43" t="s">
        <v>355</v>
      </c>
      <c r="E289" s="43" t="s">
        <v>106</v>
      </c>
      <c r="F289" s="44" t="s">
        <v>11</v>
      </c>
      <c r="G289" s="45">
        <f>G290</f>
        <v>300</v>
      </c>
      <c r="H289" s="45"/>
      <c r="I289" s="45">
        <f>I290</f>
        <v>300</v>
      </c>
      <c r="J289" s="46">
        <f t="shared" ref="G289:O292" si="42">J290</f>
        <v>0</v>
      </c>
      <c r="K289" s="45">
        <f>K290</f>
        <v>0</v>
      </c>
      <c r="L289" s="46">
        <f t="shared" si="42"/>
        <v>0</v>
      </c>
      <c r="M289" s="45">
        <f t="shared" si="42"/>
        <v>300</v>
      </c>
      <c r="N289" s="45"/>
      <c r="O289" s="45">
        <f t="shared" si="42"/>
        <v>300</v>
      </c>
    </row>
    <row r="290" spans="1:15" ht="31.5" x14ac:dyDescent="0.2">
      <c r="A290" s="40"/>
      <c r="B290" s="41" t="s">
        <v>107</v>
      </c>
      <c r="C290" s="42" t="s">
        <v>51</v>
      </c>
      <c r="D290" s="43" t="s">
        <v>355</v>
      </c>
      <c r="E290" s="43" t="s">
        <v>108</v>
      </c>
      <c r="F290" s="44" t="s">
        <v>11</v>
      </c>
      <c r="G290" s="45">
        <f t="shared" si="42"/>
        <v>300</v>
      </c>
      <c r="H290" s="45">
        <f t="shared" si="42"/>
        <v>0</v>
      </c>
      <c r="I290" s="45">
        <f t="shared" si="42"/>
        <v>300</v>
      </c>
      <c r="J290" s="46">
        <f t="shared" si="42"/>
        <v>0</v>
      </c>
      <c r="K290" s="45">
        <f>K291</f>
        <v>0</v>
      </c>
      <c r="L290" s="46">
        <f t="shared" si="42"/>
        <v>0</v>
      </c>
      <c r="M290" s="45">
        <f t="shared" si="42"/>
        <v>300</v>
      </c>
      <c r="N290" s="45">
        <f t="shared" si="42"/>
        <v>0</v>
      </c>
      <c r="O290" s="45">
        <f t="shared" si="42"/>
        <v>300</v>
      </c>
    </row>
    <row r="291" spans="1:15" ht="31.5" x14ac:dyDescent="0.2">
      <c r="A291" s="40"/>
      <c r="B291" s="41" t="s">
        <v>109</v>
      </c>
      <c r="C291" s="42" t="s">
        <v>51</v>
      </c>
      <c r="D291" s="43" t="s">
        <v>355</v>
      </c>
      <c r="E291" s="43" t="s">
        <v>110</v>
      </c>
      <c r="F291" s="44" t="s">
        <v>11</v>
      </c>
      <c r="G291" s="45">
        <f t="shared" si="42"/>
        <v>300</v>
      </c>
      <c r="H291" s="45">
        <f t="shared" si="42"/>
        <v>0</v>
      </c>
      <c r="I291" s="45">
        <f t="shared" si="42"/>
        <v>300</v>
      </c>
      <c r="J291" s="46">
        <f t="shared" si="42"/>
        <v>0</v>
      </c>
      <c r="K291" s="45">
        <f>K292</f>
        <v>0</v>
      </c>
      <c r="L291" s="46">
        <f t="shared" si="42"/>
        <v>0</v>
      </c>
      <c r="M291" s="45">
        <f t="shared" si="42"/>
        <v>300</v>
      </c>
      <c r="N291" s="45">
        <f t="shared" si="42"/>
        <v>0</v>
      </c>
      <c r="O291" s="45">
        <f t="shared" si="42"/>
        <v>300</v>
      </c>
    </row>
    <row r="292" spans="1:15" ht="31.5" x14ac:dyDescent="0.2">
      <c r="A292" s="40"/>
      <c r="B292" s="41" t="s">
        <v>114</v>
      </c>
      <c r="C292" s="42" t="s">
        <v>51</v>
      </c>
      <c r="D292" s="43" t="s">
        <v>355</v>
      </c>
      <c r="E292" s="43" t="s">
        <v>115</v>
      </c>
      <c r="F292" s="44" t="s">
        <v>11</v>
      </c>
      <c r="G292" s="45">
        <f>G293</f>
        <v>300</v>
      </c>
      <c r="H292" s="45"/>
      <c r="I292" s="45">
        <f>I293</f>
        <v>300</v>
      </c>
      <c r="J292" s="46">
        <f t="shared" si="42"/>
        <v>0</v>
      </c>
      <c r="K292" s="45"/>
      <c r="L292" s="46">
        <f t="shared" si="42"/>
        <v>0</v>
      </c>
      <c r="M292" s="45">
        <f t="shared" si="42"/>
        <v>300</v>
      </c>
      <c r="N292" s="45">
        <f t="shared" si="42"/>
        <v>0</v>
      </c>
      <c r="O292" s="45">
        <f t="shared" si="42"/>
        <v>300</v>
      </c>
    </row>
    <row r="293" spans="1:15" ht="31.5" x14ac:dyDescent="0.2">
      <c r="A293" s="40"/>
      <c r="B293" s="41" t="s">
        <v>40</v>
      </c>
      <c r="C293" s="42" t="s">
        <v>51</v>
      </c>
      <c r="D293" s="43" t="s">
        <v>355</v>
      </c>
      <c r="E293" s="43" t="s">
        <v>115</v>
      </c>
      <c r="F293" s="44" t="s">
        <v>41</v>
      </c>
      <c r="G293" s="45">
        <v>300</v>
      </c>
      <c r="H293" s="45"/>
      <c r="I293" s="45">
        <v>300</v>
      </c>
      <c r="J293" s="47">
        <v>0</v>
      </c>
      <c r="K293" s="45"/>
      <c r="L293" s="47">
        <v>0</v>
      </c>
      <c r="M293" s="45">
        <v>300</v>
      </c>
      <c r="N293" s="45"/>
      <c r="O293" s="45">
        <v>300</v>
      </c>
    </row>
    <row r="294" spans="1:15" ht="63" x14ac:dyDescent="0.2">
      <c r="A294" s="40"/>
      <c r="B294" s="41" t="s">
        <v>380</v>
      </c>
      <c r="C294" s="42" t="s">
        <v>51</v>
      </c>
      <c r="D294" s="43" t="s">
        <v>355</v>
      </c>
      <c r="E294" s="43" t="s">
        <v>381</v>
      </c>
      <c r="F294" s="44" t="s">
        <v>11</v>
      </c>
      <c r="G294" s="45">
        <f t="shared" ref="G294:O296" si="43">G295</f>
        <v>200</v>
      </c>
      <c r="H294" s="45">
        <f t="shared" si="43"/>
        <v>399.7</v>
      </c>
      <c r="I294" s="45">
        <f t="shared" si="43"/>
        <v>599.70000000000005</v>
      </c>
      <c r="J294" s="46">
        <f t="shared" si="43"/>
        <v>0</v>
      </c>
      <c r="K294" s="45">
        <f>K295</f>
        <v>0</v>
      </c>
      <c r="L294" s="46">
        <f t="shared" si="43"/>
        <v>0</v>
      </c>
      <c r="M294" s="45">
        <f t="shared" si="43"/>
        <v>200</v>
      </c>
      <c r="N294" s="45">
        <f t="shared" si="43"/>
        <v>399.7</v>
      </c>
      <c r="O294" s="45">
        <f t="shared" si="43"/>
        <v>599.70000000000005</v>
      </c>
    </row>
    <row r="295" spans="1:15" ht="47.25" x14ac:dyDescent="0.2">
      <c r="A295" s="40"/>
      <c r="B295" s="41" t="s">
        <v>382</v>
      </c>
      <c r="C295" s="42" t="s">
        <v>51</v>
      </c>
      <c r="D295" s="43" t="s">
        <v>355</v>
      </c>
      <c r="E295" s="43" t="s">
        <v>383</v>
      </c>
      <c r="F295" s="44" t="s">
        <v>11</v>
      </c>
      <c r="G295" s="45">
        <f t="shared" si="43"/>
        <v>200</v>
      </c>
      <c r="H295" s="45">
        <f>H296+H298</f>
        <v>399.7</v>
      </c>
      <c r="I295" s="45">
        <f>I296+H295</f>
        <v>599.70000000000005</v>
      </c>
      <c r="J295" s="46">
        <f t="shared" si="43"/>
        <v>0</v>
      </c>
      <c r="K295" s="45">
        <f>K296</f>
        <v>0</v>
      </c>
      <c r="L295" s="46">
        <f t="shared" si="43"/>
        <v>0</v>
      </c>
      <c r="M295" s="45">
        <f t="shared" si="43"/>
        <v>200</v>
      </c>
      <c r="N295" s="45">
        <f>N296+N298</f>
        <v>399.7</v>
      </c>
      <c r="O295" s="45">
        <f>O296+O298</f>
        <v>599.70000000000005</v>
      </c>
    </row>
    <row r="296" spans="1:15" ht="63" x14ac:dyDescent="0.2">
      <c r="A296" s="40"/>
      <c r="B296" s="41" t="s">
        <v>384</v>
      </c>
      <c r="C296" s="42" t="s">
        <v>51</v>
      </c>
      <c r="D296" s="43" t="s">
        <v>355</v>
      </c>
      <c r="E296" s="57" t="s">
        <v>545</v>
      </c>
      <c r="F296" s="44" t="s">
        <v>11</v>
      </c>
      <c r="G296" s="45">
        <f>G297</f>
        <v>200</v>
      </c>
      <c r="H296" s="45">
        <f>H297</f>
        <v>0</v>
      </c>
      <c r="I296" s="45">
        <f>I297</f>
        <v>200</v>
      </c>
      <c r="J296" s="46">
        <f t="shared" si="43"/>
        <v>0</v>
      </c>
      <c r="K296" s="45"/>
      <c r="L296" s="46">
        <f t="shared" si="43"/>
        <v>0</v>
      </c>
      <c r="M296" s="45">
        <f t="shared" si="43"/>
        <v>200</v>
      </c>
      <c r="N296" s="45">
        <f t="shared" si="43"/>
        <v>0</v>
      </c>
      <c r="O296" s="45">
        <f t="shared" si="43"/>
        <v>200</v>
      </c>
    </row>
    <row r="297" spans="1:15" ht="31.5" x14ac:dyDescent="0.2">
      <c r="A297" s="40"/>
      <c r="B297" s="41" t="s">
        <v>40</v>
      </c>
      <c r="C297" s="42" t="s">
        <v>51</v>
      </c>
      <c r="D297" s="43" t="s">
        <v>355</v>
      </c>
      <c r="E297" s="57" t="s">
        <v>545</v>
      </c>
      <c r="F297" s="44" t="s">
        <v>41</v>
      </c>
      <c r="G297" s="45">
        <v>200</v>
      </c>
      <c r="H297" s="66"/>
      <c r="I297" s="45">
        <f>200+H297</f>
        <v>200</v>
      </c>
      <c r="J297" s="47">
        <v>0</v>
      </c>
      <c r="K297" s="38"/>
      <c r="L297" s="47">
        <v>0</v>
      </c>
      <c r="M297" s="45">
        <v>200</v>
      </c>
      <c r="N297" s="45">
        <f t="shared" ref="N297:N303" si="44">SUM(H297)</f>
        <v>0</v>
      </c>
      <c r="O297" s="45">
        <f>200+N297</f>
        <v>200</v>
      </c>
    </row>
    <row r="298" spans="1:15" ht="31.5" x14ac:dyDescent="0.2">
      <c r="A298" s="40"/>
      <c r="B298" s="41" t="s">
        <v>385</v>
      </c>
      <c r="C298" s="42">
        <v>992</v>
      </c>
      <c r="D298" s="43" t="s">
        <v>355</v>
      </c>
      <c r="E298" s="43">
        <v>1400124240</v>
      </c>
      <c r="F298" s="44"/>
      <c r="G298" s="45"/>
      <c r="H298" s="66">
        <v>399.7</v>
      </c>
      <c r="I298" s="45">
        <f t="shared" ref="I298:I303" si="45">SUM(H298)</f>
        <v>399.7</v>
      </c>
      <c r="J298" s="47"/>
      <c r="K298" s="38"/>
      <c r="L298" s="47"/>
      <c r="M298" s="45"/>
      <c r="N298" s="45">
        <f t="shared" si="44"/>
        <v>399.7</v>
      </c>
      <c r="O298" s="45">
        <f t="shared" ref="O298:O303" si="46">SUM(I298)</f>
        <v>399.7</v>
      </c>
    </row>
    <row r="299" spans="1:15" ht="31.5" x14ac:dyDescent="0.2">
      <c r="A299" s="40"/>
      <c r="B299" s="41" t="s">
        <v>40</v>
      </c>
      <c r="C299" s="42">
        <v>992</v>
      </c>
      <c r="D299" s="43" t="s">
        <v>355</v>
      </c>
      <c r="E299" s="43">
        <v>1400124240</v>
      </c>
      <c r="F299" s="44">
        <v>200</v>
      </c>
      <c r="G299" s="45"/>
      <c r="H299" s="66">
        <v>399.7</v>
      </c>
      <c r="I299" s="45">
        <f t="shared" si="45"/>
        <v>399.7</v>
      </c>
      <c r="J299" s="47"/>
      <c r="K299" s="38"/>
      <c r="L299" s="47"/>
      <c r="M299" s="45"/>
      <c r="N299" s="45">
        <f t="shared" si="44"/>
        <v>399.7</v>
      </c>
      <c r="O299" s="45">
        <f t="shared" si="46"/>
        <v>399.7</v>
      </c>
    </row>
    <row r="300" spans="1:15" ht="31.5" x14ac:dyDescent="0.2">
      <c r="A300" s="40"/>
      <c r="B300" s="41" t="s">
        <v>66</v>
      </c>
      <c r="C300" s="42">
        <v>992</v>
      </c>
      <c r="D300" s="43" t="s">
        <v>355</v>
      </c>
      <c r="E300" s="43">
        <v>5200000000</v>
      </c>
      <c r="F300" s="44"/>
      <c r="G300" s="45"/>
      <c r="H300" s="66">
        <f>SUM(H302)</f>
        <v>2838.5</v>
      </c>
      <c r="I300" s="45">
        <f t="shared" si="45"/>
        <v>2838.5</v>
      </c>
      <c r="J300" s="47"/>
      <c r="K300" s="38"/>
      <c r="L300" s="47"/>
      <c r="M300" s="45"/>
      <c r="N300" s="45">
        <f t="shared" si="44"/>
        <v>2838.5</v>
      </c>
      <c r="O300" s="45">
        <f t="shared" si="46"/>
        <v>2838.5</v>
      </c>
    </row>
    <row r="301" spans="1:15" ht="31.5" x14ac:dyDescent="0.2">
      <c r="A301" s="40"/>
      <c r="B301" s="41" t="s">
        <v>80</v>
      </c>
      <c r="C301" s="42">
        <v>992</v>
      </c>
      <c r="D301" s="43" t="s">
        <v>355</v>
      </c>
      <c r="E301" s="43">
        <v>5230000000</v>
      </c>
      <c r="F301" s="44"/>
      <c r="G301" s="45"/>
      <c r="H301" s="66">
        <f>SUM(H303)</f>
        <v>2838.5</v>
      </c>
      <c r="I301" s="45">
        <f t="shared" si="45"/>
        <v>2838.5</v>
      </c>
      <c r="J301" s="47"/>
      <c r="K301" s="38"/>
      <c r="L301" s="47"/>
      <c r="M301" s="45"/>
      <c r="N301" s="45">
        <f t="shared" si="44"/>
        <v>2838.5</v>
      </c>
      <c r="O301" s="45">
        <f t="shared" si="46"/>
        <v>2838.5</v>
      </c>
    </row>
    <row r="302" spans="1:15" ht="31.5" x14ac:dyDescent="0.2">
      <c r="A302" s="40"/>
      <c r="B302" s="41" t="s">
        <v>82</v>
      </c>
      <c r="C302" s="42">
        <v>992</v>
      </c>
      <c r="D302" s="43" t="s">
        <v>355</v>
      </c>
      <c r="E302" s="43">
        <v>5230010490</v>
      </c>
      <c r="F302" s="44"/>
      <c r="G302" s="45"/>
      <c r="H302" s="66">
        <f>SUM(H303)</f>
        <v>2838.5</v>
      </c>
      <c r="I302" s="45">
        <f t="shared" si="45"/>
        <v>2838.5</v>
      </c>
      <c r="J302" s="47"/>
      <c r="K302" s="38"/>
      <c r="L302" s="47"/>
      <c r="M302" s="45"/>
      <c r="N302" s="45">
        <f t="shared" si="44"/>
        <v>2838.5</v>
      </c>
      <c r="O302" s="45">
        <f t="shared" si="46"/>
        <v>2838.5</v>
      </c>
    </row>
    <row r="303" spans="1:15" ht="29.25" customHeight="1" x14ac:dyDescent="0.2">
      <c r="A303" s="40"/>
      <c r="B303" s="41" t="s">
        <v>40</v>
      </c>
      <c r="C303" s="42">
        <v>992</v>
      </c>
      <c r="D303" s="43" t="s">
        <v>355</v>
      </c>
      <c r="E303" s="43">
        <v>5230010490</v>
      </c>
      <c r="F303" s="44">
        <v>200</v>
      </c>
      <c r="G303" s="45"/>
      <c r="H303" s="66">
        <v>2838.5</v>
      </c>
      <c r="I303" s="45">
        <f t="shared" si="45"/>
        <v>2838.5</v>
      </c>
      <c r="J303" s="47"/>
      <c r="K303" s="38"/>
      <c r="L303" s="47"/>
      <c r="M303" s="45"/>
      <c r="N303" s="45">
        <f t="shared" si="44"/>
        <v>2838.5</v>
      </c>
      <c r="O303" s="45">
        <f t="shared" si="46"/>
        <v>2838.5</v>
      </c>
    </row>
    <row r="304" spans="1:15" ht="31.5" hidden="1" x14ac:dyDescent="0.2">
      <c r="A304" s="40"/>
      <c r="B304" s="41" t="s">
        <v>40</v>
      </c>
      <c r="C304" s="42"/>
      <c r="D304" s="43"/>
      <c r="E304" s="43"/>
      <c r="F304" s="44"/>
      <c r="G304" s="45"/>
      <c r="H304" s="38"/>
      <c r="I304" s="45"/>
      <c r="J304" s="47"/>
      <c r="K304" s="38"/>
      <c r="L304" s="47"/>
      <c r="M304" s="45"/>
      <c r="N304" s="45"/>
      <c r="O304" s="45"/>
    </row>
    <row r="305" spans="1:16" ht="31.5" x14ac:dyDescent="0.2">
      <c r="A305" s="33" t="s">
        <v>386</v>
      </c>
      <c r="B305" s="34" t="s">
        <v>387</v>
      </c>
      <c r="C305" s="35" t="s">
        <v>51</v>
      </c>
      <c r="D305" s="36" t="s">
        <v>388</v>
      </c>
      <c r="E305" s="36" t="s">
        <v>11</v>
      </c>
      <c r="F305" s="37" t="s">
        <v>11</v>
      </c>
      <c r="G305" s="38">
        <f t="shared" ref="G305:O306" si="47">G306</f>
        <v>87594.599999999991</v>
      </c>
      <c r="H305" s="45">
        <f t="shared" si="47"/>
        <v>3770.2</v>
      </c>
      <c r="I305" s="38">
        <f t="shared" si="47"/>
        <v>91364.799999999988</v>
      </c>
      <c r="J305" s="39">
        <f t="shared" si="47"/>
        <v>0</v>
      </c>
      <c r="K305" s="45">
        <f t="shared" si="47"/>
        <v>0</v>
      </c>
      <c r="L305" s="39">
        <f t="shared" si="47"/>
        <v>0</v>
      </c>
      <c r="M305" s="38">
        <f t="shared" si="47"/>
        <v>87594.599999999991</v>
      </c>
      <c r="N305" s="38">
        <f t="shared" si="47"/>
        <v>3770.2</v>
      </c>
      <c r="O305" s="38">
        <f t="shared" si="47"/>
        <v>91364.799999999988</v>
      </c>
    </row>
    <row r="306" spans="1:16" ht="31.5" x14ac:dyDescent="0.2">
      <c r="A306" s="40"/>
      <c r="B306" s="41" t="s">
        <v>245</v>
      </c>
      <c r="C306" s="42" t="s">
        <v>51</v>
      </c>
      <c r="D306" s="43" t="s">
        <v>388</v>
      </c>
      <c r="E306" s="43" t="s">
        <v>246</v>
      </c>
      <c r="F306" s="44" t="s">
        <v>11</v>
      </c>
      <c r="G306" s="45">
        <f t="shared" si="47"/>
        <v>87594.599999999991</v>
      </c>
      <c r="H306" s="45">
        <f>H307+H310</f>
        <v>3770.2</v>
      </c>
      <c r="I306" s="45">
        <f t="shared" si="47"/>
        <v>91364.799999999988</v>
      </c>
      <c r="J306" s="46">
        <f t="shared" si="47"/>
        <v>0</v>
      </c>
      <c r="K306" s="45">
        <f>K307+K310</f>
        <v>0</v>
      </c>
      <c r="L306" s="46">
        <f t="shared" si="47"/>
        <v>0</v>
      </c>
      <c r="M306" s="45">
        <f t="shared" si="47"/>
        <v>87594.599999999991</v>
      </c>
      <c r="N306" s="45">
        <f t="shared" si="47"/>
        <v>3770.2</v>
      </c>
      <c r="O306" s="45">
        <f t="shared" si="47"/>
        <v>91364.799999999988</v>
      </c>
    </row>
    <row r="307" spans="1:16" ht="15.75" x14ac:dyDescent="0.2">
      <c r="A307" s="40"/>
      <c r="B307" s="41" t="s">
        <v>247</v>
      </c>
      <c r="C307" s="42" t="s">
        <v>51</v>
      </c>
      <c r="D307" s="43" t="s">
        <v>388</v>
      </c>
      <c r="E307" s="43" t="s">
        <v>248</v>
      </c>
      <c r="F307" s="44" t="s">
        <v>11</v>
      </c>
      <c r="G307" s="45">
        <f>G308+G311</f>
        <v>87594.599999999991</v>
      </c>
      <c r="H307" s="45">
        <f>SUM(H311)</f>
        <v>3770.2</v>
      </c>
      <c r="I307" s="45">
        <f>I308+I311</f>
        <v>91364.799999999988</v>
      </c>
      <c r="J307" s="46">
        <f>J308+J311</f>
        <v>0</v>
      </c>
      <c r="K307" s="45">
        <f t="shared" ref="G307:O309" si="48">K308</f>
        <v>0</v>
      </c>
      <c r="L307" s="46">
        <f>L308+L311</f>
        <v>0</v>
      </c>
      <c r="M307" s="45">
        <f>M308+M311</f>
        <v>87594.599999999991</v>
      </c>
      <c r="N307" s="45">
        <f>N308+N311</f>
        <v>3770.2</v>
      </c>
      <c r="O307" s="45">
        <f>O308+O311</f>
        <v>91364.799999999988</v>
      </c>
    </row>
    <row r="308" spans="1:16" ht="31.5" x14ac:dyDescent="0.2">
      <c r="A308" s="40"/>
      <c r="B308" s="41" t="s">
        <v>389</v>
      </c>
      <c r="C308" s="42" t="s">
        <v>51</v>
      </c>
      <c r="D308" s="43" t="s">
        <v>388</v>
      </c>
      <c r="E308" s="43" t="s">
        <v>390</v>
      </c>
      <c r="F308" s="44" t="s">
        <v>11</v>
      </c>
      <c r="G308" s="45">
        <f t="shared" si="48"/>
        <v>7768.7</v>
      </c>
      <c r="H308" s="45">
        <f t="shared" si="48"/>
        <v>0</v>
      </c>
      <c r="I308" s="45">
        <f t="shared" si="48"/>
        <v>7768.7</v>
      </c>
      <c r="J308" s="46">
        <f t="shared" si="48"/>
        <v>0</v>
      </c>
      <c r="K308" s="45">
        <f t="shared" si="48"/>
        <v>0</v>
      </c>
      <c r="L308" s="46">
        <f t="shared" si="48"/>
        <v>0</v>
      </c>
      <c r="M308" s="45">
        <f t="shared" si="48"/>
        <v>7768.7</v>
      </c>
      <c r="N308" s="45">
        <f t="shared" si="48"/>
        <v>0</v>
      </c>
      <c r="O308" s="45">
        <f t="shared" si="48"/>
        <v>7768.7</v>
      </c>
    </row>
    <row r="309" spans="1:16" ht="31.5" x14ac:dyDescent="0.2">
      <c r="A309" s="40"/>
      <c r="B309" s="41" t="s">
        <v>134</v>
      </c>
      <c r="C309" s="42" t="s">
        <v>51</v>
      </c>
      <c r="D309" s="43" t="s">
        <v>388</v>
      </c>
      <c r="E309" s="43" t="s">
        <v>391</v>
      </c>
      <c r="F309" s="44" t="s">
        <v>11</v>
      </c>
      <c r="G309" s="45">
        <f t="shared" si="48"/>
        <v>7768.7</v>
      </c>
      <c r="H309" s="45"/>
      <c r="I309" s="45">
        <f t="shared" si="48"/>
        <v>7768.7</v>
      </c>
      <c r="J309" s="46">
        <f t="shared" si="48"/>
        <v>0</v>
      </c>
      <c r="K309" s="45"/>
      <c r="L309" s="46">
        <f t="shared" si="48"/>
        <v>0</v>
      </c>
      <c r="M309" s="45">
        <f t="shared" si="48"/>
        <v>7768.7</v>
      </c>
      <c r="N309" s="45">
        <f t="shared" si="48"/>
        <v>0</v>
      </c>
      <c r="O309" s="45">
        <f t="shared" si="48"/>
        <v>7768.7</v>
      </c>
    </row>
    <row r="310" spans="1:16" ht="33.6" customHeight="1" x14ac:dyDescent="0.2">
      <c r="A310" s="40"/>
      <c r="B310" s="41" t="s">
        <v>95</v>
      </c>
      <c r="C310" s="42" t="s">
        <v>51</v>
      </c>
      <c r="D310" s="43" t="s">
        <v>388</v>
      </c>
      <c r="E310" s="43" t="s">
        <v>391</v>
      </c>
      <c r="F310" s="44" t="s">
        <v>96</v>
      </c>
      <c r="G310" s="45">
        <v>7768.7</v>
      </c>
      <c r="H310" s="45"/>
      <c r="I310" s="45">
        <v>7768.7</v>
      </c>
      <c r="J310" s="47">
        <v>0</v>
      </c>
      <c r="K310" s="45"/>
      <c r="L310" s="47">
        <v>0</v>
      </c>
      <c r="M310" s="45">
        <v>7768.7</v>
      </c>
      <c r="N310" s="45"/>
      <c r="O310" s="45">
        <v>7768.7</v>
      </c>
    </row>
    <row r="311" spans="1:16" ht="47.25" x14ac:dyDescent="0.2">
      <c r="A311" s="40"/>
      <c r="B311" s="41" t="s">
        <v>249</v>
      </c>
      <c r="C311" s="42" t="s">
        <v>51</v>
      </c>
      <c r="D311" s="43" t="s">
        <v>388</v>
      </c>
      <c r="E311" s="43" t="s">
        <v>250</v>
      </c>
      <c r="F311" s="44" t="s">
        <v>11</v>
      </c>
      <c r="G311" s="45">
        <f t="shared" ref="G311:O312" si="49">G312</f>
        <v>79825.899999999994</v>
      </c>
      <c r="H311" s="45">
        <f>H312+H316+H314</f>
        <v>3770.2</v>
      </c>
      <c r="I311" s="45">
        <f>I312+I316+I314</f>
        <v>83596.099999999991</v>
      </c>
      <c r="J311" s="46">
        <f t="shared" si="49"/>
        <v>0</v>
      </c>
      <c r="K311" s="45">
        <f t="shared" si="49"/>
        <v>0</v>
      </c>
      <c r="L311" s="46">
        <f t="shared" si="49"/>
        <v>0</v>
      </c>
      <c r="M311" s="45">
        <f t="shared" si="49"/>
        <v>79825.899999999994</v>
      </c>
      <c r="N311" s="45">
        <f>N312+N316+N314</f>
        <v>3770.2</v>
      </c>
      <c r="O311" s="45">
        <f>O312+O316+O314</f>
        <v>83596.099999999991</v>
      </c>
    </row>
    <row r="312" spans="1:16" ht="31.5" x14ac:dyDescent="0.2">
      <c r="A312" s="40"/>
      <c r="B312" s="41" t="s">
        <v>134</v>
      </c>
      <c r="C312" s="42" t="s">
        <v>51</v>
      </c>
      <c r="D312" s="43" t="s">
        <v>388</v>
      </c>
      <c r="E312" s="43" t="s">
        <v>251</v>
      </c>
      <c r="F312" s="44" t="s">
        <v>11</v>
      </c>
      <c r="G312" s="45">
        <f t="shared" si="49"/>
        <v>79825.899999999994</v>
      </c>
      <c r="H312" s="45">
        <f t="shared" si="49"/>
        <v>1850.2</v>
      </c>
      <c r="I312" s="45">
        <f t="shared" si="49"/>
        <v>81676.099999999991</v>
      </c>
      <c r="J312" s="46">
        <f t="shared" si="49"/>
        <v>0</v>
      </c>
      <c r="K312" s="45"/>
      <c r="L312" s="46">
        <f t="shared" si="49"/>
        <v>0</v>
      </c>
      <c r="M312" s="45">
        <f t="shared" si="49"/>
        <v>79825.899999999994</v>
      </c>
      <c r="N312" s="45">
        <f t="shared" si="49"/>
        <v>1850.2</v>
      </c>
      <c r="O312" s="45">
        <f t="shared" si="49"/>
        <v>81676.099999999991</v>
      </c>
    </row>
    <row r="313" spans="1:16" ht="33.6" customHeight="1" x14ac:dyDescent="0.2">
      <c r="A313" s="40"/>
      <c r="B313" s="41" t="s">
        <v>95</v>
      </c>
      <c r="C313" s="42" t="s">
        <v>51</v>
      </c>
      <c r="D313" s="43" t="s">
        <v>388</v>
      </c>
      <c r="E313" s="43" t="s">
        <v>251</v>
      </c>
      <c r="F313" s="44" t="s">
        <v>96</v>
      </c>
      <c r="G313" s="45">
        <v>79825.899999999994</v>
      </c>
      <c r="H313" s="45">
        <v>1850.2</v>
      </c>
      <c r="I313" s="45">
        <f>79825.9+H313</f>
        <v>81676.099999999991</v>
      </c>
      <c r="J313" s="47">
        <v>0</v>
      </c>
      <c r="K313" s="25"/>
      <c r="L313" s="47">
        <v>0</v>
      </c>
      <c r="M313" s="45">
        <v>79825.899999999994</v>
      </c>
      <c r="N313" s="45">
        <f>SUM(H313)</f>
        <v>1850.2</v>
      </c>
      <c r="O313" s="45">
        <f>79825.9+N313</f>
        <v>81676.099999999991</v>
      </c>
    </row>
    <row r="314" spans="1:16" ht="33.6" customHeight="1" x14ac:dyDescent="0.2">
      <c r="A314" s="40"/>
      <c r="B314" s="71" t="s">
        <v>392</v>
      </c>
      <c r="C314" s="42">
        <v>992</v>
      </c>
      <c r="D314" s="43" t="s">
        <v>388</v>
      </c>
      <c r="E314" s="57" t="s">
        <v>393</v>
      </c>
      <c r="F314" s="44"/>
      <c r="G314" s="45"/>
      <c r="H314" s="45">
        <v>779</v>
      </c>
      <c r="I314" s="45">
        <f>SUM(H314)</f>
        <v>779</v>
      </c>
      <c r="J314" s="47"/>
      <c r="K314" s="25"/>
      <c r="L314" s="47"/>
      <c r="M314" s="45"/>
      <c r="N314" s="45">
        <f>SUM(H314)</f>
        <v>779</v>
      </c>
      <c r="O314" s="45">
        <f>SUM(I314)</f>
        <v>779</v>
      </c>
    </row>
    <row r="315" spans="1:16" ht="33.6" customHeight="1" x14ac:dyDescent="0.2">
      <c r="A315" s="40"/>
      <c r="B315" s="41" t="s">
        <v>95</v>
      </c>
      <c r="C315" s="42">
        <v>992</v>
      </c>
      <c r="D315" s="43" t="s">
        <v>388</v>
      </c>
      <c r="E315" s="57" t="s">
        <v>393</v>
      </c>
      <c r="F315" s="44">
        <v>600</v>
      </c>
      <c r="G315" s="45"/>
      <c r="H315" s="45">
        <v>779</v>
      </c>
      <c r="I315" s="45">
        <f>SUM(H315)</f>
        <v>779</v>
      </c>
      <c r="J315" s="47"/>
      <c r="K315" s="25"/>
      <c r="L315" s="47"/>
      <c r="M315" s="45"/>
      <c r="N315" s="45">
        <f>SUM(H315)</f>
        <v>779</v>
      </c>
      <c r="O315" s="45">
        <f>SUM(I315)</f>
        <v>779</v>
      </c>
    </row>
    <row r="316" spans="1:16" ht="51" customHeight="1" x14ac:dyDescent="0.2">
      <c r="A316" s="40"/>
      <c r="B316" s="41" t="s">
        <v>283</v>
      </c>
      <c r="C316" s="42">
        <v>992</v>
      </c>
      <c r="D316" s="43" t="s">
        <v>388</v>
      </c>
      <c r="E316" s="57" t="s">
        <v>284</v>
      </c>
      <c r="F316" s="44"/>
      <c r="G316" s="45"/>
      <c r="H316" s="45">
        <f>SUM(H317)</f>
        <v>1141</v>
      </c>
      <c r="I316" s="45">
        <f>SUM(H316)</f>
        <v>1141</v>
      </c>
      <c r="J316" s="47"/>
      <c r="K316" s="25"/>
      <c r="L316" s="47"/>
      <c r="M316" s="45"/>
      <c r="N316" s="45">
        <f>SUM(H316)</f>
        <v>1141</v>
      </c>
      <c r="O316" s="45">
        <f>SUM(I316)</f>
        <v>1141</v>
      </c>
    </row>
    <row r="317" spans="1:16" ht="33.6" customHeight="1" x14ac:dyDescent="0.2">
      <c r="A317" s="40"/>
      <c r="B317" s="41" t="s">
        <v>95</v>
      </c>
      <c r="C317" s="42">
        <v>992</v>
      </c>
      <c r="D317" s="43" t="s">
        <v>388</v>
      </c>
      <c r="E317" s="57" t="s">
        <v>284</v>
      </c>
      <c r="F317" s="44">
        <v>600</v>
      </c>
      <c r="G317" s="45"/>
      <c r="H317" s="45">
        <f>1141</f>
        <v>1141</v>
      </c>
      <c r="I317" s="45">
        <f>SUM(H317)</f>
        <v>1141</v>
      </c>
      <c r="J317" s="47"/>
      <c r="K317" s="25"/>
      <c r="L317" s="47"/>
      <c r="M317" s="45"/>
      <c r="N317" s="45">
        <f>SUM(H317)</f>
        <v>1141</v>
      </c>
      <c r="O317" s="45">
        <f>SUM(I317)</f>
        <v>1141</v>
      </c>
    </row>
    <row r="318" spans="1:16" ht="15.75" x14ac:dyDescent="0.2">
      <c r="A318" s="20" t="s">
        <v>394</v>
      </c>
      <c r="B318" s="21" t="s">
        <v>395</v>
      </c>
      <c r="C318" s="22" t="s">
        <v>51</v>
      </c>
      <c r="D318" s="23" t="s">
        <v>396</v>
      </c>
      <c r="E318" s="23" t="s">
        <v>11</v>
      </c>
      <c r="F318" s="24" t="s">
        <v>11</v>
      </c>
      <c r="G318" s="25">
        <f>G319</f>
        <v>13707.000000000002</v>
      </c>
      <c r="H318" s="38">
        <f>H319</f>
        <v>205.1</v>
      </c>
      <c r="I318" s="25">
        <f>I319</f>
        <v>13912.1</v>
      </c>
      <c r="J318" s="26">
        <f>J319</f>
        <v>0</v>
      </c>
      <c r="K318" s="38">
        <f>K319+K332</f>
        <v>156</v>
      </c>
      <c r="L318" s="26">
        <f>L319</f>
        <v>156</v>
      </c>
      <c r="M318" s="25">
        <f>M319</f>
        <v>13707.000000000002</v>
      </c>
      <c r="N318" s="25">
        <f>N319</f>
        <v>361.1</v>
      </c>
      <c r="O318" s="25">
        <f>O319</f>
        <v>14068.1</v>
      </c>
      <c r="P318" s="17"/>
    </row>
    <row r="319" spans="1:16" ht="15.75" x14ac:dyDescent="0.2">
      <c r="A319" s="33" t="s">
        <v>397</v>
      </c>
      <c r="B319" s="34" t="s">
        <v>398</v>
      </c>
      <c r="C319" s="35" t="s">
        <v>51</v>
      </c>
      <c r="D319" s="36" t="s">
        <v>399</v>
      </c>
      <c r="E319" s="36" t="s">
        <v>11</v>
      </c>
      <c r="F319" s="37" t="s">
        <v>11</v>
      </c>
      <c r="G319" s="38">
        <f>G320+G335</f>
        <v>13707.000000000002</v>
      </c>
      <c r="H319" s="45">
        <f>H320+H325</f>
        <v>205.1</v>
      </c>
      <c r="I319" s="38">
        <f>I320+I335</f>
        <v>13912.1</v>
      </c>
      <c r="J319" s="39">
        <f>J320+J335</f>
        <v>0</v>
      </c>
      <c r="K319" s="45">
        <f>K320+K325</f>
        <v>156</v>
      </c>
      <c r="L319" s="39">
        <f>L320+L335</f>
        <v>156</v>
      </c>
      <c r="M319" s="38">
        <f>M320+M335</f>
        <v>13707.000000000002</v>
      </c>
      <c r="N319" s="38">
        <f>N320+N335</f>
        <v>361.1</v>
      </c>
      <c r="O319" s="38">
        <f>O320+O335</f>
        <v>14068.1</v>
      </c>
      <c r="P319" s="15"/>
    </row>
    <row r="320" spans="1:16" ht="31.5" x14ac:dyDescent="0.2">
      <c r="A320" s="40"/>
      <c r="B320" s="41" t="s">
        <v>400</v>
      </c>
      <c r="C320" s="42" t="s">
        <v>51</v>
      </c>
      <c r="D320" s="43" t="s">
        <v>399</v>
      </c>
      <c r="E320" s="43" t="s">
        <v>401</v>
      </c>
      <c r="F320" s="44" t="s">
        <v>11</v>
      </c>
      <c r="G320" s="45">
        <f>G321+G326</f>
        <v>13627.000000000002</v>
      </c>
      <c r="H320" s="45">
        <f>H321+H323+H326+H331</f>
        <v>205.1</v>
      </c>
      <c r="I320" s="45">
        <f>I321+I326</f>
        <v>13832.1</v>
      </c>
      <c r="J320" s="46">
        <f>J321+J326</f>
        <v>0</v>
      </c>
      <c r="K320" s="45">
        <f>K321+K323+K326+K333</f>
        <v>156</v>
      </c>
      <c r="L320" s="45">
        <f>L321+L323+L326+L333</f>
        <v>156</v>
      </c>
      <c r="M320" s="45">
        <f>M321+M326</f>
        <v>13627.000000000002</v>
      </c>
      <c r="N320" s="45">
        <f>N321+N326+K320</f>
        <v>361.1</v>
      </c>
      <c r="O320" s="45">
        <f>O321+O326+O333</f>
        <v>13988.1</v>
      </c>
    </row>
    <row r="321" spans="1:15" ht="47.25" x14ac:dyDescent="0.2">
      <c r="A321" s="40"/>
      <c r="B321" s="41" t="s">
        <v>402</v>
      </c>
      <c r="C321" s="42" t="s">
        <v>51</v>
      </c>
      <c r="D321" s="43" t="s">
        <v>399</v>
      </c>
      <c r="E321" s="43" t="s">
        <v>403</v>
      </c>
      <c r="F321" s="44" t="s">
        <v>11</v>
      </c>
      <c r="G321" s="45">
        <f>G322+G324</f>
        <v>2346.5</v>
      </c>
      <c r="H321" s="45">
        <f>H322</f>
        <v>0</v>
      </c>
      <c r="I321" s="45">
        <f>I322+I324</f>
        <v>2346.5</v>
      </c>
      <c r="J321" s="46">
        <f>J322+J324</f>
        <v>0</v>
      </c>
      <c r="K321" s="45">
        <f>K322</f>
        <v>0</v>
      </c>
      <c r="L321" s="46">
        <f>L322+L324</f>
        <v>0</v>
      </c>
      <c r="M321" s="45">
        <f>M322+M324</f>
        <v>2346.5</v>
      </c>
      <c r="N321" s="45">
        <f>N322+N324</f>
        <v>0</v>
      </c>
      <c r="O321" s="45">
        <f>O322+O324</f>
        <v>2346.5</v>
      </c>
    </row>
    <row r="322" spans="1:15" ht="47.25" x14ac:dyDescent="0.2">
      <c r="A322" s="40"/>
      <c r="B322" s="41" t="s">
        <v>404</v>
      </c>
      <c r="C322" s="42" t="s">
        <v>51</v>
      </c>
      <c r="D322" s="43" t="s">
        <v>399</v>
      </c>
      <c r="E322" s="43" t="s">
        <v>405</v>
      </c>
      <c r="F322" s="44" t="s">
        <v>11</v>
      </c>
      <c r="G322" s="45">
        <f>G323</f>
        <v>1500</v>
      </c>
      <c r="H322" s="45"/>
      <c r="I322" s="45">
        <f>I323</f>
        <v>1500</v>
      </c>
      <c r="J322" s="46">
        <f>J323</f>
        <v>0</v>
      </c>
      <c r="K322" s="45"/>
      <c r="L322" s="46">
        <f>L323</f>
        <v>0</v>
      </c>
      <c r="M322" s="45">
        <f>M323</f>
        <v>1500</v>
      </c>
      <c r="N322" s="45">
        <f>N323</f>
        <v>0</v>
      </c>
      <c r="O322" s="45">
        <f>O323</f>
        <v>1500</v>
      </c>
    </row>
    <row r="323" spans="1:15" ht="78.75" x14ac:dyDescent="0.2">
      <c r="A323" s="40"/>
      <c r="B323" s="41" t="s">
        <v>61</v>
      </c>
      <c r="C323" s="42" t="s">
        <v>51</v>
      </c>
      <c r="D323" s="43" t="s">
        <v>399</v>
      </c>
      <c r="E323" s="43" t="s">
        <v>405</v>
      </c>
      <c r="F323" s="44" t="s">
        <v>62</v>
      </c>
      <c r="G323" s="45">
        <v>1500</v>
      </c>
      <c r="H323" s="45"/>
      <c r="I323" s="45">
        <v>1500</v>
      </c>
      <c r="J323" s="47">
        <v>0</v>
      </c>
      <c r="K323" s="45"/>
      <c r="L323" s="47">
        <v>0</v>
      </c>
      <c r="M323" s="45">
        <v>1500</v>
      </c>
      <c r="N323" s="45"/>
      <c r="O323" s="45">
        <v>1500</v>
      </c>
    </row>
    <row r="324" spans="1:15" ht="47.25" x14ac:dyDescent="0.2">
      <c r="A324" s="40"/>
      <c r="B324" s="41" t="s">
        <v>406</v>
      </c>
      <c r="C324" s="42" t="s">
        <v>51</v>
      </c>
      <c r="D324" s="43" t="s">
        <v>399</v>
      </c>
      <c r="E324" s="43" t="s">
        <v>407</v>
      </c>
      <c r="F324" s="44" t="s">
        <v>11</v>
      </c>
      <c r="G324" s="45">
        <f>G325</f>
        <v>846.5</v>
      </c>
      <c r="H324" s="45"/>
      <c r="I324" s="45">
        <f>I325</f>
        <v>846.5</v>
      </c>
      <c r="J324" s="46">
        <f>J325</f>
        <v>0</v>
      </c>
      <c r="K324" s="45"/>
      <c r="L324" s="46">
        <f>L325</f>
        <v>0</v>
      </c>
      <c r="M324" s="45">
        <f>M325</f>
        <v>846.5</v>
      </c>
      <c r="N324" s="45">
        <f>N325</f>
        <v>0</v>
      </c>
      <c r="O324" s="45">
        <f>O325</f>
        <v>846.5</v>
      </c>
    </row>
    <row r="325" spans="1:15" ht="31.5" x14ac:dyDescent="0.2">
      <c r="A325" s="40"/>
      <c r="B325" s="41" t="s">
        <v>408</v>
      </c>
      <c r="C325" s="42" t="s">
        <v>51</v>
      </c>
      <c r="D325" s="43" t="s">
        <v>399</v>
      </c>
      <c r="E325" s="43" t="s">
        <v>407</v>
      </c>
      <c r="F325" s="44" t="s">
        <v>41</v>
      </c>
      <c r="G325" s="45">
        <v>846.5</v>
      </c>
      <c r="H325" s="45"/>
      <c r="I325" s="45">
        <v>846.5</v>
      </c>
      <c r="J325" s="47">
        <v>0</v>
      </c>
      <c r="K325" s="45"/>
      <c r="L325" s="47">
        <v>0</v>
      </c>
      <c r="M325" s="45">
        <v>846.5</v>
      </c>
      <c r="N325" s="45"/>
      <c r="O325" s="45">
        <v>846.5</v>
      </c>
    </row>
    <row r="326" spans="1:15" ht="49.15" customHeight="1" x14ac:dyDescent="0.2">
      <c r="A326" s="40"/>
      <c r="B326" s="41" t="s">
        <v>409</v>
      </c>
      <c r="C326" s="42" t="s">
        <v>51</v>
      </c>
      <c r="D326" s="43" t="s">
        <v>399</v>
      </c>
      <c r="E326" s="43" t="s">
        <v>410</v>
      </c>
      <c r="F326" s="44" t="s">
        <v>11</v>
      </c>
      <c r="G326" s="45">
        <f>G327+G331</f>
        <v>11280.500000000002</v>
      </c>
      <c r="H326" s="45">
        <f>H327</f>
        <v>41.099999999999994</v>
      </c>
      <c r="I326" s="45">
        <f>I327+I331</f>
        <v>11485.6</v>
      </c>
      <c r="J326" s="46">
        <f>J327+J331</f>
        <v>0</v>
      </c>
      <c r="K326" s="45">
        <f>K327+K328</f>
        <v>0</v>
      </c>
      <c r="L326" s="46">
        <f>L327+L331</f>
        <v>0</v>
      </c>
      <c r="M326" s="45">
        <f>M327+M331</f>
        <v>11280.500000000002</v>
      </c>
      <c r="N326" s="45">
        <f>N327+N331</f>
        <v>205.1</v>
      </c>
      <c r="O326" s="45">
        <f>O327+O331</f>
        <v>11485.6</v>
      </c>
    </row>
    <row r="327" spans="1:15" ht="31.5" x14ac:dyDescent="0.2">
      <c r="A327" s="40"/>
      <c r="B327" s="41" t="s">
        <v>134</v>
      </c>
      <c r="C327" s="42" t="s">
        <v>51</v>
      </c>
      <c r="D327" s="43" t="s">
        <v>399</v>
      </c>
      <c r="E327" s="43" t="s">
        <v>411</v>
      </c>
      <c r="F327" s="44" t="s">
        <v>11</v>
      </c>
      <c r="G327" s="45">
        <f>G328+G329+G330</f>
        <v>10559.400000000001</v>
      </c>
      <c r="H327" s="45">
        <f>H328+H329+H330</f>
        <v>41.099999999999994</v>
      </c>
      <c r="I327" s="45">
        <f>I328+I329+I330</f>
        <v>10600.5</v>
      </c>
      <c r="J327" s="46">
        <f>J328+J329+J330</f>
        <v>0</v>
      </c>
      <c r="K327" s="45">
        <f>SUM(K329)</f>
        <v>0</v>
      </c>
      <c r="L327" s="46">
        <f>L328+L329+L330</f>
        <v>0</v>
      </c>
      <c r="M327" s="45">
        <f>M328+M329+M330</f>
        <v>10559.400000000001</v>
      </c>
      <c r="N327" s="45">
        <f>N328+N329+N330</f>
        <v>41.099999999999994</v>
      </c>
      <c r="O327" s="45">
        <f>O328+O329+O330</f>
        <v>10600.5</v>
      </c>
    </row>
    <row r="328" spans="1:15" ht="78.75" x14ac:dyDescent="0.2">
      <c r="A328" s="40"/>
      <c r="B328" s="41" t="s">
        <v>61</v>
      </c>
      <c r="C328" s="42" t="s">
        <v>51</v>
      </c>
      <c r="D328" s="43" t="s">
        <v>399</v>
      </c>
      <c r="E328" s="43" t="s">
        <v>411</v>
      </c>
      <c r="F328" s="44" t="s">
        <v>62</v>
      </c>
      <c r="G328" s="45">
        <v>7992.2</v>
      </c>
      <c r="H328" s="45">
        <v>26</v>
      </c>
      <c r="I328" s="45">
        <f>7992.2+H328</f>
        <v>8018.2</v>
      </c>
      <c r="J328" s="47">
        <v>0</v>
      </c>
      <c r="K328" s="45"/>
      <c r="L328" s="47">
        <v>0</v>
      </c>
      <c r="M328" s="45">
        <v>7992.2</v>
      </c>
      <c r="N328" s="45">
        <f>SUM(H328)</f>
        <v>26</v>
      </c>
      <c r="O328" s="45">
        <f>7992.2+N328</f>
        <v>8018.2</v>
      </c>
    </row>
    <row r="329" spans="1:15" ht="31.5" x14ac:dyDescent="0.2">
      <c r="A329" s="40"/>
      <c r="B329" s="41" t="s">
        <v>40</v>
      </c>
      <c r="C329" s="42" t="s">
        <v>51</v>
      </c>
      <c r="D329" s="43" t="s">
        <v>399</v>
      </c>
      <c r="E329" s="43" t="s">
        <v>411</v>
      </c>
      <c r="F329" s="44" t="s">
        <v>41</v>
      </c>
      <c r="G329" s="45">
        <v>2563.5</v>
      </c>
      <c r="H329" s="45">
        <f>164+15.1-164</f>
        <v>15.099999999999994</v>
      </c>
      <c r="I329" s="45">
        <f>2563.5+H329</f>
        <v>2578.6</v>
      </c>
      <c r="J329" s="47">
        <v>0</v>
      </c>
      <c r="K329" s="45"/>
      <c r="L329" s="46">
        <f>K329</f>
        <v>0</v>
      </c>
      <c r="M329" s="45">
        <v>2563.5</v>
      </c>
      <c r="N329" s="45">
        <f>SUM(H329+K329)</f>
        <v>15.099999999999994</v>
      </c>
      <c r="O329" s="45">
        <f>2563.5+N329</f>
        <v>2578.6</v>
      </c>
    </row>
    <row r="330" spans="1:15" ht="15.75" x14ac:dyDescent="0.2">
      <c r="A330" s="40"/>
      <c r="B330" s="41" t="s">
        <v>338</v>
      </c>
      <c r="C330" s="42" t="s">
        <v>51</v>
      </c>
      <c r="D330" s="43" t="s">
        <v>399</v>
      </c>
      <c r="E330" s="43" t="s">
        <v>411</v>
      </c>
      <c r="F330" s="44" t="s">
        <v>71</v>
      </c>
      <c r="G330" s="45">
        <v>3.7</v>
      </c>
      <c r="H330" s="45"/>
      <c r="I330" s="45">
        <v>3.7</v>
      </c>
      <c r="J330" s="47">
        <v>0</v>
      </c>
      <c r="K330" s="45"/>
      <c r="L330" s="47">
        <v>0</v>
      </c>
      <c r="M330" s="45">
        <v>3.7</v>
      </c>
      <c r="N330" s="45"/>
      <c r="O330" s="45">
        <v>3.7</v>
      </c>
    </row>
    <row r="331" spans="1:15" ht="31.5" x14ac:dyDescent="0.2">
      <c r="A331" s="40"/>
      <c r="B331" s="41" t="s">
        <v>412</v>
      </c>
      <c r="C331" s="42" t="s">
        <v>51</v>
      </c>
      <c r="D331" s="43" t="s">
        <v>399</v>
      </c>
      <c r="E331" s="43" t="s">
        <v>413</v>
      </c>
      <c r="F331" s="44" t="s">
        <v>11</v>
      </c>
      <c r="G331" s="45">
        <f>G332</f>
        <v>721.1</v>
      </c>
      <c r="H331" s="45">
        <v>164</v>
      </c>
      <c r="I331" s="45">
        <f>I332</f>
        <v>885.1</v>
      </c>
      <c r="J331" s="46">
        <f>J332</f>
        <v>0</v>
      </c>
      <c r="K331" s="45"/>
      <c r="L331" s="46">
        <f>L332</f>
        <v>0</v>
      </c>
      <c r="M331" s="45">
        <f>M332</f>
        <v>721.1</v>
      </c>
      <c r="N331" s="45">
        <f>N332</f>
        <v>164</v>
      </c>
      <c r="O331" s="45">
        <f>O332</f>
        <v>885.1</v>
      </c>
    </row>
    <row r="332" spans="1:15" ht="31.5" x14ac:dyDescent="0.2">
      <c r="A332" s="40"/>
      <c r="B332" s="41" t="s">
        <v>40</v>
      </c>
      <c r="C332" s="42" t="s">
        <v>51</v>
      </c>
      <c r="D332" s="43" t="s">
        <v>399</v>
      </c>
      <c r="E332" s="43" t="s">
        <v>413</v>
      </c>
      <c r="F332" s="44" t="s">
        <v>41</v>
      </c>
      <c r="G332" s="45">
        <v>721.1</v>
      </c>
      <c r="H332" s="45">
        <v>164</v>
      </c>
      <c r="I332" s="45">
        <f>721.1+H332</f>
        <v>885.1</v>
      </c>
      <c r="J332" s="47">
        <v>0</v>
      </c>
      <c r="K332" s="45"/>
      <c r="L332" s="47">
        <v>0</v>
      </c>
      <c r="M332" s="45">
        <v>721.1</v>
      </c>
      <c r="N332" s="45">
        <f>SUM(H332)</f>
        <v>164</v>
      </c>
      <c r="O332" s="45">
        <f>721.1+N332</f>
        <v>885.1</v>
      </c>
    </row>
    <row r="333" spans="1:15" ht="78.75" x14ac:dyDescent="0.2">
      <c r="A333" s="40"/>
      <c r="B333" s="68" t="s">
        <v>414</v>
      </c>
      <c r="C333" s="42">
        <v>992</v>
      </c>
      <c r="D333" s="43" t="s">
        <v>399</v>
      </c>
      <c r="E333" s="57" t="s">
        <v>415</v>
      </c>
      <c r="F333" s="44"/>
      <c r="G333" s="45"/>
      <c r="H333" s="45"/>
      <c r="I333" s="45"/>
      <c r="J333" s="47"/>
      <c r="K333" s="45">
        <f>SUM(K334)</f>
        <v>156</v>
      </c>
      <c r="L333" s="47">
        <f>SUM(L334)</f>
        <v>156</v>
      </c>
      <c r="M333" s="45"/>
      <c r="N333" s="45">
        <f>SUM(K333)</f>
        <v>156</v>
      </c>
      <c r="O333" s="45">
        <f>SUM(L333)</f>
        <v>156</v>
      </c>
    </row>
    <row r="334" spans="1:15" ht="31.5" x14ac:dyDescent="0.2">
      <c r="A334" s="40"/>
      <c r="B334" s="41" t="s">
        <v>40</v>
      </c>
      <c r="C334" s="42">
        <v>992</v>
      </c>
      <c r="D334" s="43" t="s">
        <v>399</v>
      </c>
      <c r="E334" s="57" t="s">
        <v>415</v>
      </c>
      <c r="F334" s="44">
        <v>200</v>
      </c>
      <c r="G334" s="45"/>
      <c r="H334" s="45"/>
      <c r="I334" s="45"/>
      <c r="J334" s="47"/>
      <c r="K334" s="45">
        <v>156</v>
      </c>
      <c r="L334" s="47">
        <f>SUM(K334)</f>
        <v>156</v>
      </c>
      <c r="M334" s="45"/>
      <c r="N334" s="45">
        <f>SUM(K334)</f>
        <v>156</v>
      </c>
      <c r="O334" s="45">
        <f>SUM(L334)</f>
        <v>156</v>
      </c>
    </row>
    <row r="335" spans="1:15" ht="31.5" x14ac:dyDescent="0.2">
      <c r="A335" s="40"/>
      <c r="B335" s="41" t="s">
        <v>87</v>
      </c>
      <c r="C335" s="42" t="s">
        <v>51</v>
      </c>
      <c r="D335" s="43" t="s">
        <v>399</v>
      </c>
      <c r="E335" s="43" t="s">
        <v>88</v>
      </c>
      <c r="F335" s="44" t="s">
        <v>11</v>
      </c>
      <c r="G335" s="45">
        <f t="shared" ref="G335:O338" si="50">G336</f>
        <v>80</v>
      </c>
      <c r="H335" s="45">
        <f t="shared" si="50"/>
        <v>0</v>
      </c>
      <c r="I335" s="45">
        <f t="shared" si="50"/>
        <v>80</v>
      </c>
      <c r="J335" s="46">
        <f t="shared" si="50"/>
        <v>0</v>
      </c>
      <c r="K335" s="45">
        <f>K336</f>
        <v>0</v>
      </c>
      <c r="L335" s="46">
        <f t="shared" si="50"/>
        <v>0</v>
      </c>
      <c r="M335" s="45">
        <f t="shared" si="50"/>
        <v>80</v>
      </c>
      <c r="N335" s="45">
        <f t="shared" si="50"/>
        <v>0</v>
      </c>
      <c r="O335" s="45">
        <f t="shared" si="50"/>
        <v>80</v>
      </c>
    </row>
    <row r="336" spans="1:15" ht="47.25" x14ac:dyDescent="0.2">
      <c r="A336" s="40"/>
      <c r="B336" s="41" t="s">
        <v>89</v>
      </c>
      <c r="C336" s="42" t="s">
        <v>51</v>
      </c>
      <c r="D336" s="43" t="s">
        <v>399</v>
      </c>
      <c r="E336" s="43" t="s">
        <v>90</v>
      </c>
      <c r="F336" s="44" t="s">
        <v>11</v>
      </c>
      <c r="G336" s="45">
        <f t="shared" si="50"/>
        <v>80</v>
      </c>
      <c r="H336" s="45">
        <f t="shared" si="50"/>
        <v>0</v>
      </c>
      <c r="I336" s="45">
        <f t="shared" si="50"/>
        <v>80</v>
      </c>
      <c r="J336" s="46">
        <f t="shared" si="50"/>
        <v>0</v>
      </c>
      <c r="K336" s="45">
        <f>K337</f>
        <v>0</v>
      </c>
      <c r="L336" s="46">
        <f t="shared" si="50"/>
        <v>0</v>
      </c>
      <c r="M336" s="45">
        <f t="shared" si="50"/>
        <v>80</v>
      </c>
      <c r="N336" s="45">
        <f t="shared" si="50"/>
        <v>0</v>
      </c>
      <c r="O336" s="45">
        <f t="shared" si="50"/>
        <v>80</v>
      </c>
    </row>
    <row r="337" spans="1:16" ht="78.75" x14ac:dyDescent="0.2">
      <c r="A337" s="40"/>
      <c r="B337" s="41" t="s">
        <v>91</v>
      </c>
      <c r="C337" s="42" t="s">
        <v>51</v>
      </c>
      <c r="D337" s="43" t="s">
        <v>399</v>
      </c>
      <c r="E337" s="43" t="s">
        <v>92</v>
      </c>
      <c r="F337" s="44" t="s">
        <v>11</v>
      </c>
      <c r="G337" s="45">
        <f t="shared" si="50"/>
        <v>80</v>
      </c>
      <c r="H337" s="45">
        <f t="shared" si="50"/>
        <v>0</v>
      </c>
      <c r="I337" s="45">
        <f t="shared" si="50"/>
        <v>80</v>
      </c>
      <c r="J337" s="46">
        <f t="shared" si="50"/>
        <v>0</v>
      </c>
      <c r="K337" s="45">
        <f>K338</f>
        <v>0</v>
      </c>
      <c r="L337" s="46">
        <f t="shared" si="50"/>
        <v>0</v>
      </c>
      <c r="M337" s="45">
        <f t="shared" si="50"/>
        <v>80</v>
      </c>
      <c r="N337" s="45">
        <f t="shared" si="50"/>
        <v>0</v>
      </c>
      <c r="O337" s="45">
        <f t="shared" si="50"/>
        <v>80</v>
      </c>
    </row>
    <row r="338" spans="1:16" ht="47.25" x14ac:dyDescent="0.2">
      <c r="A338" s="40"/>
      <c r="B338" s="41" t="s">
        <v>93</v>
      </c>
      <c r="C338" s="42" t="s">
        <v>51</v>
      </c>
      <c r="D338" s="43" t="s">
        <v>399</v>
      </c>
      <c r="E338" s="43" t="s">
        <v>94</v>
      </c>
      <c r="F338" s="44" t="s">
        <v>11</v>
      </c>
      <c r="G338" s="45">
        <f>G339</f>
        <v>80</v>
      </c>
      <c r="H338" s="45"/>
      <c r="I338" s="45">
        <f>I339</f>
        <v>80</v>
      </c>
      <c r="J338" s="46">
        <f t="shared" si="50"/>
        <v>0</v>
      </c>
      <c r="K338" s="45"/>
      <c r="L338" s="46">
        <f t="shared" si="50"/>
        <v>0</v>
      </c>
      <c r="M338" s="45">
        <f t="shared" si="50"/>
        <v>80</v>
      </c>
      <c r="N338" s="45">
        <f t="shared" si="50"/>
        <v>0</v>
      </c>
      <c r="O338" s="45">
        <f t="shared" si="50"/>
        <v>80</v>
      </c>
    </row>
    <row r="339" spans="1:16" ht="30.6" customHeight="1" x14ac:dyDescent="0.2">
      <c r="A339" s="40"/>
      <c r="B339" s="41" t="s">
        <v>95</v>
      </c>
      <c r="C339" s="42" t="s">
        <v>51</v>
      </c>
      <c r="D339" s="43" t="s">
        <v>399</v>
      </c>
      <c r="E339" s="43" t="s">
        <v>94</v>
      </c>
      <c r="F339" s="44" t="s">
        <v>96</v>
      </c>
      <c r="G339" s="45">
        <v>80</v>
      </c>
      <c r="H339" s="25"/>
      <c r="I339" s="45">
        <v>80</v>
      </c>
      <c r="J339" s="47">
        <v>0</v>
      </c>
      <c r="K339" s="25"/>
      <c r="L339" s="47">
        <v>0</v>
      </c>
      <c r="M339" s="45">
        <v>80</v>
      </c>
      <c r="N339" s="45"/>
      <c r="O339" s="45">
        <v>80</v>
      </c>
    </row>
    <row r="340" spans="1:16" ht="15.75" x14ac:dyDescent="0.2">
      <c r="A340" s="20" t="s">
        <v>416</v>
      </c>
      <c r="B340" s="21" t="s">
        <v>417</v>
      </c>
      <c r="C340" s="22" t="s">
        <v>51</v>
      </c>
      <c r="D340" s="23" t="s">
        <v>418</v>
      </c>
      <c r="E340" s="23" t="s">
        <v>11</v>
      </c>
      <c r="F340" s="24" t="s">
        <v>11</v>
      </c>
      <c r="G340" s="25">
        <f>G341+G347+G353+G359</f>
        <v>11586.2</v>
      </c>
      <c r="H340" s="38">
        <f>H341</f>
        <v>0</v>
      </c>
      <c r="I340" s="25">
        <f>I341+I347+I353+I359</f>
        <v>11586.2</v>
      </c>
      <c r="J340" s="26">
        <f>J341+J347+J353+J359</f>
        <v>3074.2</v>
      </c>
      <c r="K340" s="38">
        <f>K341</f>
        <v>0</v>
      </c>
      <c r="L340" s="26">
        <f>L341+L347+L353+L359</f>
        <v>3074.2</v>
      </c>
      <c r="M340" s="25">
        <f>M341+M347+M353+M359</f>
        <v>14660.4</v>
      </c>
      <c r="N340" s="25">
        <f>N341+N347+N353+N359</f>
        <v>0</v>
      </c>
      <c r="O340" s="25">
        <f>O341+O347+O353+O359</f>
        <v>14660.4</v>
      </c>
      <c r="P340" s="17"/>
    </row>
    <row r="341" spans="1:16" ht="15.75" x14ac:dyDescent="0.2">
      <c r="A341" s="33" t="s">
        <v>419</v>
      </c>
      <c r="B341" s="34" t="s">
        <v>420</v>
      </c>
      <c r="C341" s="35" t="s">
        <v>51</v>
      </c>
      <c r="D341" s="36" t="s">
        <v>421</v>
      </c>
      <c r="E341" s="36" t="s">
        <v>11</v>
      </c>
      <c r="F341" s="37" t="s">
        <v>11</v>
      </c>
      <c r="G341" s="38">
        <f>G342</f>
        <v>4040</v>
      </c>
      <c r="H341" s="45">
        <f>H342</f>
        <v>0</v>
      </c>
      <c r="I341" s="38">
        <f>I342</f>
        <v>4040</v>
      </c>
      <c r="J341" s="39">
        <f t="shared" ref="J341:O345" si="51">J342</f>
        <v>0</v>
      </c>
      <c r="K341" s="45">
        <f>K342</f>
        <v>0</v>
      </c>
      <c r="L341" s="39">
        <f t="shared" si="51"/>
        <v>0</v>
      </c>
      <c r="M341" s="38">
        <f t="shared" si="51"/>
        <v>4040</v>
      </c>
      <c r="N341" s="38">
        <f t="shared" si="51"/>
        <v>0</v>
      </c>
      <c r="O341" s="38">
        <f t="shared" si="51"/>
        <v>4040</v>
      </c>
    </row>
    <row r="342" spans="1:16" ht="31.5" x14ac:dyDescent="0.2">
      <c r="A342" s="40"/>
      <c r="B342" s="41" t="s">
        <v>87</v>
      </c>
      <c r="C342" s="42" t="s">
        <v>51</v>
      </c>
      <c r="D342" s="43" t="s">
        <v>421</v>
      </c>
      <c r="E342" s="43" t="s">
        <v>88</v>
      </c>
      <c r="F342" s="44" t="s">
        <v>11</v>
      </c>
      <c r="G342" s="45">
        <f>G343</f>
        <v>4040</v>
      </c>
      <c r="H342" s="45">
        <f>H343</f>
        <v>0</v>
      </c>
      <c r="I342" s="45">
        <f>I343</f>
        <v>4040</v>
      </c>
      <c r="J342" s="46">
        <f t="shared" si="51"/>
        <v>0</v>
      </c>
      <c r="K342" s="45">
        <f>K343</f>
        <v>0</v>
      </c>
      <c r="L342" s="46">
        <f t="shared" si="51"/>
        <v>0</v>
      </c>
      <c r="M342" s="45">
        <f t="shared" si="51"/>
        <v>4040</v>
      </c>
      <c r="N342" s="45">
        <f t="shared" si="51"/>
        <v>0</v>
      </c>
      <c r="O342" s="45">
        <f t="shared" si="51"/>
        <v>4040</v>
      </c>
    </row>
    <row r="343" spans="1:16" ht="31.5" x14ac:dyDescent="0.2">
      <c r="A343" s="40"/>
      <c r="B343" s="41" t="s">
        <v>422</v>
      </c>
      <c r="C343" s="42" t="s">
        <v>51</v>
      </c>
      <c r="D343" s="43" t="s">
        <v>421</v>
      </c>
      <c r="E343" s="43" t="s">
        <v>423</v>
      </c>
      <c r="F343" s="44" t="s">
        <v>11</v>
      </c>
      <c r="G343" s="45">
        <f>G344</f>
        <v>4040</v>
      </c>
      <c r="H343" s="45">
        <f>H344</f>
        <v>0</v>
      </c>
      <c r="I343" s="45">
        <f>I344</f>
        <v>4040</v>
      </c>
      <c r="J343" s="46">
        <f t="shared" si="51"/>
        <v>0</v>
      </c>
      <c r="K343" s="45">
        <f>K344</f>
        <v>0</v>
      </c>
      <c r="L343" s="46">
        <f t="shared" si="51"/>
        <v>0</v>
      </c>
      <c r="M343" s="45">
        <f t="shared" si="51"/>
        <v>4040</v>
      </c>
      <c r="N343" s="45">
        <f t="shared" si="51"/>
        <v>0</v>
      </c>
      <c r="O343" s="45">
        <f t="shared" si="51"/>
        <v>4040</v>
      </c>
    </row>
    <row r="344" spans="1:16" ht="47.25" x14ac:dyDescent="0.2">
      <c r="A344" s="40"/>
      <c r="B344" s="41" t="s">
        <v>424</v>
      </c>
      <c r="C344" s="42" t="s">
        <v>51</v>
      </c>
      <c r="D344" s="43" t="s">
        <v>421</v>
      </c>
      <c r="E344" s="43" t="s">
        <v>425</v>
      </c>
      <c r="F344" s="44" t="s">
        <v>11</v>
      </c>
      <c r="G344" s="45">
        <f>G345</f>
        <v>4040</v>
      </c>
      <c r="H344" s="45">
        <f>H345</f>
        <v>0</v>
      </c>
      <c r="I344" s="45">
        <f>I345</f>
        <v>4040</v>
      </c>
      <c r="J344" s="46">
        <f t="shared" si="51"/>
        <v>0</v>
      </c>
      <c r="K344" s="45">
        <f>K345</f>
        <v>0</v>
      </c>
      <c r="L344" s="46">
        <f t="shared" si="51"/>
        <v>0</v>
      </c>
      <c r="M344" s="45">
        <f t="shared" si="51"/>
        <v>4040</v>
      </c>
      <c r="N344" s="45">
        <f t="shared" si="51"/>
        <v>0</v>
      </c>
      <c r="O344" s="45">
        <f t="shared" si="51"/>
        <v>4040</v>
      </c>
    </row>
    <row r="345" spans="1:16" ht="33" customHeight="1" x14ac:dyDescent="0.2">
      <c r="A345" s="40"/>
      <c r="B345" s="41" t="s">
        <v>426</v>
      </c>
      <c r="C345" s="42" t="s">
        <v>51</v>
      </c>
      <c r="D345" s="43" t="s">
        <v>421</v>
      </c>
      <c r="E345" s="43" t="s">
        <v>427</v>
      </c>
      <c r="F345" s="44" t="s">
        <v>11</v>
      </c>
      <c r="G345" s="45">
        <f>G346</f>
        <v>4040</v>
      </c>
      <c r="H345" s="45"/>
      <c r="I345" s="45">
        <f>I346</f>
        <v>4040</v>
      </c>
      <c r="J345" s="46">
        <f t="shared" si="51"/>
        <v>0</v>
      </c>
      <c r="K345" s="45"/>
      <c r="L345" s="46">
        <f t="shared" si="51"/>
        <v>0</v>
      </c>
      <c r="M345" s="45">
        <f t="shared" si="51"/>
        <v>4040</v>
      </c>
      <c r="N345" s="45">
        <f t="shared" si="51"/>
        <v>0</v>
      </c>
      <c r="O345" s="45">
        <f t="shared" si="51"/>
        <v>4040</v>
      </c>
    </row>
    <row r="346" spans="1:16" ht="31.5" x14ac:dyDescent="0.2">
      <c r="A346" s="40"/>
      <c r="B346" s="41" t="s">
        <v>112</v>
      </c>
      <c r="C346" s="42" t="s">
        <v>51</v>
      </c>
      <c r="D346" s="43" t="s">
        <v>421</v>
      </c>
      <c r="E346" s="43" t="s">
        <v>427</v>
      </c>
      <c r="F346" s="44" t="s">
        <v>113</v>
      </c>
      <c r="G346" s="45">
        <v>4040</v>
      </c>
      <c r="H346" s="38"/>
      <c r="I346" s="45">
        <v>4040</v>
      </c>
      <c r="J346" s="47">
        <v>0</v>
      </c>
      <c r="K346" s="38"/>
      <c r="L346" s="47">
        <v>0</v>
      </c>
      <c r="M346" s="45">
        <v>4040</v>
      </c>
      <c r="N346" s="45"/>
      <c r="O346" s="45">
        <v>4040</v>
      </c>
    </row>
    <row r="347" spans="1:16" ht="15.75" x14ac:dyDescent="0.2">
      <c r="A347" s="33" t="s">
        <v>428</v>
      </c>
      <c r="B347" s="34" t="s">
        <v>429</v>
      </c>
      <c r="C347" s="35" t="s">
        <v>51</v>
      </c>
      <c r="D347" s="36" t="s">
        <v>430</v>
      </c>
      <c r="E347" s="36" t="s">
        <v>11</v>
      </c>
      <c r="F347" s="37" t="s">
        <v>11</v>
      </c>
      <c r="G347" s="38">
        <f t="shared" ref="G347:O351" si="52">G348</f>
        <v>4496</v>
      </c>
      <c r="H347" s="45">
        <f t="shared" si="52"/>
        <v>0</v>
      </c>
      <c r="I347" s="38">
        <f t="shared" si="52"/>
        <v>4496</v>
      </c>
      <c r="J347" s="39">
        <f t="shared" si="52"/>
        <v>0</v>
      </c>
      <c r="K347" s="45">
        <f>K348</f>
        <v>0</v>
      </c>
      <c r="L347" s="39">
        <f t="shared" si="52"/>
        <v>0</v>
      </c>
      <c r="M347" s="38">
        <f t="shared" si="52"/>
        <v>4496</v>
      </c>
      <c r="N347" s="38">
        <f t="shared" si="52"/>
        <v>0</v>
      </c>
      <c r="O347" s="38">
        <f t="shared" si="52"/>
        <v>4496</v>
      </c>
    </row>
    <row r="348" spans="1:16" ht="31.5" x14ac:dyDescent="0.2">
      <c r="A348" s="40"/>
      <c r="B348" s="41" t="s">
        <v>87</v>
      </c>
      <c r="C348" s="42" t="s">
        <v>51</v>
      </c>
      <c r="D348" s="43" t="s">
        <v>430</v>
      </c>
      <c r="E348" s="43" t="s">
        <v>88</v>
      </c>
      <c r="F348" s="44" t="s">
        <v>11</v>
      </c>
      <c r="G348" s="45">
        <f t="shared" si="52"/>
        <v>4496</v>
      </c>
      <c r="H348" s="45">
        <f t="shared" si="52"/>
        <v>0</v>
      </c>
      <c r="I348" s="45">
        <f t="shared" si="52"/>
        <v>4496</v>
      </c>
      <c r="J348" s="46">
        <f t="shared" si="52"/>
        <v>0</v>
      </c>
      <c r="K348" s="45">
        <f>K349</f>
        <v>0</v>
      </c>
      <c r="L348" s="46">
        <f t="shared" si="52"/>
        <v>0</v>
      </c>
      <c r="M348" s="45">
        <f t="shared" si="52"/>
        <v>4496</v>
      </c>
      <c r="N348" s="45">
        <f t="shared" si="52"/>
        <v>0</v>
      </c>
      <c r="O348" s="45">
        <f t="shared" si="52"/>
        <v>4496</v>
      </c>
    </row>
    <row r="349" spans="1:16" ht="31.5" x14ac:dyDescent="0.2">
      <c r="A349" s="40"/>
      <c r="B349" s="41" t="s">
        <v>422</v>
      </c>
      <c r="C349" s="42" t="s">
        <v>51</v>
      </c>
      <c r="D349" s="43" t="s">
        <v>430</v>
      </c>
      <c r="E349" s="43" t="s">
        <v>423</v>
      </c>
      <c r="F349" s="44" t="s">
        <v>11</v>
      </c>
      <c r="G349" s="45">
        <f t="shared" si="52"/>
        <v>4496</v>
      </c>
      <c r="H349" s="45">
        <f t="shared" si="52"/>
        <v>0</v>
      </c>
      <c r="I349" s="45">
        <f t="shared" si="52"/>
        <v>4496</v>
      </c>
      <c r="J349" s="46">
        <f t="shared" si="52"/>
        <v>0</v>
      </c>
      <c r="K349" s="45">
        <f>K350</f>
        <v>0</v>
      </c>
      <c r="L349" s="46">
        <f t="shared" si="52"/>
        <v>0</v>
      </c>
      <c r="M349" s="45">
        <f t="shared" si="52"/>
        <v>4496</v>
      </c>
      <c r="N349" s="45">
        <f t="shared" si="52"/>
        <v>0</v>
      </c>
      <c r="O349" s="45">
        <f t="shared" si="52"/>
        <v>4496</v>
      </c>
    </row>
    <row r="350" spans="1:16" ht="31.5" x14ac:dyDescent="0.2">
      <c r="A350" s="40"/>
      <c r="B350" s="41" t="s">
        <v>431</v>
      </c>
      <c r="C350" s="42" t="s">
        <v>51</v>
      </c>
      <c r="D350" s="43" t="s">
        <v>430</v>
      </c>
      <c r="E350" s="43" t="s">
        <v>432</v>
      </c>
      <c r="F350" s="44" t="s">
        <v>11</v>
      </c>
      <c r="G350" s="45">
        <f t="shared" si="52"/>
        <v>4496</v>
      </c>
      <c r="H350" s="45">
        <f t="shared" si="52"/>
        <v>0</v>
      </c>
      <c r="I350" s="45">
        <f t="shared" si="52"/>
        <v>4496</v>
      </c>
      <c r="J350" s="46">
        <f t="shared" si="52"/>
        <v>0</v>
      </c>
      <c r="K350" s="45">
        <f>K351</f>
        <v>0</v>
      </c>
      <c r="L350" s="46">
        <f t="shared" si="52"/>
        <v>0</v>
      </c>
      <c r="M350" s="45">
        <f t="shared" si="52"/>
        <v>4496</v>
      </c>
      <c r="N350" s="45">
        <f t="shared" si="52"/>
        <v>0</v>
      </c>
      <c r="O350" s="45">
        <f t="shared" si="52"/>
        <v>4496</v>
      </c>
    </row>
    <row r="351" spans="1:16" ht="21" customHeight="1" x14ac:dyDescent="0.2">
      <c r="A351" s="40"/>
      <c r="B351" s="41" t="s">
        <v>433</v>
      </c>
      <c r="C351" s="42" t="s">
        <v>51</v>
      </c>
      <c r="D351" s="43" t="s">
        <v>430</v>
      </c>
      <c r="E351" s="43" t="s">
        <v>434</v>
      </c>
      <c r="F351" s="44" t="s">
        <v>11</v>
      </c>
      <c r="G351" s="45">
        <f>G352</f>
        <v>4496</v>
      </c>
      <c r="H351" s="45"/>
      <c r="I351" s="45">
        <f>I352</f>
        <v>4496</v>
      </c>
      <c r="J351" s="46">
        <f t="shared" si="52"/>
        <v>0</v>
      </c>
      <c r="K351" s="45"/>
      <c r="L351" s="46">
        <f t="shared" si="52"/>
        <v>0</v>
      </c>
      <c r="M351" s="45">
        <f t="shared" si="52"/>
        <v>4496</v>
      </c>
      <c r="N351" s="45">
        <f t="shared" si="52"/>
        <v>0</v>
      </c>
      <c r="O351" s="45">
        <f t="shared" si="52"/>
        <v>4496</v>
      </c>
    </row>
    <row r="352" spans="1:16" ht="31.5" x14ac:dyDescent="0.2">
      <c r="A352" s="40"/>
      <c r="B352" s="41" t="s">
        <v>112</v>
      </c>
      <c r="C352" s="42" t="s">
        <v>51</v>
      </c>
      <c r="D352" s="43" t="s">
        <v>430</v>
      </c>
      <c r="E352" s="43" t="s">
        <v>434</v>
      </c>
      <c r="F352" s="44" t="s">
        <v>113</v>
      </c>
      <c r="G352" s="45">
        <v>4496</v>
      </c>
      <c r="H352" s="38"/>
      <c r="I352" s="45">
        <v>4496</v>
      </c>
      <c r="J352" s="47">
        <v>0</v>
      </c>
      <c r="K352" s="38"/>
      <c r="L352" s="47">
        <v>0</v>
      </c>
      <c r="M352" s="45">
        <v>4496</v>
      </c>
      <c r="N352" s="45"/>
      <c r="O352" s="45">
        <v>4496</v>
      </c>
    </row>
    <row r="353" spans="1:15" ht="15.75" x14ac:dyDescent="0.2">
      <c r="A353" s="33" t="s">
        <v>435</v>
      </c>
      <c r="B353" s="34" t="s">
        <v>436</v>
      </c>
      <c r="C353" s="35" t="s">
        <v>51</v>
      </c>
      <c r="D353" s="36" t="s">
        <v>437</v>
      </c>
      <c r="E353" s="36" t="s">
        <v>11</v>
      </c>
      <c r="F353" s="37" t="s">
        <v>11</v>
      </c>
      <c r="G353" s="38">
        <f t="shared" ref="G353:O357" si="53">G354</f>
        <v>2930.2</v>
      </c>
      <c r="H353" s="45">
        <f t="shared" si="53"/>
        <v>0</v>
      </c>
      <c r="I353" s="38">
        <f t="shared" si="53"/>
        <v>2930.2</v>
      </c>
      <c r="J353" s="39">
        <f t="shared" si="53"/>
        <v>3074.2</v>
      </c>
      <c r="K353" s="45">
        <f>K354</f>
        <v>0</v>
      </c>
      <c r="L353" s="39">
        <f t="shared" si="53"/>
        <v>3074.2</v>
      </c>
      <c r="M353" s="38">
        <f t="shared" si="53"/>
        <v>6004.4</v>
      </c>
      <c r="N353" s="38">
        <f t="shared" si="53"/>
        <v>0</v>
      </c>
      <c r="O353" s="38">
        <f t="shared" si="53"/>
        <v>6004.4</v>
      </c>
    </row>
    <row r="354" spans="1:15" ht="31.5" x14ac:dyDescent="0.2">
      <c r="A354" s="40"/>
      <c r="B354" s="41" t="s">
        <v>245</v>
      </c>
      <c r="C354" s="42" t="s">
        <v>51</v>
      </c>
      <c r="D354" s="43" t="s">
        <v>437</v>
      </c>
      <c r="E354" s="43" t="s">
        <v>246</v>
      </c>
      <c r="F354" s="44" t="s">
        <v>11</v>
      </c>
      <c r="G354" s="45">
        <f t="shared" si="53"/>
        <v>2930.2</v>
      </c>
      <c r="H354" s="45">
        <f t="shared" si="53"/>
        <v>0</v>
      </c>
      <c r="I354" s="45">
        <f t="shared" si="53"/>
        <v>2930.2</v>
      </c>
      <c r="J354" s="46">
        <f t="shared" si="53"/>
        <v>3074.2</v>
      </c>
      <c r="K354" s="45">
        <f>K355</f>
        <v>0</v>
      </c>
      <c r="L354" s="46">
        <f t="shared" si="53"/>
        <v>3074.2</v>
      </c>
      <c r="M354" s="45">
        <f t="shared" si="53"/>
        <v>6004.4</v>
      </c>
      <c r="N354" s="45">
        <f t="shared" si="53"/>
        <v>0</v>
      </c>
      <c r="O354" s="45">
        <f t="shared" si="53"/>
        <v>6004.4</v>
      </c>
    </row>
    <row r="355" spans="1:15" ht="31.5" x14ac:dyDescent="0.2">
      <c r="A355" s="40"/>
      <c r="B355" s="41" t="s">
        <v>438</v>
      </c>
      <c r="C355" s="42" t="s">
        <v>51</v>
      </c>
      <c r="D355" s="43" t="s">
        <v>437</v>
      </c>
      <c r="E355" s="43" t="s">
        <v>439</v>
      </c>
      <c r="F355" s="44" t="s">
        <v>11</v>
      </c>
      <c r="G355" s="45">
        <f t="shared" si="53"/>
        <v>2930.2</v>
      </c>
      <c r="H355" s="45">
        <f t="shared" si="53"/>
        <v>0</v>
      </c>
      <c r="I355" s="45">
        <f t="shared" si="53"/>
        <v>2930.2</v>
      </c>
      <c r="J355" s="46">
        <f t="shared" si="53"/>
        <v>3074.2</v>
      </c>
      <c r="K355" s="45">
        <f>K356</f>
        <v>0</v>
      </c>
      <c r="L355" s="46">
        <f t="shared" si="53"/>
        <v>3074.2</v>
      </c>
      <c r="M355" s="45">
        <f t="shared" si="53"/>
        <v>6004.4</v>
      </c>
      <c r="N355" s="45">
        <f t="shared" si="53"/>
        <v>0</v>
      </c>
      <c r="O355" s="45">
        <f t="shared" si="53"/>
        <v>6004.4</v>
      </c>
    </row>
    <row r="356" spans="1:15" ht="31.5" x14ac:dyDescent="0.2">
      <c r="A356" s="40"/>
      <c r="B356" s="41" t="s">
        <v>440</v>
      </c>
      <c r="C356" s="42" t="s">
        <v>51</v>
      </c>
      <c r="D356" s="43" t="s">
        <v>437</v>
      </c>
      <c r="E356" s="43" t="s">
        <v>441</v>
      </c>
      <c r="F356" s="44" t="s">
        <v>11</v>
      </c>
      <c r="G356" s="45">
        <f t="shared" si="53"/>
        <v>2930.2</v>
      </c>
      <c r="H356" s="45">
        <f t="shared" si="53"/>
        <v>0</v>
      </c>
      <c r="I356" s="45">
        <f t="shared" si="53"/>
        <v>2930.2</v>
      </c>
      <c r="J356" s="46">
        <f t="shared" si="53"/>
        <v>3074.2</v>
      </c>
      <c r="K356" s="45">
        <f>K357</f>
        <v>0</v>
      </c>
      <c r="L356" s="46">
        <f t="shared" si="53"/>
        <v>3074.2</v>
      </c>
      <c r="M356" s="45">
        <f t="shared" si="53"/>
        <v>6004.4</v>
      </c>
      <c r="N356" s="45">
        <f t="shared" si="53"/>
        <v>0</v>
      </c>
      <c r="O356" s="45">
        <f t="shared" si="53"/>
        <v>6004.4</v>
      </c>
    </row>
    <row r="357" spans="1:15" ht="31.5" x14ac:dyDescent="0.2">
      <c r="A357" s="40"/>
      <c r="B357" s="41" t="s">
        <v>442</v>
      </c>
      <c r="C357" s="42" t="s">
        <v>51</v>
      </c>
      <c r="D357" s="43" t="s">
        <v>437</v>
      </c>
      <c r="E357" s="43" t="s">
        <v>443</v>
      </c>
      <c r="F357" s="44" t="s">
        <v>11</v>
      </c>
      <c r="G357" s="45">
        <f>G358</f>
        <v>2930.2</v>
      </c>
      <c r="H357" s="45"/>
      <c r="I357" s="45">
        <f>I358</f>
        <v>2930.2</v>
      </c>
      <c r="J357" s="46">
        <f t="shared" si="53"/>
        <v>3074.2</v>
      </c>
      <c r="K357" s="45"/>
      <c r="L357" s="46">
        <f t="shared" si="53"/>
        <v>3074.2</v>
      </c>
      <c r="M357" s="45">
        <f t="shared" si="53"/>
        <v>6004.4</v>
      </c>
      <c r="N357" s="45">
        <f t="shared" si="53"/>
        <v>0</v>
      </c>
      <c r="O357" s="45">
        <f t="shared" si="53"/>
        <v>6004.4</v>
      </c>
    </row>
    <row r="358" spans="1:15" ht="31.5" x14ac:dyDescent="0.2">
      <c r="A358" s="40"/>
      <c r="B358" s="41" t="s">
        <v>112</v>
      </c>
      <c r="C358" s="42" t="s">
        <v>51</v>
      </c>
      <c r="D358" s="43" t="s">
        <v>437</v>
      </c>
      <c r="E358" s="43" t="s">
        <v>443</v>
      </c>
      <c r="F358" s="44" t="s">
        <v>113</v>
      </c>
      <c r="G358" s="45">
        <v>2930.2</v>
      </c>
      <c r="H358" s="38"/>
      <c r="I358" s="45">
        <v>2930.2</v>
      </c>
      <c r="J358" s="47">
        <v>3074.2</v>
      </c>
      <c r="K358" s="38"/>
      <c r="L358" s="47">
        <v>3074.2</v>
      </c>
      <c r="M358" s="45">
        <f>2930.2+J358</f>
        <v>6004.4</v>
      </c>
      <c r="N358" s="45"/>
      <c r="O358" s="45">
        <f>2930.2+L358</f>
        <v>6004.4</v>
      </c>
    </row>
    <row r="359" spans="1:15" ht="15.75" x14ac:dyDescent="0.2">
      <c r="A359" s="33" t="s">
        <v>444</v>
      </c>
      <c r="B359" s="34" t="s">
        <v>445</v>
      </c>
      <c r="C359" s="35" t="s">
        <v>51</v>
      </c>
      <c r="D359" s="36" t="s">
        <v>446</v>
      </c>
      <c r="E359" s="36" t="s">
        <v>11</v>
      </c>
      <c r="F359" s="37" t="s">
        <v>11</v>
      </c>
      <c r="G359" s="38">
        <f t="shared" ref="G359:O363" si="54">G360</f>
        <v>120</v>
      </c>
      <c r="H359" s="45">
        <f t="shared" si="54"/>
        <v>0</v>
      </c>
      <c r="I359" s="38">
        <f t="shared" si="54"/>
        <v>120</v>
      </c>
      <c r="J359" s="39">
        <f t="shared" si="54"/>
        <v>0</v>
      </c>
      <c r="K359" s="45">
        <f>K360</f>
        <v>0</v>
      </c>
      <c r="L359" s="39">
        <f t="shared" si="54"/>
        <v>0</v>
      </c>
      <c r="M359" s="38">
        <f t="shared" si="54"/>
        <v>120</v>
      </c>
      <c r="N359" s="38">
        <f t="shared" si="54"/>
        <v>0</v>
      </c>
      <c r="O359" s="38">
        <f t="shared" si="54"/>
        <v>120</v>
      </c>
    </row>
    <row r="360" spans="1:15" ht="31.5" x14ac:dyDescent="0.2">
      <c r="A360" s="40"/>
      <c r="B360" s="41" t="s">
        <v>87</v>
      </c>
      <c r="C360" s="42" t="s">
        <v>51</v>
      </c>
      <c r="D360" s="43" t="s">
        <v>446</v>
      </c>
      <c r="E360" s="43" t="s">
        <v>88</v>
      </c>
      <c r="F360" s="44" t="s">
        <v>11</v>
      </c>
      <c r="G360" s="45">
        <f t="shared" si="54"/>
        <v>120</v>
      </c>
      <c r="H360" s="45">
        <f t="shared" si="54"/>
        <v>0</v>
      </c>
      <c r="I360" s="45">
        <f t="shared" si="54"/>
        <v>120</v>
      </c>
      <c r="J360" s="46">
        <f t="shared" si="54"/>
        <v>0</v>
      </c>
      <c r="K360" s="45">
        <f>K361</f>
        <v>0</v>
      </c>
      <c r="L360" s="46">
        <f t="shared" si="54"/>
        <v>0</v>
      </c>
      <c r="M360" s="45">
        <f t="shared" si="54"/>
        <v>120</v>
      </c>
      <c r="N360" s="45">
        <f t="shared" si="54"/>
        <v>0</v>
      </c>
      <c r="O360" s="45">
        <f t="shared" si="54"/>
        <v>120</v>
      </c>
    </row>
    <row r="361" spans="1:15" ht="47.25" x14ac:dyDescent="0.2">
      <c r="A361" s="40"/>
      <c r="B361" s="41" t="s">
        <v>89</v>
      </c>
      <c r="C361" s="42" t="s">
        <v>51</v>
      </c>
      <c r="D361" s="43" t="s">
        <v>446</v>
      </c>
      <c r="E361" s="43" t="s">
        <v>90</v>
      </c>
      <c r="F361" s="44" t="s">
        <v>11</v>
      </c>
      <c r="G361" s="45">
        <f t="shared" si="54"/>
        <v>120</v>
      </c>
      <c r="H361" s="45">
        <f t="shared" si="54"/>
        <v>0</v>
      </c>
      <c r="I361" s="45">
        <f t="shared" si="54"/>
        <v>120</v>
      </c>
      <c r="J361" s="46">
        <f t="shared" si="54"/>
        <v>0</v>
      </c>
      <c r="K361" s="45">
        <f>K362</f>
        <v>0</v>
      </c>
      <c r="L361" s="46">
        <f t="shared" si="54"/>
        <v>0</v>
      </c>
      <c r="M361" s="45">
        <f t="shared" si="54"/>
        <v>120</v>
      </c>
      <c r="N361" s="45">
        <f t="shared" si="54"/>
        <v>0</v>
      </c>
      <c r="O361" s="45">
        <f t="shared" si="54"/>
        <v>120</v>
      </c>
    </row>
    <row r="362" spans="1:15" ht="78.75" x14ac:dyDescent="0.2">
      <c r="A362" s="40"/>
      <c r="B362" s="41" t="s">
        <v>91</v>
      </c>
      <c r="C362" s="42" t="s">
        <v>51</v>
      </c>
      <c r="D362" s="43" t="s">
        <v>446</v>
      </c>
      <c r="E362" s="43" t="s">
        <v>92</v>
      </c>
      <c r="F362" s="44" t="s">
        <v>11</v>
      </c>
      <c r="G362" s="45">
        <f t="shared" si="54"/>
        <v>120</v>
      </c>
      <c r="H362" s="45">
        <f t="shared" si="54"/>
        <v>0</v>
      </c>
      <c r="I362" s="45">
        <f t="shared" si="54"/>
        <v>120</v>
      </c>
      <c r="J362" s="46">
        <f t="shared" si="54"/>
        <v>0</v>
      </c>
      <c r="K362" s="45">
        <f>K363</f>
        <v>0</v>
      </c>
      <c r="L362" s="46">
        <f t="shared" si="54"/>
        <v>0</v>
      </c>
      <c r="M362" s="45">
        <f t="shared" si="54"/>
        <v>120</v>
      </c>
      <c r="N362" s="45">
        <f t="shared" si="54"/>
        <v>0</v>
      </c>
      <c r="O362" s="45">
        <f t="shared" si="54"/>
        <v>120</v>
      </c>
    </row>
    <row r="363" spans="1:15" ht="47.25" x14ac:dyDescent="0.2">
      <c r="A363" s="40"/>
      <c r="B363" s="41" t="s">
        <v>93</v>
      </c>
      <c r="C363" s="42" t="s">
        <v>51</v>
      </c>
      <c r="D363" s="43" t="s">
        <v>446</v>
      </c>
      <c r="E363" s="43" t="s">
        <v>94</v>
      </c>
      <c r="F363" s="44" t="s">
        <v>11</v>
      </c>
      <c r="G363" s="45">
        <f>G364</f>
        <v>120</v>
      </c>
      <c r="H363" s="45"/>
      <c r="I363" s="45">
        <f>I364</f>
        <v>120</v>
      </c>
      <c r="J363" s="46">
        <f t="shared" si="54"/>
        <v>0</v>
      </c>
      <c r="K363" s="45"/>
      <c r="L363" s="46">
        <f t="shared" si="54"/>
        <v>0</v>
      </c>
      <c r="M363" s="45">
        <f t="shared" si="54"/>
        <v>120</v>
      </c>
      <c r="N363" s="45">
        <f t="shared" si="54"/>
        <v>0</v>
      </c>
      <c r="O363" s="45">
        <f t="shared" si="54"/>
        <v>120</v>
      </c>
    </row>
    <row r="364" spans="1:15" ht="33.6" customHeight="1" x14ac:dyDescent="0.2">
      <c r="A364" s="40"/>
      <c r="B364" s="41" t="s">
        <v>95</v>
      </c>
      <c r="C364" s="42" t="s">
        <v>51</v>
      </c>
      <c r="D364" s="43" t="s">
        <v>446</v>
      </c>
      <c r="E364" s="43" t="s">
        <v>94</v>
      </c>
      <c r="F364" s="44" t="s">
        <v>96</v>
      </c>
      <c r="G364" s="45">
        <v>120</v>
      </c>
      <c r="H364" s="25"/>
      <c r="I364" s="45">
        <v>120</v>
      </c>
      <c r="J364" s="47">
        <v>0</v>
      </c>
      <c r="K364" s="25"/>
      <c r="L364" s="47">
        <v>0</v>
      </c>
      <c r="M364" s="45">
        <v>120</v>
      </c>
      <c r="N364" s="45"/>
      <c r="O364" s="45">
        <v>120</v>
      </c>
    </row>
    <row r="365" spans="1:15" ht="15.75" x14ac:dyDescent="0.2">
      <c r="A365" s="20" t="s">
        <v>447</v>
      </c>
      <c r="B365" s="21" t="s">
        <v>448</v>
      </c>
      <c r="C365" s="22" t="s">
        <v>51</v>
      </c>
      <c r="D365" s="23" t="s">
        <v>449</v>
      </c>
      <c r="E365" s="23" t="s">
        <v>11</v>
      </c>
      <c r="F365" s="24" t="s">
        <v>11</v>
      </c>
      <c r="G365" s="25">
        <f>G366</f>
        <v>1863.8</v>
      </c>
      <c r="H365" s="38">
        <f>H366+H371</f>
        <v>0</v>
      </c>
      <c r="I365" s="25">
        <f>I366</f>
        <v>1863.8</v>
      </c>
      <c r="J365" s="26">
        <f>J366</f>
        <v>0</v>
      </c>
      <c r="K365" s="38">
        <f>K366+K371</f>
        <v>0</v>
      </c>
      <c r="L365" s="26">
        <f>L366</f>
        <v>0</v>
      </c>
      <c r="M365" s="25">
        <f>M366</f>
        <v>1863.8</v>
      </c>
      <c r="N365" s="25">
        <f>N366</f>
        <v>0</v>
      </c>
      <c r="O365" s="25">
        <f>O366</f>
        <v>1863.8</v>
      </c>
    </row>
    <row r="366" spans="1:15" ht="15.75" x14ac:dyDescent="0.2">
      <c r="A366" s="33" t="s">
        <v>450</v>
      </c>
      <c r="B366" s="34" t="s">
        <v>451</v>
      </c>
      <c r="C366" s="35" t="s">
        <v>51</v>
      </c>
      <c r="D366" s="36" t="s">
        <v>452</v>
      </c>
      <c r="E366" s="36" t="s">
        <v>11</v>
      </c>
      <c r="F366" s="37" t="s">
        <v>11</v>
      </c>
      <c r="G366" s="38">
        <f>G367+G372</f>
        <v>1863.8</v>
      </c>
      <c r="H366" s="45">
        <f t="shared" ref="G366:O368" si="55">H367</f>
        <v>0</v>
      </c>
      <c r="I366" s="38">
        <f>I367+I372</f>
        <v>1863.8</v>
      </c>
      <c r="J366" s="39">
        <f>J367+J372</f>
        <v>0</v>
      </c>
      <c r="K366" s="45">
        <f t="shared" si="55"/>
        <v>0</v>
      </c>
      <c r="L366" s="39">
        <f>L367+L372</f>
        <v>0</v>
      </c>
      <c r="M366" s="38">
        <f>M367+M372</f>
        <v>1863.8</v>
      </c>
      <c r="N366" s="38">
        <f>N367+N372</f>
        <v>0</v>
      </c>
      <c r="O366" s="38">
        <f>O367+O372</f>
        <v>1863.8</v>
      </c>
    </row>
    <row r="367" spans="1:15" ht="31.5" x14ac:dyDescent="0.2">
      <c r="A367" s="40"/>
      <c r="B367" s="41" t="s">
        <v>453</v>
      </c>
      <c r="C367" s="42" t="s">
        <v>51</v>
      </c>
      <c r="D367" s="43" t="s">
        <v>452</v>
      </c>
      <c r="E367" s="43" t="s">
        <v>454</v>
      </c>
      <c r="F367" s="44" t="s">
        <v>11</v>
      </c>
      <c r="G367" s="45">
        <f t="shared" si="55"/>
        <v>1813.8</v>
      </c>
      <c r="H367" s="45">
        <f t="shared" si="55"/>
        <v>0</v>
      </c>
      <c r="I367" s="45">
        <f t="shared" si="55"/>
        <v>1813.8</v>
      </c>
      <c r="J367" s="46">
        <f t="shared" si="55"/>
        <v>0</v>
      </c>
      <c r="K367" s="45">
        <f t="shared" si="55"/>
        <v>0</v>
      </c>
      <c r="L367" s="46">
        <f t="shared" si="55"/>
        <v>0</v>
      </c>
      <c r="M367" s="45">
        <f t="shared" si="55"/>
        <v>1813.8</v>
      </c>
      <c r="N367" s="45">
        <f t="shared" si="55"/>
        <v>0</v>
      </c>
      <c r="O367" s="45">
        <f t="shared" si="55"/>
        <v>1813.8</v>
      </c>
    </row>
    <row r="368" spans="1:15" ht="63" x14ac:dyDescent="0.2">
      <c r="A368" s="40"/>
      <c r="B368" s="41" t="s">
        <v>455</v>
      </c>
      <c r="C368" s="42" t="s">
        <v>51</v>
      </c>
      <c r="D368" s="43" t="s">
        <v>452</v>
      </c>
      <c r="E368" s="43" t="s">
        <v>456</v>
      </c>
      <c r="F368" s="44" t="s">
        <v>11</v>
      </c>
      <c r="G368" s="45">
        <f t="shared" si="55"/>
        <v>1813.8</v>
      </c>
      <c r="H368" s="45">
        <f>H369+H370</f>
        <v>0</v>
      </c>
      <c r="I368" s="45">
        <f t="shared" si="55"/>
        <v>1813.8</v>
      </c>
      <c r="J368" s="46">
        <f t="shared" si="55"/>
        <v>0</v>
      </c>
      <c r="K368" s="45">
        <f>K369+K370</f>
        <v>0</v>
      </c>
      <c r="L368" s="46">
        <f t="shared" si="55"/>
        <v>0</v>
      </c>
      <c r="M368" s="45">
        <f t="shared" si="55"/>
        <v>1813.8</v>
      </c>
      <c r="N368" s="45">
        <f t="shared" si="55"/>
        <v>0</v>
      </c>
      <c r="O368" s="45">
        <f t="shared" si="55"/>
        <v>1813.8</v>
      </c>
    </row>
    <row r="369" spans="1:16" ht="47.25" x14ac:dyDescent="0.2">
      <c r="A369" s="40"/>
      <c r="B369" s="41" t="s">
        <v>457</v>
      </c>
      <c r="C369" s="42" t="s">
        <v>51</v>
      </c>
      <c r="D369" s="43" t="s">
        <v>452</v>
      </c>
      <c r="E369" s="43" t="s">
        <v>458</v>
      </c>
      <c r="F369" s="44" t="s">
        <v>11</v>
      </c>
      <c r="G369" s="45">
        <f>G370+G371</f>
        <v>1813.8</v>
      </c>
      <c r="H369" s="45"/>
      <c r="I369" s="45">
        <f>I370+I371</f>
        <v>1813.8</v>
      </c>
      <c r="J369" s="46">
        <f>J370+J371</f>
        <v>0</v>
      </c>
      <c r="K369" s="45"/>
      <c r="L369" s="46">
        <f>L370+L371</f>
        <v>0</v>
      </c>
      <c r="M369" s="45">
        <f>M370+M371</f>
        <v>1813.8</v>
      </c>
      <c r="N369" s="45">
        <f>N370+N371</f>
        <v>0</v>
      </c>
      <c r="O369" s="45">
        <f>O370+O371</f>
        <v>1813.8</v>
      </c>
    </row>
    <row r="370" spans="1:16" ht="31.5" x14ac:dyDescent="0.2">
      <c r="A370" s="40"/>
      <c r="B370" s="41" t="s">
        <v>40</v>
      </c>
      <c r="C370" s="42" t="s">
        <v>51</v>
      </c>
      <c r="D370" s="43" t="s">
        <v>452</v>
      </c>
      <c r="E370" s="43" t="s">
        <v>458</v>
      </c>
      <c r="F370" s="44" t="s">
        <v>41</v>
      </c>
      <c r="G370" s="45">
        <v>300</v>
      </c>
      <c r="H370" s="45"/>
      <c r="I370" s="45">
        <v>300</v>
      </c>
      <c r="J370" s="47">
        <v>0</v>
      </c>
      <c r="K370" s="45"/>
      <c r="L370" s="47">
        <v>0</v>
      </c>
      <c r="M370" s="45">
        <v>300</v>
      </c>
      <c r="N370" s="45"/>
      <c r="O370" s="45">
        <v>300</v>
      </c>
    </row>
    <row r="371" spans="1:16" ht="31.5" x14ac:dyDescent="0.2">
      <c r="A371" s="40"/>
      <c r="B371" s="41" t="s">
        <v>112</v>
      </c>
      <c r="C371" s="42" t="s">
        <v>51</v>
      </c>
      <c r="D371" s="43" t="s">
        <v>452</v>
      </c>
      <c r="E371" s="43" t="s">
        <v>458</v>
      </c>
      <c r="F371" s="44" t="s">
        <v>113</v>
      </c>
      <c r="G371" s="45">
        <v>1513.8</v>
      </c>
      <c r="H371" s="45"/>
      <c r="I371" s="45">
        <v>1513.8</v>
      </c>
      <c r="J371" s="47">
        <v>0</v>
      </c>
      <c r="K371" s="45"/>
      <c r="L371" s="47">
        <v>0</v>
      </c>
      <c r="M371" s="45">
        <v>1513.8</v>
      </c>
      <c r="N371" s="45"/>
      <c r="O371" s="45">
        <v>1513.8</v>
      </c>
    </row>
    <row r="372" spans="1:16" ht="15.75" x14ac:dyDescent="0.2">
      <c r="A372" s="40"/>
      <c r="B372" s="41" t="s">
        <v>459</v>
      </c>
      <c r="C372" s="42" t="s">
        <v>51</v>
      </c>
      <c r="D372" s="43" t="s">
        <v>452</v>
      </c>
      <c r="E372" s="43" t="s">
        <v>460</v>
      </c>
      <c r="F372" s="44" t="s">
        <v>11</v>
      </c>
      <c r="G372" s="45">
        <f t="shared" ref="G372:O374" si="56">G373</f>
        <v>50</v>
      </c>
      <c r="H372" s="45">
        <f t="shared" si="56"/>
        <v>0</v>
      </c>
      <c r="I372" s="45">
        <f t="shared" si="56"/>
        <v>50</v>
      </c>
      <c r="J372" s="46">
        <f t="shared" si="56"/>
        <v>0</v>
      </c>
      <c r="K372" s="45">
        <f>K373</f>
        <v>0</v>
      </c>
      <c r="L372" s="46">
        <f t="shared" si="56"/>
        <v>0</v>
      </c>
      <c r="M372" s="45">
        <f t="shared" si="56"/>
        <v>50</v>
      </c>
      <c r="N372" s="45">
        <f t="shared" si="56"/>
        <v>0</v>
      </c>
      <c r="O372" s="45">
        <f t="shared" si="56"/>
        <v>50</v>
      </c>
    </row>
    <row r="373" spans="1:16" ht="63" x14ac:dyDescent="0.2">
      <c r="A373" s="40"/>
      <c r="B373" s="41" t="s">
        <v>461</v>
      </c>
      <c r="C373" s="42" t="s">
        <v>51</v>
      </c>
      <c r="D373" s="43" t="s">
        <v>452</v>
      </c>
      <c r="E373" s="43" t="s">
        <v>462</v>
      </c>
      <c r="F373" s="44" t="s">
        <v>11</v>
      </c>
      <c r="G373" s="45">
        <f t="shared" si="56"/>
        <v>50</v>
      </c>
      <c r="H373" s="45">
        <f t="shared" si="56"/>
        <v>0</v>
      </c>
      <c r="I373" s="45">
        <f t="shared" si="56"/>
        <v>50</v>
      </c>
      <c r="J373" s="46">
        <f t="shared" si="56"/>
        <v>0</v>
      </c>
      <c r="K373" s="45">
        <f>K374</f>
        <v>0</v>
      </c>
      <c r="L373" s="46">
        <f t="shared" si="56"/>
        <v>0</v>
      </c>
      <c r="M373" s="45">
        <f t="shared" si="56"/>
        <v>50</v>
      </c>
      <c r="N373" s="45">
        <f t="shared" si="56"/>
        <v>0</v>
      </c>
      <c r="O373" s="45">
        <f t="shared" si="56"/>
        <v>50</v>
      </c>
    </row>
    <row r="374" spans="1:16" ht="31.5" x14ac:dyDescent="0.2">
      <c r="A374" s="40"/>
      <c r="B374" s="41" t="s">
        <v>463</v>
      </c>
      <c r="C374" s="42" t="s">
        <v>51</v>
      </c>
      <c r="D374" s="43" t="s">
        <v>452</v>
      </c>
      <c r="E374" s="43" t="s">
        <v>464</v>
      </c>
      <c r="F374" s="44" t="s">
        <v>11</v>
      </c>
      <c r="G374" s="45">
        <f>G375</f>
        <v>50</v>
      </c>
      <c r="H374" s="45"/>
      <c r="I374" s="45">
        <f>I375</f>
        <v>50</v>
      </c>
      <c r="J374" s="46">
        <f t="shared" si="56"/>
        <v>0</v>
      </c>
      <c r="K374" s="45"/>
      <c r="L374" s="46">
        <f t="shared" si="56"/>
        <v>0</v>
      </c>
      <c r="M374" s="45">
        <f t="shared" si="56"/>
        <v>50</v>
      </c>
      <c r="N374" s="45">
        <f t="shared" si="56"/>
        <v>0</v>
      </c>
      <c r="O374" s="45">
        <f t="shared" si="56"/>
        <v>50</v>
      </c>
    </row>
    <row r="375" spans="1:16" ht="31.5" x14ac:dyDescent="0.2">
      <c r="A375" s="40"/>
      <c r="B375" s="41" t="s">
        <v>40</v>
      </c>
      <c r="C375" s="42" t="s">
        <v>51</v>
      </c>
      <c r="D375" s="43" t="s">
        <v>452</v>
      </c>
      <c r="E375" s="43" t="s">
        <v>464</v>
      </c>
      <c r="F375" s="44" t="s">
        <v>41</v>
      </c>
      <c r="G375" s="45">
        <v>50</v>
      </c>
      <c r="H375" s="25">
        <f t="shared" ref="G375:O381" si="57">H376</f>
        <v>0</v>
      </c>
      <c r="I375" s="45">
        <v>50</v>
      </c>
      <c r="J375" s="47"/>
      <c r="K375" s="25">
        <f t="shared" si="57"/>
        <v>0</v>
      </c>
      <c r="L375" s="47"/>
      <c r="M375" s="45">
        <v>50</v>
      </c>
      <c r="N375" s="45"/>
      <c r="O375" s="45">
        <v>50</v>
      </c>
    </row>
    <row r="376" spans="1:16" ht="31.5" x14ac:dyDescent="0.2">
      <c r="A376" s="20" t="s">
        <v>465</v>
      </c>
      <c r="B376" s="21" t="s">
        <v>466</v>
      </c>
      <c r="C376" s="22" t="s">
        <v>51</v>
      </c>
      <c r="D376" s="23" t="s">
        <v>467</v>
      </c>
      <c r="E376" s="23" t="s">
        <v>11</v>
      </c>
      <c r="F376" s="24" t="s">
        <v>11</v>
      </c>
      <c r="G376" s="25">
        <f t="shared" si="57"/>
        <v>6970.8</v>
      </c>
      <c r="H376" s="38">
        <f t="shared" si="57"/>
        <v>0</v>
      </c>
      <c r="I376" s="25">
        <f t="shared" si="57"/>
        <v>6970.8</v>
      </c>
      <c r="J376" s="26">
        <f t="shared" si="57"/>
        <v>0</v>
      </c>
      <c r="K376" s="38">
        <f t="shared" si="57"/>
        <v>0</v>
      </c>
      <c r="L376" s="26">
        <f t="shared" si="57"/>
        <v>0</v>
      </c>
      <c r="M376" s="25">
        <f t="shared" si="57"/>
        <v>6970.8</v>
      </c>
      <c r="N376" s="25">
        <f t="shared" si="57"/>
        <v>0</v>
      </c>
      <c r="O376" s="25">
        <f t="shared" si="57"/>
        <v>6970.8</v>
      </c>
    </row>
    <row r="377" spans="1:16" ht="31.5" x14ac:dyDescent="0.2">
      <c r="A377" s="33" t="s">
        <v>468</v>
      </c>
      <c r="B377" s="34" t="s">
        <v>469</v>
      </c>
      <c r="C377" s="35" t="s">
        <v>51</v>
      </c>
      <c r="D377" s="36" t="s">
        <v>470</v>
      </c>
      <c r="E377" s="36" t="s">
        <v>11</v>
      </c>
      <c r="F377" s="37" t="s">
        <v>11</v>
      </c>
      <c r="G377" s="38">
        <f t="shared" si="57"/>
        <v>6970.8</v>
      </c>
      <c r="H377" s="45">
        <f t="shared" si="57"/>
        <v>0</v>
      </c>
      <c r="I377" s="38">
        <f t="shared" si="57"/>
        <v>6970.8</v>
      </c>
      <c r="J377" s="39">
        <f t="shared" si="57"/>
        <v>0</v>
      </c>
      <c r="K377" s="45">
        <f t="shared" si="57"/>
        <v>0</v>
      </c>
      <c r="L377" s="39">
        <f t="shared" si="57"/>
        <v>0</v>
      </c>
      <c r="M377" s="38">
        <f t="shared" si="57"/>
        <v>6970.8</v>
      </c>
      <c r="N377" s="38">
        <f t="shared" si="57"/>
        <v>0</v>
      </c>
      <c r="O377" s="38">
        <f t="shared" si="57"/>
        <v>6970.8</v>
      </c>
    </row>
    <row r="378" spans="1:16" ht="31.5" x14ac:dyDescent="0.2">
      <c r="A378" s="40"/>
      <c r="B378" s="41" t="s">
        <v>128</v>
      </c>
      <c r="C378" s="42" t="s">
        <v>51</v>
      </c>
      <c r="D378" s="43" t="s">
        <v>470</v>
      </c>
      <c r="E378" s="43" t="s">
        <v>129</v>
      </c>
      <c r="F378" s="44" t="s">
        <v>11</v>
      </c>
      <c r="G378" s="45">
        <f t="shared" si="57"/>
        <v>6970.8</v>
      </c>
      <c r="H378" s="45">
        <f t="shared" si="57"/>
        <v>0</v>
      </c>
      <c r="I378" s="45">
        <f t="shared" si="57"/>
        <v>6970.8</v>
      </c>
      <c r="J378" s="46">
        <f t="shared" si="57"/>
        <v>0</v>
      </c>
      <c r="K378" s="45">
        <f t="shared" si="57"/>
        <v>0</v>
      </c>
      <c r="L378" s="46">
        <f t="shared" si="57"/>
        <v>0</v>
      </c>
      <c r="M378" s="45">
        <f t="shared" si="57"/>
        <v>6970.8</v>
      </c>
      <c r="N378" s="45">
        <f t="shared" si="57"/>
        <v>0</v>
      </c>
      <c r="O378" s="45">
        <f t="shared" si="57"/>
        <v>6970.8</v>
      </c>
    </row>
    <row r="379" spans="1:16" ht="15.75" x14ac:dyDescent="0.2">
      <c r="A379" s="40"/>
      <c r="B379" s="41" t="s">
        <v>141</v>
      </c>
      <c r="C379" s="42" t="s">
        <v>51</v>
      </c>
      <c r="D379" s="43" t="s">
        <v>470</v>
      </c>
      <c r="E379" s="43" t="s">
        <v>142</v>
      </c>
      <c r="F379" s="44" t="s">
        <v>11</v>
      </c>
      <c r="G379" s="45">
        <f t="shared" si="57"/>
        <v>6970.8</v>
      </c>
      <c r="H379" s="45">
        <f t="shared" si="57"/>
        <v>0</v>
      </c>
      <c r="I379" s="45">
        <f t="shared" si="57"/>
        <v>6970.8</v>
      </c>
      <c r="J379" s="46">
        <f t="shared" si="57"/>
        <v>0</v>
      </c>
      <c r="K379" s="45">
        <f t="shared" si="57"/>
        <v>0</v>
      </c>
      <c r="L379" s="46">
        <f t="shared" si="57"/>
        <v>0</v>
      </c>
      <c r="M379" s="45">
        <f t="shared" si="57"/>
        <v>6970.8</v>
      </c>
      <c r="N379" s="45">
        <f t="shared" si="57"/>
        <v>0</v>
      </c>
      <c r="O379" s="45">
        <f t="shared" si="57"/>
        <v>6970.8</v>
      </c>
    </row>
    <row r="380" spans="1:16" ht="47.25" x14ac:dyDescent="0.2">
      <c r="A380" s="40"/>
      <c r="B380" s="41" t="s">
        <v>143</v>
      </c>
      <c r="C380" s="42" t="s">
        <v>51</v>
      </c>
      <c r="D380" s="43" t="s">
        <v>470</v>
      </c>
      <c r="E380" s="43" t="s">
        <v>144</v>
      </c>
      <c r="F380" s="44" t="s">
        <v>11</v>
      </c>
      <c r="G380" s="45">
        <f t="shared" si="57"/>
        <v>6970.8</v>
      </c>
      <c r="H380" s="45">
        <f t="shared" si="57"/>
        <v>0</v>
      </c>
      <c r="I380" s="45">
        <f t="shared" si="57"/>
        <v>6970.8</v>
      </c>
      <c r="J380" s="46">
        <f t="shared" si="57"/>
        <v>0</v>
      </c>
      <c r="K380" s="45">
        <f t="shared" si="57"/>
        <v>0</v>
      </c>
      <c r="L380" s="46">
        <f t="shared" si="57"/>
        <v>0</v>
      </c>
      <c r="M380" s="45">
        <f t="shared" si="57"/>
        <v>6970.8</v>
      </c>
      <c r="N380" s="45">
        <f t="shared" si="57"/>
        <v>0</v>
      </c>
      <c r="O380" s="45">
        <f t="shared" si="57"/>
        <v>6970.8</v>
      </c>
    </row>
    <row r="381" spans="1:16" ht="15.75" x14ac:dyDescent="0.2">
      <c r="A381" s="40"/>
      <c r="B381" s="41" t="s">
        <v>471</v>
      </c>
      <c r="C381" s="42" t="s">
        <v>51</v>
      </c>
      <c r="D381" s="43" t="s">
        <v>470</v>
      </c>
      <c r="E381" s="43" t="s">
        <v>472</v>
      </c>
      <c r="F381" s="44" t="s">
        <v>11</v>
      </c>
      <c r="G381" s="45">
        <f t="shared" si="57"/>
        <v>6970.8</v>
      </c>
      <c r="H381" s="48"/>
      <c r="I381" s="45">
        <f t="shared" si="57"/>
        <v>6970.8</v>
      </c>
      <c r="J381" s="46">
        <f t="shared" si="57"/>
        <v>0</v>
      </c>
      <c r="K381" s="48"/>
      <c r="L381" s="46">
        <f t="shared" si="57"/>
        <v>0</v>
      </c>
      <c r="M381" s="45">
        <f t="shared" si="57"/>
        <v>6970.8</v>
      </c>
      <c r="N381" s="45">
        <f t="shared" si="57"/>
        <v>0</v>
      </c>
      <c r="O381" s="45">
        <f t="shared" si="57"/>
        <v>6970.8</v>
      </c>
    </row>
    <row r="382" spans="1:16" ht="31.5" x14ac:dyDescent="0.2">
      <c r="A382" s="40"/>
      <c r="B382" s="41" t="s">
        <v>473</v>
      </c>
      <c r="C382" s="42" t="s">
        <v>51</v>
      </c>
      <c r="D382" s="43" t="s">
        <v>470</v>
      </c>
      <c r="E382" s="43" t="s">
        <v>472</v>
      </c>
      <c r="F382" s="44" t="s">
        <v>474</v>
      </c>
      <c r="G382" s="48">
        <f>4650000/1000+2320.8</f>
        <v>6970.8</v>
      </c>
      <c r="H382" s="25"/>
      <c r="I382" s="48">
        <f>4650000/1000+2320.8</f>
        <v>6970.8</v>
      </c>
      <c r="J382" s="47">
        <v>0</v>
      </c>
      <c r="K382" s="25"/>
      <c r="L382" s="47">
        <v>0</v>
      </c>
      <c r="M382" s="48">
        <f>4650000/1000+2320.8</f>
        <v>6970.8</v>
      </c>
      <c r="N382" s="48"/>
      <c r="O382" s="48">
        <f>4650000/1000+2320.8</f>
        <v>6970.8</v>
      </c>
    </row>
    <row r="383" spans="1:16" ht="31.5" x14ac:dyDescent="0.2">
      <c r="A383" s="20" t="s">
        <v>475</v>
      </c>
      <c r="B383" s="21" t="s">
        <v>476</v>
      </c>
      <c r="C383" s="22" t="s">
        <v>477</v>
      </c>
      <c r="D383" s="23" t="s">
        <v>11</v>
      </c>
      <c r="E383" s="23" t="s">
        <v>11</v>
      </c>
      <c r="F383" s="24" t="s">
        <v>11</v>
      </c>
      <c r="G383" s="25">
        <f>G384</f>
        <v>133559.29999999999</v>
      </c>
      <c r="H383" s="25">
        <f>H384+H410+H416</f>
        <v>4633.2</v>
      </c>
      <c r="I383" s="25">
        <f>I384</f>
        <v>138173.9</v>
      </c>
      <c r="J383" s="26">
        <f>J384</f>
        <v>5408.7</v>
      </c>
      <c r="K383" s="25">
        <f>K384+K410+K416</f>
        <v>3300</v>
      </c>
      <c r="L383" s="26">
        <f>L384</f>
        <v>8708.7000000000007</v>
      </c>
      <c r="M383" s="25">
        <f>M384</f>
        <v>138968</v>
      </c>
      <c r="N383" s="25">
        <f>N384</f>
        <v>7914.6</v>
      </c>
      <c r="O383" s="25">
        <f>O384</f>
        <v>146882.6</v>
      </c>
      <c r="P383" s="18"/>
    </row>
    <row r="384" spans="1:16" ht="15.75" x14ac:dyDescent="0.2">
      <c r="A384" s="20" t="s">
        <v>478</v>
      </c>
      <c r="B384" s="21" t="s">
        <v>479</v>
      </c>
      <c r="C384" s="22" t="s">
        <v>477</v>
      </c>
      <c r="D384" s="23" t="s">
        <v>480</v>
      </c>
      <c r="E384" s="23" t="s">
        <v>11</v>
      </c>
      <c r="F384" s="24" t="s">
        <v>11</v>
      </c>
      <c r="G384" s="25">
        <f>G385+G411+G417</f>
        <v>133559.29999999999</v>
      </c>
      <c r="H384" s="38">
        <f>H385+H417</f>
        <v>4633.2</v>
      </c>
      <c r="I384" s="25">
        <f>I385+I411+I417</f>
        <v>138173.9</v>
      </c>
      <c r="J384" s="26">
        <f>J385+J411+J417</f>
        <v>5408.7</v>
      </c>
      <c r="K384" s="38">
        <f>K385</f>
        <v>3300</v>
      </c>
      <c r="L384" s="26">
        <f>L385+L411+L417</f>
        <v>8708.7000000000007</v>
      </c>
      <c r="M384" s="25">
        <f>M385+M411+M417</f>
        <v>138968</v>
      </c>
      <c r="N384" s="25">
        <f>N385+N411+N417</f>
        <v>7914.6</v>
      </c>
      <c r="O384" s="25">
        <f>O385+O411+O417</f>
        <v>146882.6</v>
      </c>
      <c r="P384" s="17"/>
    </row>
    <row r="385" spans="1:16" ht="15.75" x14ac:dyDescent="0.2">
      <c r="A385" s="33" t="s">
        <v>481</v>
      </c>
      <c r="B385" s="34" t="s">
        <v>482</v>
      </c>
      <c r="C385" s="35" t="s">
        <v>477</v>
      </c>
      <c r="D385" s="36" t="s">
        <v>483</v>
      </c>
      <c r="E385" s="36" t="s">
        <v>11</v>
      </c>
      <c r="F385" s="37" t="s">
        <v>11</v>
      </c>
      <c r="G385" s="38">
        <f>G386</f>
        <v>106562.5</v>
      </c>
      <c r="H385" s="45">
        <f>H386+H394</f>
        <v>4568</v>
      </c>
      <c r="I385" s="38">
        <f>I386</f>
        <v>111130.5</v>
      </c>
      <c r="J385" s="39">
        <f>J386</f>
        <v>5408.7</v>
      </c>
      <c r="K385" s="45">
        <f>K386+K394</f>
        <v>3300</v>
      </c>
      <c r="L385" s="39">
        <f>L386</f>
        <v>8708.7000000000007</v>
      </c>
      <c r="M385" s="38">
        <f>M386</f>
        <v>111971.2</v>
      </c>
      <c r="N385" s="38">
        <f>N386</f>
        <v>7868</v>
      </c>
      <c r="O385" s="38">
        <f>O386</f>
        <v>119839.2</v>
      </c>
      <c r="P385" s="15"/>
    </row>
    <row r="386" spans="1:16" ht="31.5" x14ac:dyDescent="0.2">
      <c r="A386" s="40"/>
      <c r="B386" s="41" t="s">
        <v>484</v>
      </c>
      <c r="C386" s="42" t="s">
        <v>477</v>
      </c>
      <c r="D386" s="43" t="s">
        <v>483</v>
      </c>
      <c r="E386" s="43" t="s">
        <v>485</v>
      </c>
      <c r="F386" s="44" t="s">
        <v>11</v>
      </c>
      <c r="G386" s="45">
        <f>G387+G395</f>
        <v>106562.5</v>
      </c>
      <c r="H386" s="45">
        <f>H387+H402+H397+H404</f>
        <v>4568</v>
      </c>
      <c r="I386" s="45">
        <f>I387+I395</f>
        <v>111130.5</v>
      </c>
      <c r="J386" s="46">
        <f>J387+J395</f>
        <v>5408.7</v>
      </c>
      <c r="K386" s="45">
        <f>K387+K395</f>
        <v>3300</v>
      </c>
      <c r="L386" s="46">
        <f>L387+L395</f>
        <v>8708.7000000000007</v>
      </c>
      <c r="M386" s="45">
        <f>M387+M395</f>
        <v>111971.2</v>
      </c>
      <c r="N386" s="45">
        <f>N387+N402+N397+N404</f>
        <v>7868</v>
      </c>
      <c r="O386" s="45">
        <f>O387+O395</f>
        <v>119839.2</v>
      </c>
      <c r="P386" s="16"/>
    </row>
    <row r="387" spans="1:16" ht="15.75" x14ac:dyDescent="0.2">
      <c r="A387" s="40"/>
      <c r="B387" s="41" t="s">
        <v>486</v>
      </c>
      <c r="C387" s="42" t="s">
        <v>477</v>
      </c>
      <c r="D387" s="43" t="s">
        <v>483</v>
      </c>
      <c r="E387" s="43" t="s">
        <v>487</v>
      </c>
      <c r="F387" s="44" t="s">
        <v>11</v>
      </c>
      <c r="G387" s="45">
        <f>G388</f>
        <v>5600</v>
      </c>
      <c r="H387" s="45">
        <f>H388+H392</f>
        <v>734.3</v>
      </c>
      <c r="I387" s="45">
        <f>I388</f>
        <v>6334.3</v>
      </c>
      <c r="J387" s="46">
        <f>J388</f>
        <v>0</v>
      </c>
      <c r="K387" s="45">
        <f>K388+K390+K392</f>
        <v>0</v>
      </c>
      <c r="L387" s="46">
        <f>L388</f>
        <v>0</v>
      </c>
      <c r="M387" s="45">
        <f>M388</f>
        <v>5600</v>
      </c>
      <c r="N387" s="45">
        <f>N388</f>
        <v>734.3</v>
      </c>
      <c r="O387" s="45">
        <f>O388</f>
        <v>6334.3</v>
      </c>
    </row>
    <row r="388" spans="1:16" ht="15.75" x14ac:dyDescent="0.2">
      <c r="A388" s="40"/>
      <c r="B388" s="41" t="s">
        <v>488</v>
      </c>
      <c r="C388" s="42" t="s">
        <v>477</v>
      </c>
      <c r="D388" s="43" t="s">
        <v>483</v>
      </c>
      <c r="E388" s="43" t="s">
        <v>489</v>
      </c>
      <c r="F388" s="44" t="s">
        <v>11</v>
      </c>
      <c r="G388" s="45">
        <f>G389+G391+G393</f>
        <v>5600</v>
      </c>
      <c r="H388" s="45">
        <f>H389</f>
        <v>734.3</v>
      </c>
      <c r="I388" s="45">
        <f>I389+I391+I393</f>
        <v>6334.3</v>
      </c>
      <c r="J388" s="46">
        <f>J389+J391+J393</f>
        <v>0</v>
      </c>
      <c r="K388" s="45">
        <f>K389</f>
        <v>0</v>
      </c>
      <c r="L388" s="46">
        <f>L389+L391+L393</f>
        <v>0</v>
      </c>
      <c r="M388" s="45">
        <f>M389+M391+M393</f>
        <v>5600</v>
      </c>
      <c r="N388" s="45">
        <f>N389+N391+N393</f>
        <v>734.3</v>
      </c>
      <c r="O388" s="45">
        <f>O389+O391+O393</f>
        <v>6334.3</v>
      </c>
    </row>
    <row r="389" spans="1:16" ht="15.75" x14ac:dyDescent="0.2">
      <c r="A389" s="40"/>
      <c r="B389" s="41" t="s">
        <v>490</v>
      </c>
      <c r="C389" s="42" t="s">
        <v>477</v>
      </c>
      <c r="D389" s="43" t="s">
        <v>483</v>
      </c>
      <c r="E389" s="43" t="s">
        <v>491</v>
      </c>
      <c r="F389" s="44" t="s">
        <v>11</v>
      </c>
      <c r="G389" s="45">
        <f>G390</f>
        <v>5300</v>
      </c>
      <c r="H389" s="45">
        <f>H390</f>
        <v>734.3</v>
      </c>
      <c r="I389" s="45">
        <f>I390</f>
        <v>6034.3</v>
      </c>
      <c r="J389" s="46">
        <f>J390</f>
        <v>0</v>
      </c>
      <c r="K389" s="45"/>
      <c r="L389" s="46">
        <f>L390</f>
        <v>0</v>
      </c>
      <c r="M389" s="45">
        <f>M390</f>
        <v>5300</v>
      </c>
      <c r="N389" s="45">
        <f>N390</f>
        <v>734.3</v>
      </c>
      <c r="O389" s="45">
        <f>O390</f>
        <v>6034.3</v>
      </c>
    </row>
    <row r="390" spans="1:16" ht="31.5" x14ac:dyDescent="0.2">
      <c r="A390" s="40"/>
      <c r="B390" s="41" t="s">
        <v>40</v>
      </c>
      <c r="C390" s="42" t="s">
        <v>477</v>
      </c>
      <c r="D390" s="43" t="s">
        <v>483</v>
      </c>
      <c r="E390" s="43" t="s">
        <v>491</v>
      </c>
      <c r="F390" s="44" t="s">
        <v>41</v>
      </c>
      <c r="G390" s="45">
        <f>5300000/1000</f>
        <v>5300</v>
      </c>
      <c r="H390" s="45">
        <v>734.3</v>
      </c>
      <c r="I390" s="45">
        <f>SUM(G390+H390)</f>
        <v>6034.3</v>
      </c>
      <c r="J390" s="47">
        <v>0</v>
      </c>
      <c r="K390" s="45"/>
      <c r="L390" s="47">
        <v>0</v>
      </c>
      <c r="M390" s="45">
        <f>5300000/1000</f>
        <v>5300</v>
      </c>
      <c r="N390" s="45">
        <f>SUM(H390)</f>
        <v>734.3</v>
      </c>
      <c r="O390" s="45">
        <f>SUM(M390+N390)</f>
        <v>6034.3</v>
      </c>
    </row>
    <row r="391" spans="1:16" ht="15.75" x14ac:dyDescent="0.2">
      <c r="A391" s="40"/>
      <c r="B391" s="41" t="s">
        <v>492</v>
      </c>
      <c r="C391" s="42" t="s">
        <v>477</v>
      </c>
      <c r="D391" s="43" t="s">
        <v>483</v>
      </c>
      <c r="E391" s="43" t="s">
        <v>493</v>
      </c>
      <c r="F391" s="44" t="s">
        <v>11</v>
      </c>
      <c r="G391" s="45">
        <f>G392</f>
        <v>300</v>
      </c>
      <c r="H391" s="45"/>
      <c r="I391" s="45">
        <f>I392</f>
        <v>300</v>
      </c>
      <c r="J391" s="46">
        <f>J392</f>
        <v>0</v>
      </c>
      <c r="K391" s="45"/>
      <c r="L391" s="46">
        <f>L392</f>
        <v>0</v>
      </c>
      <c r="M391" s="45">
        <f>M392</f>
        <v>300</v>
      </c>
      <c r="N391" s="45">
        <f>N392</f>
        <v>0</v>
      </c>
      <c r="O391" s="45">
        <f>O392</f>
        <v>300</v>
      </c>
    </row>
    <row r="392" spans="1:16" ht="31.5" x14ac:dyDescent="0.2">
      <c r="A392" s="40"/>
      <c r="B392" s="41" t="s">
        <v>40</v>
      </c>
      <c r="C392" s="42" t="s">
        <v>477</v>
      </c>
      <c r="D392" s="43" t="s">
        <v>483</v>
      </c>
      <c r="E392" s="43" t="s">
        <v>493</v>
      </c>
      <c r="F392" s="44" t="s">
        <v>41</v>
      </c>
      <c r="G392" s="45">
        <f>300000/1000</f>
        <v>300</v>
      </c>
      <c r="H392" s="45"/>
      <c r="I392" s="45">
        <f>300000/1000</f>
        <v>300</v>
      </c>
      <c r="J392" s="47">
        <v>0</v>
      </c>
      <c r="K392" s="45"/>
      <c r="L392" s="47">
        <v>0</v>
      </c>
      <c r="M392" s="45">
        <f>300000/1000</f>
        <v>300</v>
      </c>
      <c r="N392" s="45"/>
      <c r="O392" s="45">
        <f>300000/1000</f>
        <v>300</v>
      </c>
    </row>
    <row r="393" spans="1:16" ht="15.75" x14ac:dyDescent="0.2">
      <c r="A393" s="40"/>
      <c r="B393" s="41" t="s">
        <v>378</v>
      </c>
      <c r="C393" s="42" t="s">
        <v>477</v>
      </c>
      <c r="D393" s="43" t="s">
        <v>483</v>
      </c>
      <c r="E393" s="43" t="s">
        <v>494</v>
      </c>
      <c r="F393" s="44" t="s">
        <v>11</v>
      </c>
      <c r="G393" s="45">
        <f>G394</f>
        <v>0</v>
      </c>
      <c r="H393" s="45"/>
      <c r="I393" s="45">
        <f>I394</f>
        <v>0</v>
      </c>
      <c r="J393" s="46">
        <f>J394</f>
        <v>0</v>
      </c>
      <c r="K393" s="45"/>
      <c r="L393" s="46">
        <f>L394</f>
        <v>0</v>
      </c>
      <c r="M393" s="45">
        <f>M394</f>
        <v>0</v>
      </c>
      <c r="N393" s="45">
        <f>N394</f>
        <v>0</v>
      </c>
      <c r="O393" s="45">
        <f>O394</f>
        <v>0</v>
      </c>
    </row>
    <row r="394" spans="1:16" ht="31.5" x14ac:dyDescent="0.2">
      <c r="A394" s="40"/>
      <c r="B394" s="41" t="s">
        <v>40</v>
      </c>
      <c r="C394" s="42" t="s">
        <v>477</v>
      </c>
      <c r="D394" s="43" t="s">
        <v>483</v>
      </c>
      <c r="E394" s="43" t="s">
        <v>494</v>
      </c>
      <c r="F394" s="44" t="s">
        <v>41</v>
      </c>
      <c r="G394" s="45"/>
      <c r="H394" s="45"/>
      <c r="I394" s="45"/>
      <c r="J394" s="47">
        <v>0</v>
      </c>
      <c r="K394" s="45"/>
      <c r="L394" s="47">
        <v>0</v>
      </c>
      <c r="M394" s="45"/>
      <c r="N394" s="45"/>
      <c r="O394" s="45"/>
    </row>
    <row r="395" spans="1:16" ht="47.25" x14ac:dyDescent="0.2">
      <c r="A395" s="40"/>
      <c r="B395" s="41" t="s">
        <v>495</v>
      </c>
      <c r="C395" s="42" t="s">
        <v>477</v>
      </c>
      <c r="D395" s="43" t="s">
        <v>483</v>
      </c>
      <c r="E395" s="43" t="s">
        <v>496</v>
      </c>
      <c r="F395" s="44" t="s">
        <v>11</v>
      </c>
      <c r="G395" s="45">
        <f>G396</f>
        <v>100962.5</v>
      </c>
      <c r="H395" s="45">
        <f>H396+H401+H405+H408</f>
        <v>5392.7000000000007</v>
      </c>
      <c r="I395" s="45">
        <f>I396</f>
        <v>104796.2</v>
      </c>
      <c r="J395" s="46">
        <f>J396</f>
        <v>5408.7</v>
      </c>
      <c r="K395" s="45">
        <f>K396+K401+K405+K408</f>
        <v>3300</v>
      </c>
      <c r="L395" s="46">
        <f>L396</f>
        <v>8708.7000000000007</v>
      </c>
      <c r="M395" s="45">
        <f>M396</f>
        <v>106371.2</v>
      </c>
      <c r="N395" s="45">
        <f>N396</f>
        <v>7133.7</v>
      </c>
      <c r="O395" s="45">
        <f>O396</f>
        <v>113504.9</v>
      </c>
      <c r="P395" s="16"/>
    </row>
    <row r="396" spans="1:16" ht="47.25" x14ac:dyDescent="0.2">
      <c r="A396" s="40"/>
      <c r="B396" s="41" t="s">
        <v>497</v>
      </c>
      <c r="C396" s="42" t="s">
        <v>477</v>
      </c>
      <c r="D396" s="43" t="s">
        <v>483</v>
      </c>
      <c r="E396" s="43" t="s">
        <v>498</v>
      </c>
      <c r="F396" s="44" t="s">
        <v>11</v>
      </c>
      <c r="G396" s="45">
        <f>G397+G404+G406+G409</f>
        <v>100962.5</v>
      </c>
      <c r="H396" s="45">
        <f>H397+H398+H400+H402+H404</f>
        <v>3833.7000000000003</v>
      </c>
      <c r="I396" s="45">
        <f>I397+I404+I406+I409+I402</f>
        <v>104796.2</v>
      </c>
      <c r="J396" s="46">
        <f>J397+J404+J406+J409</f>
        <v>5408.7</v>
      </c>
      <c r="K396" s="45">
        <f>K397+K398+K399+K400+K402</f>
        <v>3300</v>
      </c>
      <c r="L396" s="46">
        <f>L397+L404+L406+L409+K396</f>
        <v>8708.7000000000007</v>
      </c>
      <c r="M396" s="45">
        <f>M397+M404+M406+M409</f>
        <v>106371.2</v>
      </c>
      <c r="N396" s="45">
        <f>N397+N398+N400+N402+N404</f>
        <v>7133.7</v>
      </c>
      <c r="O396" s="45">
        <f>O397+O404+O406+O409+O402</f>
        <v>113504.9</v>
      </c>
      <c r="P396" s="16"/>
    </row>
    <row r="397" spans="1:16" ht="31.5" x14ac:dyDescent="0.2">
      <c r="A397" s="40"/>
      <c r="B397" s="41" t="s">
        <v>134</v>
      </c>
      <c r="C397" s="42" t="s">
        <v>477</v>
      </c>
      <c r="D397" s="43" t="s">
        <v>483</v>
      </c>
      <c r="E397" s="43" t="s">
        <v>499</v>
      </c>
      <c r="F397" s="44" t="s">
        <v>11</v>
      </c>
      <c r="G397" s="45">
        <f>G398+G399+G400+G401</f>
        <v>99826.900000000009</v>
      </c>
      <c r="H397" s="45">
        <f>SUM(H399)</f>
        <v>151.80000000000001</v>
      </c>
      <c r="I397" s="45">
        <f>I398+I399+I400+I401</f>
        <v>99978.700000000012</v>
      </c>
      <c r="J397" s="46">
        <f>J398+J399+J400+J401</f>
        <v>0</v>
      </c>
      <c r="K397" s="45"/>
      <c r="L397" s="46">
        <f>L398+L399+L400+L401</f>
        <v>0</v>
      </c>
      <c r="M397" s="45">
        <f>M398+M399+M400+M401</f>
        <v>99826.900000000009</v>
      </c>
      <c r="N397" s="45">
        <f>N398+N399+N400+N401</f>
        <v>151.80000000000001</v>
      </c>
      <c r="O397" s="45">
        <f>O398+O399+O400+O401</f>
        <v>99978.700000000012</v>
      </c>
    </row>
    <row r="398" spans="1:16" ht="78.75" x14ac:dyDescent="0.2">
      <c r="A398" s="40"/>
      <c r="B398" s="41" t="s">
        <v>61</v>
      </c>
      <c r="C398" s="42" t="s">
        <v>477</v>
      </c>
      <c r="D398" s="43" t="s">
        <v>483</v>
      </c>
      <c r="E398" s="43" t="s">
        <v>499</v>
      </c>
      <c r="F398" s="44" t="s">
        <v>62</v>
      </c>
      <c r="G398" s="45">
        <f>16503800/1000</f>
        <v>16503.8</v>
      </c>
      <c r="H398" s="45"/>
      <c r="I398" s="45">
        <f>16503800/1000</f>
        <v>16503.8</v>
      </c>
      <c r="J398" s="47">
        <v>0</v>
      </c>
      <c r="K398" s="45"/>
      <c r="L398" s="47">
        <v>0</v>
      </c>
      <c r="M398" s="45">
        <f>16503800/1000</f>
        <v>16503.8</v>
      </c>
      <c r="N398" s="45"/>
      <c r="O398" s="45">
        <f>16503800/1000</f>
        <v>16503.8</v>
      </c>
    </row>
    <row r="399" spans="1:16" ht="31.5" x14ac:dyDescent="0.2">
      <c r="A399" s="40"/>
      <c r="B399" s="41" t="s">
        <v>40</v>
      </c>
      <c r="C399" s="42" t="s">
        <v>477</v>
      </c>
      <c r="D399" s="43" t="s">
        <v>483</v>
      </c>
      <c r="E399" s="43" t="s">
        <v>499</v>
      </c>
      <c r="F399" s="44" t="s">
        <v>41</v>
      </c>
      <c r="G399" s="45">
        <f>6166000/1000</f>
        <v>6166</v>
      </c>
      <c r="H399" s="48">
        <f>170.4-18.6</f>
        <v>151.80000000000001</v>
      </c>
      <c r="I399" s="45">
        <f>6166000/1000+H399</f>
        <v>6317.8</v>
      </c>
      <c r="J399" s="47">
        <v>0</v>
      </c>
      <c r="K399" s="48"/>
      <c r="L399" s="47">
        <v>0</v>
      </c>
      <c r="M399" s="45">
        <f>6166000/1000</f>
        <v>6166</v>
      </c>
      <c r="N399" s="45">
        <f>SUM(H399)</f>
        <v>151.80000000000001</v>
      </c>
      <c r="O399" s="45">
        <f>6166000/1000+N399</f>
        <v>6317.8</v>
      </c>
    </row>
    <row r="400" spans="1:16" ht="39" customHeight="1" x14ac:dyDescent="0.2">
      <c r="A400" s="40"/>
      <c r="B400" s="41" t="s">
        <v>95</v>
      </c>
      <c r="C400" s="42" t="s">
        <v>477</v>
      </c>
      <c r="D400" s="43" t="s">
        <v>483</v>
      </c>
      <c r="E400" s="43" t="s">
        <v>499</v>
      </c>
      <c r="F400" s="44" t="s">
        <v>96</v>
      </c>
      <c r="G400" s="48">
        <f>75925300/1000+1213.2</f>
        <v>77138.5</v>
      </c>
      <c r="H400" s="45"/>
      <c r="I400" s="48">
        <f>75925300/1000+1213.2</f>
        <v>77138.5</v>
      </c>
      <c r="J400" s="47">
        <v>0</v>
      </c>
      <c r="K400" s="45"/>
      <c r="L400" s="47">
        <v>0</v>
      </c>
      <c r="M400" s="48">
        <f>75925300/1000+1213.2</f>
        <v>77138.5</v>
      </c>
      <c r="N400" s="48"/>
      <c r="O400" s="48">
        <f>75925300/1000+1213.2</f>
        <v>77138.5</v>
      </c>
    </row>
    <row r="401" spans="1:15" ht="15.75" x14ac:dyDescent="0.2">
      <c r="A401" s="40"/>
      <c r="B401" s="41" t="s">
        <v>338</v>
      </c>
      <c r="C401" s="42" t="s">
        <v>477</v>
      </c>
      <c r="D401" s="43" t="s">
        <v>483</v>
      </c>
      <c r="E401" s="43" t="s">
        <v>499</v>
      </c>
      <c r="F401" s="44" t="s">
        <v>71</v>
      </c>
      <c r="G401" s="45">
        <f>18600/1000</f>
        <v>18.600000000000001</v>
      </c>
      <c r="H401" s="45"/>
      <c r="I401" s="45">
        <f>18600/1000</f>
        <v>18.600000000000001</v>
      </c>
      <c r="J401" s="47">
        <v>0</v>
      </c>
      <c r="K401" s="45"/>
      <c r="L401" s="47">
        <v>0</v>
      </c>
      <c r="M401" s="45">
        <f>18600/1000</f>
        <v>18.600000000000001</v>
      </c>
      <c r="N401" s="45"/>
      <c r="O401" s="45">
        <f>18600/1000</f>
        <v>18.600000000000001</v>
      </c>
    </row>
    <row r="402" spans="1:15" ht="31.5" x14ac:dyDescent="0.2">
      <c r="A402" s="40"/>
      <c r="B402" s="41" t="s">
        <v>500</v>
      </c>
      <c r="C402" s="42">
        <v>993</v>
      </c>
      <c r="D402" s="43" t="s">
        <v>483</v>
      </c>
      <c r="E402" s="57" t="s">
        <v>501</v>
      </c>
      <c r="F402" s="44"/>
      <c r="G402" s="45"/>
      <c r="H402" s="45">
        <f>SUM(H403)</f>
        <v>2122.9</v>
      </c>
      <c r="I402" s="45">
        <f>SUM(H402)</f>
        <v>2122.9</v>
      </c>
      <c r="J402" s="47"/>
      <c r="K402" s="45">
        <f>SUM(K403)</f>
        <v>3300</v>
      </c>
      <c r="L402" s="47">
        <f>SUM(K402)</f>
        <v>3300</v>
      </c>
      <c r="M402" s="45"/>
      <c r="N402" s="45">
        <f>SUM(K402)+H402</f>
        <v>5422.9</v>
      </c>
      <c r="O402" s="45">
        <f>SUM(I402)+L402</f>
        <v>5422.9</v>
      </c>
    </row>
    <row r="403" spans="1:15" ht="47.25" x14ac:dyDescent="0.2">
      <c r="A403" s="40"/>
      <c r="B403" s="41" t="s">
        <v>95</v>
      </c>
      <c r="C403" s="42">
        <v>993</v>
      </c>
      <c r="D403" s="43" t="s">
        <v>483</v>
      </c>
      <c r="E403" s="57" t="s">
        <v>501</v>
      </c>
      <c r="F403" s="44">
        <v>600</v>
      </c>
      <c r="G403" s="45"/>
      <c r="H403" s="45">
        <f>1564+558.9</f>
        <v>2122.9</v>
      </c>
      <c r="I403" s="45">
        <f>SUM(H403)</f>
        <v>2122.9</v>
      </c>
      <c r="J403" s="47"/>
      <c r="K403" s="45">
        <v>3300</v>
      </c>
      <c r="L403" s="47">
        <f>SUM(K403)</f>
        <v>3300</v>
      </c>
      <c r="M403" s="45"/>
      <c r="N403" s="45">
        <f>SUM(K403)+H403</f>
        <v>5422.9</v>
      </c>
      <c r="O403" s="45">
        <f>SUM(I403)+L403</f>
        <v>5422.9</v>
      </c>
    </row>
    <row r="404" spans="1:15" ht="47.25" x14ac:dyDescent="0.2">
      <c r="A404" s="40"/>
      <c r="B404" s="41" t="s">
        <v>283</v>
      </c>
      <c r="C404" s="42" t="s">
        <v>477</v>
      </c>
      <c r="D404" s="43" t="s">
        <v>483</v>
      </c>
      <c r="E404" s="43" t="s">
        <v>502</v>
      </c>
      <c r="F404" s="44" t="s">
        <v>11</v>
      </c>
      <c r="G404" s="45">
        <f>G405</f>
        <v>255</v>
      </c>
      <c r="H404" s="45">
        <f>SUM(H405)</f>
        <v>1559</v>
      </c>
      <c r="I404" s="45">
        <f>I405</f>
        <v>1814</v>
      </c>
      <c r="J404" s="46">
        <f>J405</f>
        <v>0</v>
      </c>
      <c r="K404" s="45"/>
      <c r="L404" s="46">
        <f>L405</f>
        <v>0</v>
      </c>
      <c r="M404" s="45">
        <f>M405</f>
        <v>255</v>
      </c>
      <c r="N404" s="45">
        <f>N405</f>
        <v>1559</v>
      </c>
      <c r="O404" s="45">
        <f>O405</f>
        <v>1814</v>
      </c>
    </row>
    <row r="405" spans="1:15" ht="36" customHeight="1" x14ac:dyDescent="0.2">
      <c r="A405" s="40"/>
      <c r="B405" s="41" t="s">
        <v>95</v>
      </c>
      <c r="C405" s="42" t="s">
        <v>477</v>
      </c>
      <c r="D405" s="43" t="s">
        <v>483</v>
      </c>
      <c r="E405" s="43" t="s">
        <v>502</v>
      </c>
      <c r="F405" s="44" t="s">
        <v>96</v>
      </c>
      <c r="G405" s="45">
        <f>255000/1000</f>
        <v>255</v>
      </c>
      <c r="H405" s="45">
        <f>1559</f>
        <v>1559</v>
      </c>
      <c r="I405" s="45">
        <f>255000/1000+H405</f>
        <v>1814</v>
      </c>
      <c r="J405" s="47"/>
      <c r="K405" s="45"/>
      <c r="L405" s="47"/>
      <c r="M405" s="45">
        <f>255000/1000</f>
        <v>255</v>
      </c>
      <c r="N405" s="45">
        <f>SUM(H405)</f>
        <v>1559</v>
      </c>
      <c r="O405" s="45">
        <f>255000/1000+N405</f>
        <v>1814</v>
      </c>
    </row>
    <row r="406" spans="1:15" ht="31.5" x14ac:dyDescent="0.2">
      <c r="A406" s="40"/>
      <c r="B406" s="41" t="s">
        <v>503</v>
      </c>
      <c r="C406" s="42" t="s">
        <v>477</v>
      </c>
      <c r="D406" s="43" t="s">
        <v>483</v>
      </c>
      <c r="E406" s="43" t="s">
        <v>504</v>
      </c>
      <c r="F406" s="44" t="s">
        <v>11</v>
      </c>
      <c r="G406" s="45">
        <f>G407</f>
        <v>626.20000000000005</v>
      </c>
      <c r="H406" s="45"/>
      <c r="I406" s="45">
        <f>I407</f>
        <v>626.20000000000005</v>
      </c>
      <c r="J406" s="46">
        <f>J407</f>
        <v>3846.2</v>
      </c>
      <c r="K406" s="45"/>
      <c r="L406" s="46">
        <f>L407</f>
        <v>3846.2</v>
      </c>
      <c r="M406" s="45">
        <f>M407</f>
        <v>4472.3999999999996</v>
      </c>
      <c r="N406" s="45">
        <f>N407</f>
        <v>0</v>
      </c>
      <c r="O406" s="45">
        <f>O407</f>
        <v>4472.3999999999996</v>
      </c>
    </row>
    <row r="407" spans="1:15" ht="36" customHeight="1" x14ac:dyDescent="0.2">
      <c r="A407" s="40"/>
      <c r="B407" s="41" t="s">
        <v>95</v>
      </c>
      <c r="C407" s="42" t="s">
        <v>477</v>
      </c>
      <c r="D407" s="43" t="s">
        <v>483</v>
      </c>
      <c r="E407" s="43" t="s">
        <v>504</v>
      </c>
      <c r="F407" s="44" t="s">
        <v>96</v>
      </c>
      <c r="G407" s="45">
        <v>626.20000000000005</v>
      </c>
      <c r="H407" s="45"/>
      <c r="I407" s="45">
        <v>626.20000000000005</v>
      </c>
      <c r="J407" s="47">
        <v>3846.2</v>
      </c>
      <c r="K407" s="45"/>
      <c r="L407" s="47">
        <v>3846.2</v>
      </c>
      <c r="M407" s="45">
        <f>626.2+J407</f>
        <v>4472.3999999999996</v>
      </c>
      <c r="N407" s="45"/>
      <c r="O407" s="45">
        <f>626.2+L407</f>
        <v>4472.3999999999996</v>
      </c>
    </row>
    <row r="408" spans="1:15" ht="36" customHeight="1" x14ac:dyDescent="0.2">
      <c r="A408" s="40"/>
      <c r="B408" s="56" t="s">
        <v>505</v>
      </c>
      <c r="C408" s="42">
        <v>993</v>
      </c>
      <c r="D408" s="43" t="s">
        <v>483</v>
      </c>
      <c r="E408" s="43" t="s">
        <v>506</v>
      </c>
      <c r="F408" s="44"/>
      <c r="G408" s="45">
        <v>254.4</v>
      </c>
      <c r="H408" s="45"/>
      <c r="I408" s="45">
        <v>254.4</v>
      </c>
      <c r="J408" s="47">
        <v>1562.5</v>
      </c>
      <c r="K408" s="45"/>
      <c r="L408" s="47">
        <v>1562.5</v>
      </c>
      <c r="M408" s="45">
        <f>254.4+J408</f>
        <v>1816.9</v>
      </c>
      <c r="N408" s="45"/>
      <c r="O408" s="45">
        <f>254.4+L408</f>
        <v>1816.9</v>
      </c>
    </row>
    <row r="409" spans="1:15" ht="36" customHeight="1" x14ac:dyDescent="0.2">
      <c r="A409" s="40"/>
      <c r="B409" s="56" t="s">
        <v>507</v>
      </c>
      <c r="C409" s="42">
        <v>993</v>
      </c>
      <c r="D409" s="43" t="s">
        <v>483</v>
      </c>
      <c r="E409" s="43" t="s">
        <v>508</v>
      </c>
      <c r="F409" s="44"/>
      <c r="G409" s="45">
        <v>254.4</v>
      </c>
      <c r="H409" s="45"/>
      <c r="I409" s="45">
        <v>254.4</v>
      </c>
      <c r="J409" s="47">
        <v>1562.5</v>
      </c>
      <c r="K409" s="45"/>
      <c r="L409" s="47">
        <v>1562.5</v>
      </c>
      <c r="M409" s="45">
        <f>254.4+J409</f>
        <v>1816.9</v>
      </c>
      <c r="N409" s="45"/>
      <c r="O409" s="45">
        <f>254.4+L409</f>
        <v>1816.9</v>
      </c>
    </row>
    <row r="410" spans="1:15" ht="36" customHeight="1" x14ac:dyDescent="0.2">
      <c r="A410" s="40"/>
      <c r="B410" s="41" t="s">
        <v>95</v>
      </c>
      <c r="C410" s="42">
        <v>993</v>
      </c>
      <c r="D410" s="43" t="s">
        <v>483</v>
      </c>
      <c r="E410" s="43" t="s">
        <v>508</v>
      </c>
      <c r="F410" s="44">
        <v>600</v>
      </c>
      <c r="G410" s="45">
        <v>254.4</v>
      </c>
      <c r="H410" s="38"/>
      <c r="I410" s="45">
        <v>254.4</v>
      </c>
      <c r="J410" s="47">
        <v>1562.5</v>
      </c>
      <c r="K410" s="38"/>
      <c r="L410" s="47">
        <v>1562.5</v>
      </c>
      <c r="M410" s="45">
        <f>254.4+J410</f>
        <v>1816.9</v>
      </c>
      <c r="N410" s="45"/>
      <c r="O410" s="45">
        <f>254.4+L410</f>
        <v>1816.9</v>
      </c>
    </row>
    <row r="411" spans="1:15" ht="15.75" x14ac:dyDescent="0.2">
      <c r="A411" s="33" t="s">
        <v>509</v>
      </c>
      <c r="B411" s="34" t="s">
        <v>510</v>
      </c>
      <c r="C411" s="35" t="s">
        <v>477</v>
      </c>
      <c r="D411" s="36" t="s">
        <v>511</v>
      </c>
      <c r="E411" s="36" t="s">
        <v>11</v>
      </c>
      <c r="F411" s="37" t="s">
        <v>11</v>
      </c>
      <c r="G411" s="38">
        <f t="shared" ref="G411:O415" si="58">G412</f>
        <v>10735.7</v>
      </c>
      <c r="H411" s="45">
        <f t="shared" si="58"/>
        <v>0</v>
      </c>
      <c r="I411" s="38">
        <f t="shared" si="58"/>
        <v>10735.7</v>
      </c>
      <c r="J411" s="39">
        <f t="shared" si="58"/>
        <v>0</v>
      </c>
      <c r="K411" s="45">
        <f>K412</f>
        <v>0</v>
      </c>
      <c r="L411" s="39">
        <f t="shared" si="58"/>
        <v>0</v>
      </c>
      <c r="M411" s="38">
        <f t="shared" si="58"/>
        <v>10735.7</v>
      </c>
      <c r="N411" s="38">
        <f t="shared" si="58"/>
        <v>0</v>
      </c>
      <c r="O411" s="38">
        <f t="shared" si="58"/>
        <v>10735.7</v>
      </c>
    </row>
    <row r="412" spans="1:15" ht="31.5" x14ac:dyDescent="0.2">
      <c r="A412" s="40"/>
      <c r="B412" s="41" t="s">
        <v>484</v>
      </c>
      <c r="C412" s="42" t="s">
        <v>477</v>
      </c>
      <c r="D412" s="43" t="s">
        <v>511</v>
      </c>
      <c r="E412" s="43" t="s">
        <v>485</v>
      </c>
      <c r="F412" s="44" t="s">
        <v>11</v>
      </c>
      <c r="G412" s="45">
        <f t="shared" si="58"/>
        <v>10735.7</v>
      </c>
      <c r="H412" s="45">
        <f t="shared" si="58"/>
        <v>0</v>
      </c>
      <c r="I412" s="45">
        <f t="shared" si="58"/>
        <v>10735.7</v>
      </c>
      <c r="J412" s="46">
        <f t="shared" si="58"/>
        <v>0</v>
      </c>
      <c r="K412" s="45">
        <f>K413</f>
        <v>0</v>
      </c>
      <c r="L412" s="46">
        <f t="shared" si="58"/>
        <v>0</v>
      </c>
      <c r="M412" s="45">
        <f t="shared" si="58"/>
        <v>10735.7</v>
      </c>
      <c r="N412" s="45">
        <f t="shared" si="58"/>
        <v>0</v>
      </c>
      <c r="O412" s="45">
        <f t="shared" si="58"/>
        <v>10735.7</v>
      </c>
    </row>
    <row r="413" spans="1:15" ht="47.25" x14ac:dyDescent="0.2">
      <c r="A413" s="40"/>
      <c r="B413" s="41" t="s">
        <v>495</v>
      </c>
      <c r="C413" s="42" t="s">
        <v>477</v>
      </c>
      <c r="D413" s="43" t="s">
        <v>511</v>
      </c>
      <c r="E413" s="43" t="s">
        <v>496</v>
      </c>
      <c r="F413" s="44" t="s">
        <v>11</v>
      </c>
      <c r="G413" s="45">
        <f t="shared" si="58"/>
        <v>10735.7</v>
      </c>
      <c r="H413" s="45">
        <f t="shared" si="58"/>
        <v>0</v>
      </c>
      <c r="I413" s="45">
        <f t="shared" si="58"/>
        <v>10735.7</v>
      </c>
      <c r="J413" s="46">
        <f t="shared" si="58"/>
        <v>0</v>
      </c>
      <c r="K413" s="45">
        <f>K414</f>
        <v>0</v>
      </c>
      <c r="L413" s="46">
        <f t="shared" si="58"/>
        <v>0</v>
      </c>
      <c r="M413" s="45">
        <f t="shared" si="58"/>
        <v>10735.7</v>
      </c>
      <c r="N413" s="45">
        <f t="shared" si="58"/>
        <v>0</v>
      </c>
      <c r="O413" s="45">
        <f t="shared" si="58"/>
        <v>10735.7</v>
      </c>
    </row>
    <row r="414" spans="1:15" ht="47.25" x14ac:dyDescent="0.2">
      <c r="A414" s="40"/>
      <c r="B414" s="41" t="s">
        <v>497</v>
      </c>
      <c r="C414" s="42" t="s">
        <v>477</v>
      </c>
      <c r="D414" s="43" t="s">
        <v>511</v>
      </c>
      <c r="E414" s="43" t="s">
        <v>498</v>
      </c>
      <c r="F414" s="44" t="s">
        <v>11</v>
      </c>
      <c r="G414" s="45">
        <f t="shared" si="58"/>
        <v>10735.7</v>
      </c>
      <c r="H414" s="45">
        <f t="shared" si="58"/>
        <v>0</v>
      </c>
      <c r="I414" s="45">
        <f t="shared" si="58"/>
        <v>10735.7</v>
      </c>
      <c r="J414" s="46">
        <f t="shared" si="58"/>
        <v>0</v>
      </c>
      <c r="K414" s="45">
        <f>K415</f>
        <v>0</v>
      </c>
      <c r="L414" s="46">
        <f t="shared" si="58"/>
        <v>0</v>
      </c>
      <c r="M414" s="45">
        <f t="shared" si="58"/>
        <v>10735.7</v>
      </c>
      <c r="N414" s="45">
        <f t="shared" si="58"/>
        <v>0</v>
      </c>
      <c r="O414" s="45">
        <f t="shared" si="58"/>
        <v>10735.7</v>
      </c>
    </row>
    <row r="415" spans="1:15" ht="31.5" x14ac:dyDescent="0.2">
      <c r="A415" s="40"/>
      <c r="B415" s="41" t="s">
        <v>134</v>
      </c>
      <c r="C415" s="42" t="s">
        <v>477</v>
      </c>
      <c r="D415" s="43" t="s">
        <v>511</v>
      </c>
      <c r="E415" s="43" t="s">
        <v>499</v>
      </c>
      <c r="F415" s="44" t="s">
        <v>11</v>
      </c>
      <c r="G415" s="45">
        <f>G416</f>
        <v>10735.7</v>
      </c>
      <c r="H415" s="45"/>
      <c r="I415" s="45">
        <f>I416</f>
        <v>10735.7</v>
      </c>
      <c r="J415" s="46">
        <f t="shared" si="58"/>
        <v>0</v>
      </c>
      <c r="K415" s="45"/>
      <c r="L415" s="46">
        <f t="shared" si="58"/>
        <v>0</v>
      </c>
      <c r="M415" s="45">
        <f t="shared" si="58"/>
        <v>10735.7</v>
      </c>
      <c r="N415" s="45">
        <f t="shared" si="58"/>
        <v>0</v>
      </c>
      <c r="O415" s="45">
        <f t="shared" si="58"/>
        <v>10735.7</v>
      </c>
    </row>
    <row r="416" spans="1:15" ht="36.6" customHeight="1" x14ac:dyDescent="0.2">
      <c r="A416" s="40"/>
      <c r="B416" s="41" t="s">
        <v>95</v>
      </c>
      <c r="C416" s="42" t="s">
        <v>477</v>
      </c>
      <c r="D416" s="43" t="s">
        <v>511</v>
      </c>
      <c r="E416" s="43" t="s">
        <v>499</v>
      </c>
      <c r="F416" s="44" t="s">
        <v>96</v>
      </c>
      <c r="G416" s="45">
        <f>10735700/1000</f>
        <v>10735.7</v>
      </c>
      <c r="H416" s="38"/>
      <c r="I416" s="45">
        <f>10735700/1000</f>
        <v>10735.7</v>
      </c>
      <c r="J416" s="47">
        <v>0</v>
      </c>
      <c r="K416" s="38"/>
      <c r="L416" s="47">
        <v>0</v>
      </c>
      <c r="M416" s="45">
        <f>10735700/1000</f>
        <v>10735.7</v>
      </c>
      <c r="N416" s="45"/>
      <c r="O416" s="45">
        <f>10735700/1000</f>
        <v>10735.7</v>
      </c>
    </row>
    <row r="417" spans="1:15" ht="31.5" x14ac:dyDescent="0.2">
      <c r="A417" s="33" t="s">
        <v>512</v>
      </c>
      <c r="B417" s="34" t="s">
        <v>513</v>
      </c>
      <c r="C417" s="35" t="s">
        <v>477</v>
      </c>
      <c r="D417" s="36" t="s">
        <v>514</v>
      </c>
      <c r="E417" s="36" t="s">
        <v>11</v>
      </c>
      <c r="F417" s="37" t="s">
        <v>11</v>
      </c>
      <c r="G417" s="38">
        <f>G418</f>
        <v>16261.099999999999</v>
      </c>
      <c r="H417" s="45">
        <f>H418+H428</f>
        <v>65.2</v>
      </c>
      <c r="I417" s="38">
        <f>I418</f>
        <v>16307.699999999999</v>
      </c>
      <c r="J417" s="39">
        <f>J418</f>
        <v>0</v>
      </c>
      <c r="K417" s="45">
        <f>K418+K428</f>
        <v>0</v>
      </c>
      <c r="L417" s="39">
        <f>L418</f>
        <v>0</v>
      </c>
      <c r="M417" s="38">
        <f>M418</f>
        <v>16261.099999999999</v>
      </c>
      <c r="N417" s="38">
        <f>N418</f>
        <v>46.6</v>
      </c>
      <c r="O417" s="38">
        <f>O418</f>
        <v>16307.699999999999</v>
      </c>
    </row>
    <row r="418" spans="1:15" ht="31.5" x14ac:dyDescent="0.2">
      <c r="A418" s="40"/>
      <c r="B418" s="41" t="s">
        <v>484</v>
      </c>
      <c r="C418" s="42" t="s">
        <v>477</v>
      </c>
      <c r="D418" s="43" t="s">
        <v>514</v>
      </c>
      <c r="E418" s="43" t="s">
        <v>485</v>
      </c>
      <c r="F418" s="44" t="s">
        <v>11</v>
      </c>
      <c r="G418" s="45">
        <f>G419+G429</f>
        <v>16261.099999999999</v>
      </c>
      <c r="H418" s="45">
        <f>H419+H423</f>
        <v>65.2</v>
      </c>
      <c r="I418" s="45">
        <f>I419+I429</f>
        <v>16307.699999999999</v>
      </c>
      <c r="J418" s="46">
        <f>J419+J429</f>
        <v>0</v>
      </c>
      <c r="K418" s="45">
        <f>K419+K423</f>
        <v>0</v>
      </c>
      <c r="L418" s="46">
        <f>L419+L429</f>
        <v>0</v>
      </c>
      <c r="M418" s="45">
        <f>M419+M429</f>
        <v>16261.099999999999</v>
      </c>
      <c r="N418" s="45">
        <f>N419+N429</f>
        <v>46.6</v>
      </c>
      <c r="O418" s="45">
        <f>O419+O429</f>
        <v>16307.699999999999</v>
      </c>
    </row>
    <row r="419" spans="1:15" ht="47.25" x14ac:dyDescent="0.2">
      <c r="A419" s="40"/>
      <c r="B419" s="41" t="s">
        <v>495</v>
      </c>
      <c r="C419" s="42" t="s">
        <v>477</v>
      </c>
      <c r="D419" s="43" t="s">
        <v>514</v>
      </c>
      <c r="E419" s="43" t="s">
        <v>496</v>
      </c>
      <c r="F419" s="44" t="s">
        <v>11</v>
      </c>
      <c r="G419" s="45">
        <f>G420+G424</f>
        <v>14395.199999999999</v>
      </c>
      <c r="H419" s="45">
        <f>H420+H424</f>
        <v>46.6</v>
      </c>
      <c r="I419" s="45">
        <f>I420+I424</f>
        <v>14441.8</v>
      </c>
      <c r="J419" s="46">
        <f>J420+J424</f>
        <v>0</v>
      </c>
      <c r="K419" s="45">
        <f>K420</f>
        <v>0</v>
      </c>
      <c r="L419" s="46">
        <f>L420+L424</f>
        <v>0</v>
      </c>
      <c r="M419" s="45">
        <f>M420+M424</f>
        <v>14395.199999999999</v>
      </c>
      <c r="N419" s="45">
        <f>N420+N424</f>
        <v>46.6</v>
      </c>
      <c r="O419" s="45">
        <f>O420+O424</f>
        <v>14441.8</v>
      </c>
    </row>
    <row r="420" spans="1:15" ht="47.25" x14ac:dyDescent="0.2">
      <c r="A420" s="40"/>
      <c r="B420" s="41" t="s">
        <v>497</v>
      </c>
      <c r="C420" s="42" t="s">
        <v>477</v>
      </c>
      <c r="D420" s="43" t="s">
        <v>514</v>
      </c>
      <c r="E420" s="43" t="s">
        <v>498</v>
      </c>
      <c r="F420" s="44" t="s">
        <v>11</v>
      </c>
      <c r="G420" s="45">
        <f>G421</f>
        <v>4712</v>
      </c>
      <c r="H420" s="45">
        <f>H421+H422</f>
        <v>18.600000000000001</v>
      </c>
      <c r="I420" s="45">
        <f>I421</f>
        <v>4730.5999999999995</v>
      </c>
      <c r="J420" s="46">
        <f>J421</f>
        <v>0</v>
      </c>
      <c r="K420" s="45">
        <f>K421+K422</f>
        <v>0</v>
      </c>
      <c r="L420" s="46">
        <f>L421</f>
        <v>0</v>
      </c>
      <c r="M420" s="45">
        <f>M421</f>
        <v>4712</v>
      </c>
      <c r="N420" s="45">
        <f>N421</f>
        <v>18.600000000000001</v>
      </c>
      <c r="O420" s="45">
        <f>O421</f>
        <v>4730.5999999999995</v>
      </c>
    </row>
    <row r="421" spans="1:15" ht="31.5" x14ac:dyDescent="0.2">
      <c r="A421" s="40"/>
      <c r="B421" s="41" t="s">
        <v>134</v>
      </c>
      <c r="C421" s="42" t="s">
        <v>477</v>
      </c>
      <c r="D421" s="43" t="s">
        <v>514</v>
      </c>
      <c r="E421" s="43" t="s">
        <v>499</v>
      </c>
      <c r="F421" s="44" t="s">
        <v>11</v>
      </c>
      <c r="G421" s="45">
        <f>G422+G423</f>
        <v>4712</v>
      </c>
      <c r="H421" s="45">
        <f>SUM(H423)</f>
        <v>18.600000000000001</v>
      </c>
      <c r="I421" s="45">
        <f>I422+I423</f>
        <v>4730.5999999999995</v>
      </c>
      <c r="J421" s="46">
        <f>J422+J423</f>
        <v>0</v>
      </c>
      <c r="K421" s="45"/>
      <c r="L421" s="46">
        <f>L422+L423</f>
        <v>0</v>
      </c>
      <c r="M421" s="45">
        <f>M422+M423</f>
        <v>4712</v>
      </c>
      <c r="N421" s="45">
        <f>N422+N423</f>
        <v>18.600000000000001</v>
      </c>
      <c r="O421" s="45">
        <f>O422+O423</f>
        <v>4730.5999999999995</v>
      </c>
    </row>
    <row r="422" spans="1:15" ht="78.75" x14ac:dyDescent="0.2">
      <c r="A422" s="40"/>
      <c r="B422" s="41" t="s">
        <v>61</v>
      </c>
      <c r="C422" s="42" t="s">
        <v>477</v>
      </c>
      <c r="D422" s="43" t="s">
        <v>514</v>
      </c>
      <c r="E422" s="43" t="s">
        <v>499</v>
      </c>
      <c r="F422" s="44" t="s">
        <v>62</v>
      </c>
      <c r="G422" s="45">
        <f>3786600/1000+351.1</f>
        <v>4137.7</v>
      </c>
      <c r="H422" s="45"/>
      <c r="I422" s="45">
        <f>3786600/1000+351.1</f>
        <v>4137.7</v>
      </c>
      <c r="J422" s="47"/>
      <c r="K422" s="45"/>
      <c r="L422" s="47"/>
      <c r="M422" s="45">
        <f>3786600/1000+351.1</f>
        <v>4137.7</v>
      </c>
      <c r="N422" s="45"/>
      <c r="O422" s="45">
        <f>3786600/1000+351.1</f>
        <v>4137.7</v>
      </c>
    </row>
    <row r="423" spans="1:15" ht="31.5" x14ac:dyDescent="0.2">
      <c r="A423" s="40"/>
      <c r="B423" s="41" t="s">
        <v>40</v>
      </c>
      <c r="C423" s="42" t="s">
        <v>477</v>
      </c>
      <c r="D423" s="43" t="s">
        <v>514</v>
      </c>
      <c r="E423" s="43" t="s">
        <v>499</v>
      </c>
      <c r="F423" s="44" t="s">
        <v>41</v>
      </c>
      <c r="G423" s="45">
        <f>574300/1000</f>
        <v>574.29999999999995</v>
      </c>
      <c r="H423" s="45">
        <v>18.600000000000001</v>
      </c>
      <c r="I423" s="45">
        <f>SUM(G423+H423)</f>
        <v>592.9</v>
      </c>
      <c r="J423" s="47"/>
      <c r="K423" s="45"/>
      <c r="L423" s="47"/>
      <c r="M423" s="45">
        <f>574300/1000</f>
        <v>574.29999999999995</v>
      </c>
      <c r="N423" s="45">
        <f>SUM(H423)</f>
        <v>18.600000000000001</v>
      </c>
      <c r="O423" s="45">
        <f>SUM(M423+N423)</f>
        <v>592.9</v>
      </c>
    </row>
    <row r="424" spans="1:15" ht="47.25" x14ac:dyDescent="0.2">
      <c r="A424" s="40"/>
      <c r="B424" s="41" t="s">
        <v>515</v>
      </c>
      <c r="C424" s="42" t="s">
        <v>477</v>
      </c>
      <c r="D424" s="43" t="s">
        <v>514</v>
      </c>
      <c r="E424" s="43" t="s">
        <v>516</v>
      </c>
      <c r="F424" s="44" t="s">
        <v>11</v>
      </c>
      <c r="G424" s="45">
        <f>G425</f>
        <v>9683.1999999999989</v>
      </c>
      <c r="H424" s="45">
        <f>H425</f>
        <v>28</v>
      </c>
      <c r="I424" s="45">
        <f>I425</f>
        <v>9711.1999999999989</v>
      </c>
      <c r="J424" s="46">
        <f>J425</f>
        <v>0</v>
      </c>
      <c r="K424" s="45">
        <f>K425+K426+K427</f>
        <v>0</v>
      </c>
      <c r="L424" s="46">
        <f>L425</f>
        <v>0</v>
      </c>
      <c r="M424" s="45">
        <f>M425</f>
        <v>9683.1999999999989</v>
      </c>
      <c r="N424" s="45">
        <f>N425</f>
        <v>28</v>
      </c>
      <c r="O424" s="45">
        <f>O425</f>
        <v>9711.1999999999989</v>
      </c>
    </row>
    <row r="425" spans="1:15" ht="31.5" x14ac:dyDescent="0.2">
      <c r="A425" s="40"/>
      <c r="B425" s="41" t="s">
        <v>134</v>
      </c>
      <c r="C425" s="42" t="s">
        <v>477</v>
      </c>
      <c r="D425" s="43" t="s">
        <v>514</v>
      </c>
      <c r="E425" s="43" t="s">
        <v>517</v>
      </c>
      <c r="F425" s="44" t="s">
        <v>11</v>
      </c>
      <c r="G425" s="45">
        <f>G426+G427+G428</f>
        <v>9683.1999999999989</v>
      </c>
      <c r="H425" s="45">
        <f>SUM(H426+H427)</f>
        <v>28</v>
      </c>
      <c r="I425" s="45">
        <f>I426+I427+I428</f>
        <v>9711.1999999999989</v>
      </c>
      <c r="J425" s="46">
        <f>J426+J427+J428</f>
        <v>0</v>
      </c>
      <c r="K425" s="45"/>
      <c r="L425" s="46">
        <f>L426+L427+L428</f>
        <v>0</v>
      </c>
      <c r="M425" s="45">
        <f>M426+M427+M428</f>
        <v>9683.1999999999989</v>
      </c>
      <c r="N425" s="45">
        <f>N426+N427+N428</f>
        <v>28</v>
      </c>
      <c r="O425" s="45">
        <f>O426+O427+O428</f>
        <v>9711.1999999999989</v>
      </c>
    </row>
    <row r="426" spans="1:15" ht="78.75" x14ac:dyDescent="0.2">
      <c r="A426" s="40"/>
      <c r="B426" s="41" t="s">
        <v>61</v>
      </c>
      <c r="C426" s="42" t="s">
        <v>477</v>
      </c>
      <c r="D426" s="43" t="s">
        <v>514</v>
      </c>
      <c r="E426" s="43" t="s">
        <v>517</v>
      </c>
      <c r="F426" s="44" t="s">
        <v>62</v>
      </c>
      <c r="G426" s="45">
        <f>8275300/1000</f>
        <v>8275.2999999999993</v>
      </c>
      <c r="H426" s="45">
        <v>7.9</v>
      </c>
      <c r="I426" s="45">
        <f>8275300/1000+H426</f>
        <v>8283.1999999999989</v>
      </c>
      <c r="J426" s="47">
        <v>0</v>
      </c>
      <c r="K426" s="45"/>
      <c r="L426" s="47">
        <v>0</v>
      </c>
      <c r="M426" s="45">
        <f>8275300/1000</f>
        <v>8275.2999999999993</v>
      </c>
      <c r="N426" s="45">
        <f>SUM(H426)</f>
        <v>7.9</v>
      </c>
      <c r="O426" s="45">
        <f>8275300/1000+N426</f>
        <v>8283.1999999999989</v>
      </c>
    </row>
    <row r="427" spans="1:15" ht="31.5" x14ac:dyDescent="0.2">
      <c r="A427" s="40"/>
      <c r="B427" s="41" t="s">
        <v>40</v>
      </c>
      <c r="C427" s="42" t="s">
        <v>477</v>
      </c>
      <c r="D427" s="43" t="s">
        <v>514</v>
      </c>
      <c r="E427" s="43" t="s">
        <v>517</v>
      </c>
      <c r="F427" s="44" t="s">
        <v>41</v>
      </c>
      <c r="G427" s="45">
        <f>1406800/1000</f>
        <v>1406.8</v>
      </c>
      <c r="H427" s="45">
        <v>20.100000000000001</v>
      </c>
      <c r="I427" s="45">
        <f>1406800/1000+H427</f>
        <v>1426.8999999999999</v>
      </c>
      <c r="J427" s="47">
        <v>0</v>
      </c>
      <c r="K427" s="45"/>
      <c r="L427" s="47">
        <v>0</v>
      </c>
      <c r="M427" s="45">
        <f>1406800/1000</f>
        <v>1406.8</v>
      </c>
      <c r="N427" s="45">
        <f>SUM(H427)</f>
        <v>20.100000000000001</v>
      </c>
      <c r="O427" s="45">
        <f>1406800/1000+N427</f>
        <v>1426.8999999999999</v>
      </c>
    </row>
    <row r="428" spans="1:15" ht="15.75" x14ac:dyDescent="0.2">
      <c r="A428" s="40"/>
      <c r="B428" s="41" t="s">
        <v>70</v>
      </c>
      <c r="C428" s="42" t="s">
        <v>477</v>
      </c>
      <c r="D428" s="43" t="s">
        <v>514</v>
      </c>
      <c r="E428" s="43" t="s">
        <v>517</v>
      </c>
      <c r="F428" s="44" t="s">
        <v>71</v>
      </c>
      <c r="G428" s="45">
        <f>1100/1000</f>
        <v>1.1000000000000001</v>
      </c>
      <c r="H428" s="45"/>
      <c r="I428" s="45">
        <f>1100/1000</f>
        <v>1.1000000000000001</v>
      </c>
      <c r="J428" s="47">
        <v>0</v>
      </c>
      <c r="K428" s="45"/>
      <c r="L428" s="47">
        <v>0</v>
      </c>
      <c r="M428" s="45">
        <f>1100/1000</f>
        <v>1.1000000000000001</v>
      </c>
      <c r="N428" s="45"/>
      <c r="O428" s="45">
        <f>1100/1000</f>
        <v>1.1000000000000001</v>
      </c>
    </row>
    <row r="429" spans="1:15" ht="31.5" x14ac:dyDescent="0.2">
      <c r="A429" s="40"/>
      <c r="B429" s="41" t="s">
        <v>518</v>
      </c>
      <c r="C429" s="42" t="s">
        <v>477</v>
      </c>
      <c r="D429" s="43" t="s">
        <v>514</v>
      </c>
      <c r="E429" s="43" t="s">
        <v>519</v>
      </c>
      <c r="F429" s="44" t="s">
        <v>11</v>
      </c>
      <c r="G429" s="45">
        <f t="shared" ref="G429:O430" si="59">G430</f>
        <v>1865.9</v>
      </c>
      <c r="H429" s="45">
        <f t="shared" si="59"/>
        <v>0</v>
      </c>
      <c r="I429" s="45">
        <f t="shared" si="59"/>
        <v>1865.9</v>
      </c>
      <c r="J429" s="46">
        <f t="shared" si="59"/>
        <v>0</v>
      </c>
      <c r="K429" s="45">
        <f t="shared" si="59"/>
        <v>0</v>
      </c>
      <c r="L429" s="46">
        <f t="shared" si="59"/>
        <v>0</v>
      </c>
      <c r="M429" s="45">
        <f t="shared" si="59"/>
        <v>1865.9</v>
      </c>
      <c r="N429" s="45">
        <f t="shared" si="59"/>
        <v>0</v>
      </c>
      <c r="O429" s="45">
        <f t="shared" si="59"/>
        <v>1865.9</v>
      </c>
    </row>
    <row r="430" spans="1:15" ht="31.5" x14ac:dyDescent="0.2">
      <c r="A430" s="40"/>
      <c r="B430" s="41" t="s">
        <v>520</v>
      </c>
      <c r="C430" s="42" t="s">
        <v>477</v>
      </c>
      <c r="D430" s="43" t="s">
        <v>514</v>
      </c>
      <c r="E430" s="43" t="s">
        <v>521</v>
      </c>
      <c r="F430" s="44" t="s">
        <v>11</v>
      </c>
      <c r="G430" s="45">
        <f t="shared" si="59"/>
        <v>1865.9</v>
      </c>
      <c r="H430" s="45">
        <f>H431+H432</f>
        <v>0</v>
      </c>
      <c r="I430" s="45">
        <f t="shared" si="59"/>
        <v>1865.9</v>
      </c>
      <c r="J430" s="46">
        <f t="shared" si="59"/>
        <v>0</v>
      </c>
      <c r="K430" s="45">
        <f>K431+K432</f>
        <v>0</v>
      </c>
      <c r="L430" s="46">
        <f t="shared" si="59"/>
        <v>0</v>
      </c>
      <c r="M430" s="45">
        <f t="shared" si="59"/>
        <v>1865.9</v>
      </c>
      <c r="N430" s="45">
        <f t="shared" si="59"/>
        <v>0</v>
      </c>
      <c r="O430" s="45">
        <f t="shared" si="59"/>
        <v>1865.9</v>
      </c>
    </row>
    <row r="431" spans="1:15" ht="31.5" x14ac:dyDescent="0.2">
      <c r="A431" s="40"/>
      <c r="B431" s="41" t="s">
        <v>38</v>
      </c>
      <c r="C431" s="42" t="s">
        <v>477</v>
      </c>
      <c r="D431" s="43" t="s">
        <v>514</v>
      </c>
      <c r="E431" s="43" t="s">
        <v>522</v>
      </c>
      <c r="F431" s="44" t="s">
        <v>11</v>
      </c>
      <c r="G431" s="45">
        <f>G432+G433</f>
        <v>1865.9</v>
      </c>
      <c r="H431" s="45"/>
      <c r="I431" s="45">
        <f>I432+I433</f>
        <v>1865.9</v>
      </c>
      <c r="J431" s="46">
        <f>J432+J433</f>
        <v>0</v>
      </c>
      <c r="K431" s="45"/>
      <c r="L431" s="46">
        <f>L432+L433</f>
        <v>0</v>
      </c>
      <c r="M431" s="45">
        <f>M432+M433</f>
        <v>1865.9</v>
      </c>
      <c r="N431" s="45">
        <f>N432+N433</f>
        <v>0</v>
      </c>
      <c r="O431" s="45">
        <f>O432+O433</f>
        <v>1865.9</v>
      </c>
    </row>
    <row r="432" spans="1:15" ht="78.75" x14ac:dyDescent="0.2">
      <c r="A432" s="40"/>
      <c r="B432" s="41" t="s">
        <v>61</v>
      </c>
      <c r="C432" s="42" t="s">
        <v>477</v>
      </c>
      <c r="D432" s="43" t="s">
        <v>514</v>
      </c>
      <c r="E432" s="43" t="s">
        <v>522</v>
      </c>
      <c r="F432" s="44" t="s">
        <v>62</v>
      </c>
      <c r="G432" s="45">
        <f>1855900/1000</f>
        <v>1855.9</v>
      </c>
      <c r="H432" s="45"/>
      <c r="I432" s="45">
        <f>1855900/1000</f>
        <v>1855.9</v>
      </c>
      <c r="J432" s="47">
        <v>0</v>
      </c>
      <c r="K432" s="45"/>
      <c r="L432" s="47">
        <v>0</v>
      </c>
      <c r="M432" s="45">
        <f>1855900/1000</f>
        <v>1855.9</v>
      </c>
      <c r="N432" s="45"/>
      <c r="O432" s="45">
        <f>1855900/1000</f>
        <v>1855.9</v>
      </c>
    </row>
    <row r="433" spans="1:16" ht="31.5" x14ac:dyDescent="0.2">
      <c r="A433" s="40"/>
      <c r="B433" s="41" t="s">
        <v>40</v>
      </c>
      <c r="C433" s="42" t="s">
        <v>477</v>
      </c>
      <c r="D433" s="43" t="s">
        <v>514</v>
      </c>
      <c r="E433" s="43" t="s">
        <v>522</v>
      </c>
      <c r="F433" s="44" t="s">
        <v>41</v>
      </c>
      <c r="G433" s="45">
        <f>10000/1000</f>
        <v>10</v>
      </c>
      <c r="H433" s="25"/>
      <c r="I433" s="45">
        <f>10000/1000</f>
        <v>10</v>
      </c>
      <c r="J433" s="47">
        <v>0</v>
      </c>
      <c r="K433" s="25"/>
      <c r="L433" s="47">
        <v>0</v>
      </c>
      <c r="M433" s="45">
        <f>10000/1000</f>
        <v>10</v>
      </c>
      <c r="N433" s="45"/>
      <c r="O433" s="45">
        <f>10000/1000</f>
        <v>10</v>
      </c>
    </row>
    <row r="434" spans="1:16" ht="47.25" x14ac:dyDescent="0.2">
      <c r="A434" s="20" t="s">
        <v>523</v>
      </c>
      <c r="B434" s="21" t="s">
        <v>524</v>
      </c>
      <c r="C434" s="22" t="s">
        <v>525</v>
      </c>
      <c r="D434" s="23" t="s">
        <v>11</v>
      </c>
      <c r="E434" s="23" t="s">
        <v>11</v>
      </c>
      <c r="F434" s="24" t="s">
        <v>11</v>
      </c>
      <c r="G434" s="25">
        <f>G435+G447</f>
        <v>15410</v>
      </c>
      <c r="H434" s="25">
        <f>H435</f>
        <v>0</v>
      </c>
      <c r="I434" s="25">
        <f>I435+I447</f>
        <v>15410</v>
      </c>
      <c r="J434" s="26">
        <f>J435+J447</f>
        <v>0</v>
      </c>
      <c r="K434" s="25">
        <f>K435</f>
        <v>0</v>
      </c>
      <c r="L434" s="26">
        <f>L435+L447</f>
        <v>0</v>
      </c>
      <c r="M434" s="25">
        <f>M435+M447</f>
        <v>15410</v>
      </c>
      <c r="N434" s="25">
        <f>N435+N447</f>
        <v>0</v>
      </c>
      <c r="O434" s="25">
        <f>O435+O447</f>
        <v>15410</v>
      </c>
      <c r="P434" s="19"/>
    </row>
    <row r="435" spans="1:16" ht="15.75" x14ac:dyDescent="0.2">
      <c r="A435" s="20" t="s">
        <v>526</v>
      </c>
      <c r="B435" s="21" t="s">
        <v>30</v>
      </c>
      <c r="C435" s="22" t="s">
        <v>525</v>
      </c>
      <c r="D435" s="23" t="s">
        <v>31</v>
      </c>
      <c r="E435" s="23" t="s">
        <v>11</v>
      </c>
      <c r="F435" s="24" t="s">
        <v>11</v>
      </c>
      <c r="G435" s="25">
        <f>G436</f>
        <v>5065.8999999999996</v>
      </c>
      <c r="H435" s="38">
        <f>H436</f>
        <v>0</v>
      </c>
      <c r="I435" s="25">
        <f>I436</f>
        <v>5065.8999999999996</v>
      </c>
      <c r="J435" s="26">
        <f t="shared" ref="J435:O437" si="60">J436</f>
        <v>0</v>
      </c>
      <c r="K435" s="38">
        <f>K436</f>
        <v>0</v>
      </c>
      <c r="L435" s="26">
        <f t="shared" si="60"/>
        <v>0</v>
      </c>
      <c r="M435" s="25">
        <f t="shared" si="60"/>
        <v>5065.8999999999996</v>
      </c>
      <c r="N435" s="25">
        <f t="shared" si="60"/>
        <v>0</v>
      </c>
      <c r="O435" s="25">
        <f t="shared" si="60"/>
        <v>5065.8999999999996</v>
      </c>
    </row>
    <row r="436" spans="1:16" ht="15.75" x14ac:dyDescent="0.2">
      <c r="A436" s="33" t="s">
        <v>527</v>
      </c>
      <c r="B436" s="34" t="s">
        <v>85</v>
      </c>
      <c r="C436" s="35" t="s">
        <v>525</v>
      </c>
      <c r="D436" s="36" t="s">
        <v>86</v>
      </c>
      <c r="E436" s="36" t="s">
        <v>11</v>
      </c>
      <c r="F436" s="37" t="s">
        <v>11</v>
      </c>
      <c r="G436" s="38">
        <f>G437</f>
        <v>5065.8999999999996</v>
      </c>
      <c r="H436" s="45">
        <f>H437</f>
        <v>0</v>
      </c>
      <c r="I436" s="38">
        <f>I437</f>
        <v>5065.8999999999996</v>
      </c>
      <c r="J436" s="39">
        <f t="shared" si="60"/>
        <v>0</v>
      </c>
      <c r="K436" s="45">
        <f>K437</f>
        <v>0</v>
      </c>
      <c r="L436" s="39">
        <f t="shared" si="60"/>
        <v>0</v>
      </c>
      <c r="M436" s="38">
        <f t="shared" si="60"/>
        <v>5065.8999999999996</v>
      </c>
      <c r="N436" s="38">
        <f t="shared" si="60"/>
        <v>0</v>
      </c>
      <c r="O436" s="38">
        <f t="shared" si="60"/>
        <v>5065.8999999999996</v>
      </c>
    </row>
    <row r="437" spans="1:16" ht="31.5" x14ac:dyDescent="0.2">
      <c r="A437" s="40"/>
      <c r="B437" s="41" t="s">
        <v>128</v>
      </c>
      <c r="C437" s="42" t="s">
        <v>525</v>
      </c>
      <c r="D437" s="43" t="s">
        <v>86</v>
      </c>
      <c r="E437" s="43" t="s">
        <v>129</v>
      </c>
      <c r="F437" s="44" t="s">
        <v>11</v>
      </c>
      <c r="G437" s="45">
        <f>G438</f>
        <v>5065.8999999999996</v>
      </c>
      <c r="H437" s="45">
        <f>H438+H442</f>
        <v>0</v>
      </c>
      <c r="I437" s="45">
        <f>I438</f>
        <v>5065.8999999999996</v>
      </c>
      <c r="J437" s="46">
        <f t="shared" si="60"/>
        <v>0</v>
      </c>
      <c r="K437" s="45">
        <f>K438+K442</f>
        <v>0</v>
      </c>
      <c r="L437" s="46">
        <f t="shared" si="60"/>
        <v>0</v>
      </c>
      <c r="M437" s="45">
        <f t="shared" si="60"/>
        <v>5065.8999999999996</v>
      </c>
      <c r="N437" s="45">
        <f t="shared" si="60"/>
        <v>0</v>
      </c>
      <c r="O437" s="45">
        <f t="shared" si="60"/>
        <v>5065.8999999999996</v>
      </c>
    </row>
    <row r="438" spans="1:16" ht="31.5" x14ac:dyDescent="0.2">
      <c r="A438" s="40"/>
      <c r="B438" s="41" t="s">
        <v>528</v>
      </c>
      <c r="C438" s="42" t="s">
        <v>525</v>
      </c>
      <c r="D438" s="43" t="s">
        <v>86</v>
      </c>
      <c r="E438" s="43" t="s">
        <v>529</v>
      </c>
      <c r="F438" s="44" t="s">
        <v>11</v>
      </c>
      <c r="G438" s="45">
        <f>G439+G443</f>
        <v>5065.8999999999996</v>
      </c>
      <c r="H438" s="45">
        <f>H439</f>
        <v>0</v>
      </c>
      <c r="I438" s="45">
        <f>I439+I443</f>
        <v>5065.8999999999996</v>
      </c>
      <c r="J438" s="46">
        <f>J439+J443</f>
        <v>0</v>
      </c>
      <c r="K438" s="45">
        <f>K439</f>
        <v>0</v>
      </c>
      <c r="L438" s="46">
        <f>L439+L443</f>
        <v>0</v>
      </c>
      <c r="M438" s="45">
        <f>M439+M443</f>
        <v>5065.8999999999996</v>
      </c>
      <c r="N438" s="45">
        <f>N439+N443</f>
        <v>0</v>
      </c>
      <c r="O438" s="45">
        <f>O439+O443</f>
        <v>5065.8999999999996</v>
      </c>
    </row>
    <row r="439" spans="1:16" ht="47.25" x14ac:dyDescent="0.2">
      <c r="A439" s="40"/>
      <c r="B439" s="41" t="s">
        <v>530</v>
      </c>
      <c r="C439" s="42" t="s">
        <v>525</v>
      </c>
      <c r="D439" s="43" t="s">
        <v>86</v>
      </c>
      <c r="E439" s="43" t="s">
        <v>531</v>
      </c>
      <c r="F439" s="44" t="s">
        <v>11</v>
      </c>
      <c r="G439" s="45">
        <f>G440</f>
        <v>4150.8999999999996</v>
      </c>
      <c r="H439" s="45"/>
      <c r="I439" s="45">
        <f>I440</f>
        <v>4150.8999999999996</v>
      </c>
      <c r="J439" s="46">
        <f>J440</f>
        <v>0</v>
      </c>
      <c r="K439" s="45"/>
      <c r="L439" s="46">
        <f>L440</f>
        <v>0</v>
      </c>
      <c r="M439" s="45">
        <f>M440</f>
        <v>4150.8999999999996</v>
      </c>
      <c r="N439" s="45">
        <f>N440</f>
        <v>0</v>
      </c>
      <c r="O439" s="45">
        <f>O440</f>
        <v>4150.8999999999996</v>
      </c>
    </row>
    <row r="440" spans="1:16" ht="31.5" x14ac:dyDescent="0.2">
      <c r="A440" s="40"/>
      <c r="B440" s="41" t="s">
        <v>38</v>
      </c>
      <c r="C440" s="42" t="s">
        <v>525</v>
      </c>
      <c r="D440" s="43" t="s">
        <v>86</v>
      </c>
      <c r="E440" s="43" t="s">
        <v>532</v>
      </c>
      <c r="F440" s="44" t="s">
        <v>11</v>
      </c>
      <c r="G440" s="45">
        <f>G441+G442</f>
        <v>4150.8999999999996</v>
      </c>
      <c r="H440" s="45"/>
      <c r="I440" s="45">
        <f>I441+I442</f>
        <v>4150.8999999999996</v>
      </c>
      <c r="J440" s="46">
        <f>J441+J442</f>
        <v>0</v>
      </c>
      <c r="K440" s="45"/>
      <c r="L440" s="46">
        <f>L441+L442</f>
        <v>0</v>
      </c>
      <c r="M440" s="45">
        <f>M441+M442</f>
        <v>4150.8999999999996</v>
      </c>
      <c r="N440" s="45">
        <f>N441+N442</f>
        <v>0</v>
      </c>
      <c r="O440" s="45">
        <f>O441+O442</f>
        <v>4150.8999999999996</v>
      </c>
    </row>
    <row r="441" spans="1:16" ht="78.75" x14ac:dyDescent="0.2">
      <c r="A441" s="40"/>
      <c r="B441" s="41" t="s">
        <v>61</v>
      </c>
      <c r="C441" s="42" t="s">
        <v>525</v>
      </c>
      <c r="D441" s="43" t="s">
        <v>86</v>
      </c>
      <c r="E441" s="43" t="s">
        <v>532</v>
      </c>
      <c r="F441" s="44" t="s">
        <v>62</v>
      </c>
      <c r="G441" s="45">
        <v>4140.8999999999996</v>
      </c>
      <c r="H441" s="45">
        <v>10</v>
      </c>
      <c r="I441" s="45">
        <v>4140.8999999999996</v>
      </c>
      <c r="J441" s="47">
        <v>0</v>
      </c>
      <c r="K441" s="45">
        <v>10</v>
      </c>
      <c r="L441" s="47">
        <v>0</v>
      </c>
      <c r="M441" s="45">
        <v>4140.8999999999996</v>
      </c>
      <c r="N441" s="45"/>
      <c r="O441" s="45">
        <v>4140.8999999999996</v>
      </c>
    </row>
    <row r="442" spans="1:16" ht="31.5" x14ac:dyDescent="0.2">
      <c r="A442" s="40"/>
      <c r="B442" s="41" t="s">
        <v>40</v>
      </c>
      <c r="C442" s="42" t="s">
        <v>525</v>
      </c>
      <c r="D442" s="43" t="s">
        <v>86</v>
      </c>
      <c r="E442" s="43" t="s">
        <v>532</v>
      </c>
      <c r="F442" s="44" t="s">
        <v>41</v>
      </c>
      <c r="G442" s="45">
        <v>10</v>
      </c>
      <c r="H442" s="45">
        <f>H443</f>
        <v>0</v>
      </c>
      <c r="I442" s="45">
        <v>10</v>
      </c>
      <c r="J442" s="47">
        <v>0</v>
      </c>
      <c r="K442" s="45">
        <f>K443</f>
        <v>0</v>
      </c>
      <c r="L442" s="47">
        <v>0</v>
      </c>
      <c r="M442" s="45">
        <v>10</v>
      </c>
      <c r="N442" s="45"/>
      <c r="O442" s="45">
        <v>10</v>
      </c>
    </row>
    <row r="443" spans="1:16" ht="47.25" x14ac:dyDescent="0.2">
      <c r="A443" s="40"/>
      <c r="B443" s="41" t="s">
        <v>533</v>
      </c>
      <c r="C443" s="42" t="s">
        <v>525</v>
      </c>
      <c r="D443" s="43" t="s">
        <v>86</v>
      </c>
      <c r="E443" s="43" t="s">
        <v>534</v>
      </c>
      <c r="F443" s="44" t="s">
        <v>11</v>
      </c>
      <c r="G443" s="45">
        <f>G444</f>
        <v>915</v>
      </c>
      <c r="H443" s="45">
        <f>H444+H445</f>
        <v>0</v>
      </c>
      <c r="I443" s="45">
        <f>I444</f>
        <v>915</v>
      </c>
      <c r="J443" s="46">
        <f>J444</f>
        <v>0</v>
      </c>
      <c r="K443" s="45">
        <f>K444+K445</f>
        <v>0</v>
      </c>
      <c r="L443" s="46">
        <f>L444</f>
        <v>0</v>
      </c>
      <c r="M443" s="45">
        <f>M444</f>
        <v>915</v>
      </c>
      <c r="N443" s="45">
        <f>N444</f>
        <v>0</v>
      </c>
      <c r="O443" s="45">
        <f>O444</f>
        <v>915</v>
      </c>
    </row>
    <row r="444" spans="1:16" ht="47.25" x14ac:dyDescent="0.2">
      <c r="A444" s="40"/>
      <c r="B444" s="41" t="s">
        <v>535</v>
      </c>
      <c r="C444" s="42" t="s">
        <v>525</v>
      </c>
      <c r="D444" s="43" t="s">
        <v>86</v>
      </c>
      <c r="E444" s="43" t="s">
        <v>536</v>
      </c>
      <c r="F444" s="44" t="s">
        <v>11</v>
      </c>
      <c r="G444" s="45">
        <f>G445+G446</f>
        <v>915</v>
      </c>
      <c r="H444" s="45"/>
      <c r="I444" s="45">
        <f>I445+I446</f>
        <v>915</v>
      </c>
      <c r="J444" s="46">
        <f>J445+J446</f>
        <v>0</v>
      </c>
      <c r="K444" s="45"/>
      <c r="L444" s="46">
        <f>L445+L446</f>
        <v>0</v>
      </c>
      <c r="M444" s="45">
        <f>M445+M446</f>
        <v>915</v>
      </c>
      <c r="N444" s="45">
        <f>N445+N446</f>
        <v>0</v>
      </c>
      <c r="O444" s="45">
        <f>O445+O446</f>
        <v>915</v>
      </c>
    </row>
    <row r="445" spans="1:16" ht="31.5" x14ac:dyDescent="0.2">
      <c r="A445" s="40"/>
      <c r="B445" s="41" t="s">
        <v>40</v>
      </c>
      <c r="C445" s="42" t="s">
        <v>525</v>
      </c>
      <c r="D445" s="43" t="s">
        <v>86</v>
      </c>
      <c r="E445" s="43" t="s">
        <v>536</v>
      </c>
      <c r="F445" s="44" t="s">
        <v>41</v>
      </c>
      <c r="G445" s="45">
        <f>900000/1000</f>
        <v>900</v>
      </c>
      <c r="H445" s="45"/>
      <c r="I445" s="45">
        <f>900000/1000</f>
        <v>900</v>
      </c>
      <c r="J445" s="47">
        <v>0</v>
      </c>
      <c r="K445" s="45"/>
      <c r="L445" s="47">
        <v>0</v>
      </c>
      <c r="M445" s="45">
        <f>900000/1000</f>
        <v>900</v>
      </c>
      <c r="N445" s="45"/>
      <c r="O445" s="45">
        <f>900000/1000</f>
        <v>900</v>
      </c>
    </row>
    <row r="446" spans="1:16" ht="15.75" x14ac:dyDescent="0.2">
      <c r="A446" s="40"/>
      <c r="B446" s="41" t="s">
        <v>70</v>
      </c>
      <c r="C446" s="42" t="s">
        <v>525</v>
      </c>
      <c r="D446" s="43" t="s">
        <v>86</v>
      </c>
      <c r="E446" s="43" t="s">
        <v>536</v>
      </c>
      <c r="F446" s="44" t="s">
        <v>71</v>
      </c>
      <c r="G446" s="45">
        <f>15000/1000</f>
        <v>15</v>
      </c>
      <c r="H446" s="25">
        <f t="shared" ref="G446:O452" si="61">H447</f>
        <v>0</v>
      </c>
      <c r="I446" s="45">
        <f>15000/1000</f>
        <v>15</v>
      </c>
      <c r="J446" s="47">
        <v>0</v>
      </c>
      <c r="K446" s="25">
        <f t="shared" si="61"/>
        <v>0</v>
      </c>
      <c r="L446" s="47">
        <v>0</v>
      </c>
      <c r="M446" s="45">
        <f>15000/1000</f>
        <v>15</v>
      </c>
      <c r="N446" s="45"/>
      <c r="O446" s="45">
        <f>15000/1000</f>
        <v>15</v>
      </c>
    </row>
    <row r="447" spans="1:16" ht="15.75" x14ac:dyDescent="0.2">
      <c r="A447" s="20" t="s">
        <v>537</v>
      </c>
      <c r="B447" s="21" t="s">
        <v>213</v>
      </c>
      <c r="C447" s="22" t="s">
        <v>525</v>
      </c>
      <c r="D447" s="23" t="s">
        <v>214</v>
      </c>
      <c r="E447" s="23" t="s">
        <v>11</v>
      </c>
      <c r="F447" s="24" t="s">
        <v>11</v>
      </c>
      <c r="G447" s="25">
        <f t="shared" si="61"/>
        <v>10344.1</v>
      </c>
      <c r="H447" s="38">
        <f t="shared" si="61"/>
        <v>0</v>
      </c>
      <c r="I447" s="25">
        <f t="shared" si="61"/>
        <v>10344.1</v>
      </c>
      <c r="J447" s="26">
        <f t="shared" si="61"/>
        <v>0</v>
      </c>
      <c r="K447" s="38">
        <f t="shared" si="61"/>
        <v>0</v>
      </c>
      <c r="L447" s="26">
        <f t="shared" si="61"/>
        <v>0</v>
      </c>
      <c r="M447" s="25">
        <f t="shared" si="61"/>
        <v>10344.1</v>
      </c>
      <c r="N447" s="25">
        <f t="shared" si="61"/>
        <v>0</v>
      </c>
      <c r="O447" s="25">
        <f t="shared" si="61"/>
        <v>10344.1</v>
      </c>
    </row>
    <row r="448" spans="1:16" ht="26.45" customHeight="1" x14ac:dyDescent="0.2">
      <c r="A448" s="33" t="s">
        <v>538</v>
      </c>
      <c r="B448" s="34" t="s">
        <v>261</v>
      </c>
      <c r="C448" s="35" t="s">
        <v>525</v>
      </c>
      <c r="D448" s="36" t="s">
        <v>262</v>
      </c>
      <c r="E448" s="36" t="s">
        <v>11</v>
      </c>
      <c r="F448" s="37" t="s">
        <v>11</v>
      </c>
      <c r="G448" s="38">
        <f t="shared" si="61"/>
        <v>10344.1</v>
      </c>
      <c r="H448" s="45">
        <f t="shared" si="61"/>
        <v>0</v>
      </c>
      <c r="I448" s="38">
        <f t="shared" si="61"/>
        <v>10344.1</v>
      </c>
      <c r="J448" s="39">
        <f t="shared" si="61"/>
        <v>0</v>
      </c>
      <c r="K448" s="45">
        <f t="shared" si="61"/>
        <v>0</v>
      </c>
      <c r="L448" s="39">
        <f t="shared" si="61"/>
        <v>0</v>
      </c>
      <c r="M448" s="38">
        <f t="shared" si="61"/>
        <v>10344.1</v>
      </c>
      <c r="N448" s="38">
        <f t="shared" si="61"/>
        <v>0</v>
      </c>
      <c r="O448" s="38">
        <f t="shared" si="61"/>
        <v>10344.1</v>
      </c>
    </row>
    <row r="449" spans="1:15" ht="31.5" x14ac:dyDescent="0.2">
      <c r="A449" s="40"/>
      <c r="B449" s="41" t="s">
        <v>128</v>
      </c>
      <c r="C449" s="42" t="s">
        <v>525</v>
      </c>
      <c r="D449" s="43" t="s">
        <v>262</v>
      </c>
      <c r="E449" s="43" t="s">
        <v>129</v>
      </c>
      <c r="F449" s="44" t="s">
        <v>11</v>
      </c>
      <c r="G449" s="45">
        <f t="shared" si="61"/>
        <v>10344.1</v>
      </c>
      <c r="H449" s="45">
        <f t="shared" si="61"/>
        <v>0</v>
      </c>
      <c r="I449" s="45">
        <f t="shared" si="61"/>
        <v>10344.1</v>
      </c>
      <c r="J449" s="46">
        <f t="shared" si="61"/>
        <v>0</v>
      </c>
      <c r="K449" s="45">
        <f t="shared" si="61"/>
        <v>0</v>
      </c>
      <c r="L449" s="46">
        <f t="shared" si="61"/>
        <v>0</v>
      </c>
      <c r="M449" s="45">
        <f t="shared" si="61"/>
        <v>10344.1</v>
      </c>
      <c r="N449" s="45">
        <f t="shared" si="61"/>
        <v>0</v>
      </c>
      <c r="O449" s="45">
        <f t="shared" si="61"/>
        <v>10344.1</v>
      </c>
    </row>
    <row r="450" spans="1:15" ht="31.5" x14ac:dyDescent="0.2">
      <c r="A450" s="40"/>
      <c r="B450" s="41" t="s">
        <v>528</v>
      </c>
      <c r="C450" s="42" t="s">
        <v>525</v>
      </c>
      <c r="D450" s="43" t="s">
        <v>262</v>
      </c>
      <c r="E450" s="43" t="s">
        <v>529</v>
      </c>
      <c r="F450" s="44" t="s">
        <v>11</v>
      </c>
      <c r="G450" s="45">
        <f t="shared" si="61"/>
        <v>10344.1</v>
      </c>
      <c r="H450" s="45">
        <f t="shared" si="61"/>
        <v>0</v>
      </c>
      <c r="I450" s="45">
        <f t="shared" si="61"/>
        <v>10344.1</v>
      </c>
      <c r="J450" s="46">
        <f t="shared" si="61"/>
        <v>0</v>
      </c>
      <c r="K450" s="45">
        <f t="shared" si="61"/>
        <v>0</v>
      </c>
      <c r="L450" s="46">
        <f t="shared" si="61"/>
        <v>0</v>
      </c>
      <c r="M450" s="45">
        <f t="shared" si="61"/>
        <v>10344.1</v>
      </c>
      <c r="N450" s="45">
        <f t="shared" si="61"/>
        <v>0</v>
      </c>
      <c r="O450" s="45">
        <f t="shared" si="61"/>
        <v>10344.1</v>
      </c>
    </row>
    <row r="451" spans="1:15" ht="47.25" x14ac:dyDescent="0.2">
      <c r="A451" s="40"/>
      <c r="B451" s="41" t="s">
        <v>539</v>
      </c>
      <c r="C451" s="42" t="s">
        <v>525</v>
      </c>
      <c r="D451" s="43" t="s">
        <v>262</v>
      </c>
      <c r="E451" s="43" t="s">
        <v>540</v>
      </c>
      <c r="F451" s="44" t="s">
        <v>11</v>
      </c>
      <c r="G451" s="45">
        <f t="shared" si="61"/>
        <v>10344.1</v>
      </c>
      <c r="H451" s="45">
        <f t="shared" si="61"/>
        <v>0</v>
      </c>
      <c r="I451" s="45">
        <f t="shared" si="61"/>
        <v>10344.1</v>
      </c>
      <c r="J451" s="46">
        <f t="shared" si="61"/>
        <v>0</v>
      </c>
      <c r="K451" s="45">
        <f t="shared" si="61"/>
        <v>0</v>
      </c>
      <c r="L451" s="46">
        <f t="shared" si="61"/>
        <v>0</v>
      </c>
      <c r="M451" s="45">
        <f t="shared" si="61"/>
        <v>10344.1</v>
      </c>
      <c r="N451" s="45">
        <f t="shared" si="61"/>
        <v>0</v>
      </c>
      <c r="O451" s="45">
        <f t="shared" si="61"/>
        <v>10344.1</v>
      </c>
    </row>
    <row r="452" spans="1:15" ht="32.25" thickBot="1" x14ac:dyDescent="0.25">
      <c r="A452" s="40"/>
      <c r="B452" s="41" t="s">
        <v>134</v>
      </c>
      <c r="C452" s="42" t="s">
        <v>525</v>
      </c>
      <c r="D452" s="43" t="s">
        <v>262</v>
      </c>
      <c r="E452" s="43" t="s">
        <v>541</v>
      </c>
      <c r="F452" s="44" t="s">
        <v>11</v>
      </c>
      <c r="G452" s="45">
        <f t="shared" si="61"/>
        <v>10344.1</v>
      </c>
      <c r="H452" s="54"/>
      <c r="I452" s="45">
        <f t="shared" si="61"/>
        <v>10344.1</v>
      </c>
      <c r="J452" s="46">
        <f t="shared" si="61"/>
        <v>0</v>
      </c>
      <c r="K452" s="54"/>
      <c r="L452" s="46">
        <f t="shared" si="61"/>
        <v>0</v>
      </c>
      <c r="M452" s="45">
        <f t="shared" si="61"/>
        <v>10344.1</v>
      </c>
      <c r="N452" s="45">
        <f t="shared" si="61"/>
        <v>0</v>
      </c>
      <c r="O452" s="45">
        <f t="shared" si="61"/>
        <v>10344.1</v>
      </c>
    </row>
    <row r="453" spans="1:15" ht="48" thickBot="1" x14ac:dyDescent="0.25">
      <c r="A453" s="49"/>
      <c r="B453" s="50" t="s">
        <v>95</v>
      </c>
      <c r="C453" s="51" t="s">
        <v>525</v>
      </c>
      <c r="D453" s="52" t="s">
        <v>262</v>
      </c>
      <c r="E453" s="52" t="s">
        <v>541</v>
      </c>
      <c r="F453" s="53" t="s">
        <v>96</v>
      </c>
      <c r="G453" s="54">
        <v>10344.1</v>
      </c>
      <c r="H453" s="63"/>
      <c r="I453" s="54">
        <v>10344.1</v>
      </c>
      <c r="J453" s="55">
        <v>0</v>
      </c>
      <c r="K453" s="63"/>
      <c r="L453" s="55">
        <v>0</v>
      </c>
      <c r="M453" s="54">
        <v>10344.1</v>
      </c>
      <c r="N453" s="54"/>
      <c r="O453" s="54">
        <v>10344.1</v>
      </c>
    </row>
    <row r="455" spans="1:15" x14ac:dyDescent="0.2">
      <c r="B455" s="302" t="s">
        <v>542</v>
      </c>
      <c r="C455" s="266"/>
      <c r="D455" s="266"/>
      <c r="E455" s="266"/>
      <c r="F455" s="266"/>
      <c r="G455" s="266"/>
      <c r="H455" s="266"/>
      <c r="I455" s="266"/>
      <c r="J455" s="266"/>
      <c r="K455" s="266"/>
      <c r="L455" s="266"/>
      <c r="M455" s="266"/>
      <c r="N455" s="266"/>
      <c r="O455" s="266"/>
    </row>
    <row r="456" spans="1:15" x14ac:dyDescent="0.2">
      <c r="B456" s="266"/>
      <c r="C456" s="266"/>
      <c r="D456" s="266"/>
      <c r="E456" s="266"/>
      <c r="F456" s="266"/>
      <c r="G456" s="266"/>
      <c r="H456" s="266"/>
      <c r="I456" s="266"/>
      <c r="J456" s="266"/>
      <c r="K456" s="266"/>
      <c r="L456" s="266"/>
      <c r="M456" s="266"/>
      <c r="N456" s="266"/>
      <c r="O456" s="266"/>
    </row>
    <row r="457" spans="1:15" x14ac:dyDescent="0.2">
      <c r="B457" s="266"/>
      <c r="C457" s="266"/>
      <c r="D457" s="266"/>
      <c r="E457" s="266"/>
      <c r="F457" s="266"/>
      <c r="G457" s="266"/>
      <c r="H457" s="266"/>
      <c r="I457" s="266"/>
      <c r="J457" s="266"/>
      <c r="K457" s="266"/>
      <c r="L457" s="266"/>
      <c r="M457" s="266"/>
      <c r="N457" s="266"/>
      <c r="O457" s="266"/>
    </row>
  </sheetData>
  <mergeCells count="21">
    <mergeCell ref="C19:F19"/>
    <mergeCell ref="G19:O19"/>
    <mergeCell ref="B455:O457"/>
    <mergeCell ref="B15:G15"/>
    <mergeCell ref="B16:G16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J6:O6"/>
    <mergeCell ref="J1:O1"/>
    <mergeCell ref="J2:O2"/>
    <mergeCell ref="J3:O3"/>
    <mergeCell ref="J4:O4"/>
    <mergeCell ref="J5:O5"/>
  </mergeCells>
  <pageMargins left="0.59055118110236227" right="0.31496062992125984" top="0.31496062992125984" bottom="0.39370078740157483" header="0.51181102362204722" footer="0.19685039370078741"/>
  <pageSetup paperSize="9" scale="55" firstPageNumber="4294967295" orientation="portrait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16"/>
  <sheetViews>
    <sheetView zoomScale="80" zoomScaleNormal="80" workbookViewId="0">
      <selection activeCell="G243" sqref="G243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544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2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2"/>
      <c r="I15" s="2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61"/>
      <c r="I16" s="61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4" t="s">
        <v>16</v>
      </c>
      <c r="D18" s="4" t="s">
        <v>17</v>
      </c>
      <c r="E18" s="4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4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>G21+G33+G344+G393</f>
        <v>529501.19999999995</v>
      </c>
      <c r="H20" s="25">
        <f>H21</f>
        <v>0</v>
      </c>
      <c r="I20" s="31">
        <f>I21+I33+I344+I393</f>
        <v>529501.19999999995</v>
      </c>
      <c r="J20" s="32">
        <f>J21+J33+J344+J393</f>
        <v>2398493.8000000007</v>
      </c>
      <c r="K20" s="25">
        <f>K21</f>
        <v>0</v>
      </c>
      <c r="L20" s="32">
        <f>L21+L33+L344+L393</f>
        <v>2398493.8000000007</v>
      </c>
      <c r="M20" s="31">
        <f>M21+M33+M344+M393</f>
        <v>2927995</v>
      </c>
      <c r="N20" s="31">
        <f>N21+N33+N344+N393+K20:K412</f>
        <v>0</v>
      </c>
      <c r="O20" s="31">
        <f>O21+O33+O344+O393</f>
        <v>2927995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25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L26" si="0">J24</f>
        <v>0</v>
      </c>
      <c r="K23" s="45">
        <f>K24</f>
        <v>0</v>
      </c>
      <c r="L23" s="39">
        <f t="shared" si="0"/>
        <v>0</v>
      </c>
      <c r="M23" s="38">
        <f t="shared" ref="M23:O26" si="1">M24</f>
        <v>8.1</v>
      </c>
      <c r="N23" s="38">
        <f t="shared" si="1"/>
        <v>0</v>
      </c>
      <c r="O23" s="38">
        <f t="shared" si="1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0"/>
        <v>0</v>
      </c>
      <c r="K24" s="45">
        <f>K25</f>
        <v>0</v>
      </c>
      <c r="L24" s="46">
        <f t="shared" si="0"/>
        <v>0</v>
      </c>
      <c r="M24" s="45">
        <f t="shared" si="1"/>
        <v>8.1</v>
      </c>
      <c r="N24" s="45">
        <f t="shared" si="1"/>
        <v>0</v>
      </c>
      <c r="O24" s="45">
        <f t="shared" si="1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0"/>
        <v>0</v>
      </c>
      <c r="K25" s="45">
        <f>K26</f>
        <v>0</v>
      </c>
      <c r="L25" s="46">
        <f t="shared" si="0"/>
        <v>0</v>
      </c>
      <c r="M25" s="45">
        <f t="shared" si="1"/>
        <v>8.1</v>
      </c>
      <c r="N25" s="45">
        <f t="shared" si="1"/>
        <v>0</v>
      </c>
      <c r="O25" s="45">
        <f t="shared" si="1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0"/>
        <v>0</v>
      </c>
      <c r="K26" s="45"/>
      <c r="L26" s="46">
        <f t="shared" si="0"/>
        <v>0</v>
      </c>
      <c r="M26" s="45">
        <f t="shared" si="1"/>
        <v>8.1</v>
      </c>
      <c r="N26" s="45">
        <f t="shared" si="1"/>
        <v>0</v>
      </c>
      <c r="O26" s="45">
        <f t="shared" si="1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I30" si="2">G29</f>
        <v>1387.5</v>
      </c>
      <c r="H28" s="45">
        <f t="shared" si="2"/>
        <v>0</v>
      </c>
      <c r="I28" s="38">
        <f t="shared" si="2"/>
        <v>1387.5</v>
      </c>
      <c r="J28" s="39">
        <f t="shared" ref="J28:L31" si="3">J29</f>
        <v>0</v>
      </c>
      <c r="K28" s="45">
        <f>K29</f>
        <v>0</v>
      </c>
      <c r="L28" s="39">
        <f t="shared" si="3"/>
        <v>0</v>
      </c>
      <c r="M28" s="38">
        <f t="shared" ref="M28:O31" si="4">M29</f>
        <v>1387.5</v>
      </c>
      <c r="N28" s="38">
        <f t="shared" si="4"/>
        <v>0</v>
      </c>
      <c r="O28" s="38">
        <f t="shared" si="4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2"/>
        <v>1387.5</v>
      </c>
      <c r="H29" s="45">
        <f t="shared" si="2"/>
        <v>0</v>
      </c>
      <c r="I29" s="45">
        <f t="shared" si="2"/>
        <v>1387.5</v>
      </c>
      <c r="J29" s="46">
        <f t="shared" si="3"/>
        <v>0</v>
      </c>
      <c r="K29" s="45">
        <f>K30</f>
        <v>0</v>
      </c>
      <c r="L29" s="46">
        <f t="shared" si="3"/>
        <v>0</v>
      </c>
      <c r="M29" s="45">
        <f t="shared" si="4"/>
        <v>1387.5</v>
      </c>
      <c r="N29" s="45">
        <f t="shared" si="4"/>
        <v>0</v>
      </c>
      <c r="O29" s="45">
        <f t="shared" si="4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2"/>
        <v>1387.5</v>
      </c>
      <c r="H30" s="45">
        <f t="shared" si="2"/>
        <v>0</v>
      </c>
      <c r="I30" s="45">
        <f t="shared" si="2"/>
        <v>1387.5</v>
      </c>
      <c r="J30" s="46">
        <f t="shared" si="3"/>
        <v>0</v>
      </c>
      <c r="K30" s="45">
        <f>K31</f>
        <v>0</v>
      </c>
      <c r="L30" s="46">
        <f t="shared" si="3"/>
        <v>0</v>
      </c>
      <c r="M30" s="45">
        <f t="shared" si="4"/>
        <v>1387.5</v>
      </c>
      <c r="N30" s="45">
        <f t="shared" si="4"/>
        <v>0</v>
      </c>
      <c r="O30" s="45">
        <f t="shared" si="4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3"/>
        <v>0</v>
      </c>
      <c r="K31" s="45"/>
      <c r="L31" s="46">
        <f t="shared" si="3"/>
        <v>0</v>
      </c>
      <c r="M31" s="45">
        <f t="shared" si="4"/>
        <v>1387.5</v>
      </c>
      <c r="N31" s="45">
        <f t="shared" si="4"/>
        <v>0</v>
      </c>
      <c r="O31" s="45">
        <f t="shared" si="4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G34+G108+G151+G210+G281+G301+G326+G337</f>
        <v>379136.3</v>
      </c>
      <c r="H33" s="25">
        <f>H34+H39+H53+H58</f>
        <v>0</v>
      </c>
      <c r="I33" s="25">
        <f>I34+I108+I151+I210+I281+I301+I326+I337</f>
        <v>379136.3</v>
      </c>
      <c r="J33" s="26">
        <f>J34+J108+J151+J210+J281+J301+J326+J337</f>
        <v>2393085.1000000006</v>
      </c>
      <c r="K33" s="25">
        <f>K34+K39+K53+K58</f>
        <v>0</v>
      </c>
      <c r="L33" s="26">
        <f>L34+L108+L151+L210+L281+L301+L326+L337</f>
        <v>2393085.1000000006</v>
      </c>
      <c r="M33" s="25">
        <f>M34+M108+M151+M210+M281+M301+M326+M337</f>
        <v>2772221.4</v>
      </c>
      <c r="N33" s="25">
        <f>N34+N108+N151+N210+N281+N301+N326+N337</f>
        <v>0</v>
      </c>
      <c r="O33" s="25">
        <f>O34+O108+O151+O210+O281+O301+O326+O337</f>
        <v>2772221.4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87107.6</v>
      </c>
      <c r="H34" s="38">
        <f>H35</f>
        <v>0</v>
      </c>
      <c r="I34" s="25">
        <f>I35+I40+I54+I59</f>
        <v>87107.6</v>
      </c>
      <c r="J34" s="26">
        <f>J35+J40+J54+J59</f>
        <v>768.1</v>
      </c>
      <c r="K34" s="38">
        <f>K35</f>
        <v>0</v>
      </c>
      <c r="L34" s="26">
        <f>L35+L40+L54+L59</f>
        <v>768.1</v>
      </c>
      <c r="M34" s="25">
        <f>M35+M40+M54+M59</f>
        <v>87875.700000000012</v>
      </c>
      <c r="N34" s="25">
        <f>N35+N40+N54+N59</f>
        <v>0</v>
      </c>
      <c r="O34" s="25">
        <f>O35+O40+O54+O59</f>
        <v>87875.700000000012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>G36</f>
        <v>2021.3</v>
      </c>
      <c r="H35" s="45">
        <f>H36</f>
        <v>0</v>
      </c>
      <c r="I35" s="38">
        <f>I36</f>
        <v>2021.3</v>
      </c>
      <c r="J35" s="39">
        <f t="shared" ref="J35:L38" si="5">J36</f>
        <v>0</v>
      </c>
      <c r="K35" s="45">
        <f>K36</f>
        <v>0</v>
      </c>
      <c r="L35" s="39">
        <f t="shared" si="5"/>
        <v>0</v>
      </c>
      <c r="M35" s="38">
        <f t="shared" ref="M35:O38" si="6">M36</f>
        <v>2021.3</v>
      </c>
      <c r="N35" s="38">
        <f t="shared" si="6"/>
        <v>0</v>
      </c>
      <c r="O35" s="38">
        <f t="shared" si="6"/>
        <v>2021.3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>G37</f>
        <v>2021.3</v>
      </c>
      <c r="H36" s="45">
        <f>H37</f>
        <v>0</v>
      </c>
      <c r="I36" s="45">
        <f>I37</f>
        <v>2021.3</v>
      </c>
      <c r="J36" s="46">
        <f t="shared" si="5"/>
        <v>0</v>
      </c>
      <c r="K36" s="45">
        <f>K37</f>
        <v>0</v>
      </c>
      <c r="L36" s="46">
        <f t="shared" si="5"/>
        <v>0</v>
      </c>
      <c r="M36" s="45">
        <f t="shared" si="6"/>
        <v>2021.3</v>
      </c>
      <c r="N36" s="45">
        <f t="shared" si="6"/>
        <v>0</v>
      </c>
      <c r="O36" s="45">
        <f t="shared" si="6"/>
        <v>2021.3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>G38</f>
        <v>2021.3</v>
      </c>
      <c r="H37" s="45">
        <f>H38</f>
        <v>0</v>
      </c>
      <c r="I37" s="45">
        <f>I38</f>
        <v>2021.3</v>
      </c>
      <c r="J37" s="46">
        <f t="shared" si="5"/>
        <v>0</v>
      </c>
      <c r="K37" s="45">
        <f>K38</f>
        <v>0</v>
      </c>
      <c r="L37" s="46">
        <f t="shared" si="5"/>
        <v>0</v>
      </c>
      <c r="M37" s="45">
        <f t="shared" si="6"/>
        <v>2021.3</v>
      </c>
      <c r="N37" s="45">
        <f t="shared" si="6"/>
        <v>0</v>
      </c>
      <c r="O37" s="45">
        <f t="shared" si="6"/>
        <v>2021.3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45"/>
      <c r="I38" s="45">
        <f>I39</f>
        <v>2021.3</v>
      </c>
      <c r="J38" s="46">
        <f t="shared" si="5"/>
        <v>0</v>
      </c>
      <c r="K38" s="45"/>
      <c r="L38" s="46">
        <f t="shared" si="5"/>
        <v>0</v>
      </c>
      <c r="M38" s="45">
        <f t="shared" si="6"/>
        <v>2021.3</v>
      </c>
      <c r="N38" s="45">
        <f t="shared" si="6"/>
        <v>0</v>
      </c>
      <c r="O38" s="45">
        <f t="shared" si="6"/>
        <v>2021.3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/>
      <c r="I39" s="45">
        <v>2021.3</v>
      </c>
      <c r="J39" s="47">
        <v>0</v>
      </c>
      <c r="K39" s="38"/>
      <c r="L39" s="47">
        <v>0</v>
      </c>
      <c r="M39" s="45">
        <v>2021.3</v>
      </c>
      <c r="N39" s="45"/>
      <c r="O39" s="45">
        <v>2021.3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30614.5</v>
      </c>
      <c r="H40" s="45">
        <f>H41+H46</f>
        <v>0</v>
      </c>
      <c r="I40" s="38">
        <f>I41</f>
        <v>30614.5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31382.6</v>
      </c>
      <c r="N40" s="38">
        <f>N41</f>
        <v>0</v>
      </c>
      <c r="O40" s="38">
        <f>O41</f>
        <v>31382.6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30614.5</v>
      </c>
      <c r="H41" s="45">
        <f>H42</f>
        <v>0</v>
      </c>
      <c r="I41" s="45">
        <f>I42+I47</f>
        <v>30614.5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31382.6</v>
      </c>
      <c r="N41" s="45">
        <f>N42+N47</f>
        <v>0</v>
      </c>
      <c r="O41" s="45">
        <f>O42+O47</f>
        <v>31382.6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30614.5</v>
      </c>
      <c r="H42" s="45">
        <f>H43+H44+H45</f>
        <v>0</v>
      </c>
      <c r="I42" s="45">
        <f>I43</f>
        <v>30614.5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30614.5</v>
      </c>
      <c r="N42" s="45">
        <f>N43</f>
        <v>0</v>
      </c>
      <c r="O42" s="45">
        <f>O43</f>
        <v>30614.5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30614.5</v>
      </c>
      <c r="H43" s="45"/>
      <c r="I43" s="45">
        <f>I44+I45+I46</f>
        <v>30614.5</v>
      </c>
      <c r="J43" s="46">
        <f>J44+J45+J46</f>
        <v>0</v>
      </c>
      <c r="K43" s="45"/>
      <c r="L43" s="46">
        <f>L44+L45+L46</f>
        <v>0</v>
      </c>
      <c r="M43" s="45">
        <f>M44+M45+M46</f>
        <v>30614.5</v>
      </c>
      <c r="N43" s="45">
        <f>N44+N45+N46</f>
        <v>0</v>
      </c>
      <c r="O43" s="45">
        <f>O44+O45+O46</f>
        <v>30614.5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30283.1</v>
      </c>
      <c r="H44" s="45"/>
      <c r="I44" s="45">
        <v>30283.1</v>
      </c>
      <c r="J44" s="47">
        <v>0</v>
      </c>
      <c r="K44" s="45"/>
      <c r="L44" s="47">
        <v>0</v>
      </c>
      <c r="M44" s="45">
        <v>30283.1</v>
      </c>
      <c r="N44" s="45"/>
      <c r="O44" s="45">
        <v>30283.1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v>291.39999999999998</v>
      </c>
      <c r="J45" s="47">
        <v>0</v>
      </c>
      <c r="K45" s="45"/>
      <c r="L45" s="47">
        <v>0</v>
      </c>
      <c r="M45" s="45">
        <v>291.39999999999998</v>
      </c>
      <c r="N45" s="45"/>
      <c r="O45" s="45"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f>H51</f>
        <v>0</v>
      </c>
      <c r="I46" s="45">
        <v>40</v>
      </c>
      <c r="J46" s="47">
        <v>0</v>
      </c>
      <c r="K46" s="45">
        <f>K51</f>
        <v>0</v>
      </c>
      <c r="L46" s="47">
        <v>0</v>
      </c>
      <c r="M46" s="45">
        <v>40</v>
      </c>
      <c r="N46" s="45"/>
      <c r="O46" s="45">
        <v>40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7">H52</f>
        <v>0</v>
      </c>
      <c r="I51" s="45"/>
      <c r="J51" s="47"/>
      <c r="K51" s="45">
        <f t="shared" si="7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7"/>
        <v>0</v>
      </c>
      <c r="H52" s="45">
        <v>0</v>
      </c>
      <c r="I52" s="45">
        <f t="shared" si="7"/>
        <v>0</v>
      </c>
      <c r="J52" s="47">
        <f t="shared" si="7"/>
        <v>12.4</v>
      </c>
      <c r="K52" s="45">
        <v>0</v>
      </c>
      <c r="L52" s="47">
        <f t="shared" si="7"/>
        <v>12.4</v>
      </c>
      <c r="M52" s="45">
        <f t="shared" si="7"/>
        <v>12.4</v>
      </c>
      <c r="N52" s="45">
        <f t="shared" si="7"/>
        <v>0</v>
      </c>
      <c r="O52" s="45">
        <f t="shared" si="7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I56" si="8">G55</f>
        <v>1000</v>
      </c>
      <c r="H54" s="45">
        <f t="shared" si="8"/>
        <v>0</v>
      </c>
      <c r="I54" s="38">
        <f t="shared" si="8"/>
        <v>1000</v>
      </c>
      <c r="J54" s="39">
        <f t="shared" ref="J54:L57" si="9">J55</f>
        <v>0</v>
      </c>
      <c r="K54" s="45">
        <f>K55</f>
        <v>0</v>
      </c>
      <c r="L54" s="39">
        <f t="shared" si="9"/>
        <v>0</v>
      </c>
      <c r="M54" s="38">
        <f t="shared" ref="M54:O57" si="10">M55</f>
        <v>1000</v>
      </c>
      <c r="N54" s="38">
        <f t="shared" si="10"/>
        <v>0</v>
      </c>
      <c r="O54" s="38">
        <f t="shared" si="10"/>
        <v>1000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8"/>
        <v>1000</v>
      </c>
      <c r="H55" s="45">
        <f t="shared" si="8"/>
        <v>0</v>
      </c>
      <c r="I55" s="45">
        <f t="shared" si="8"/>
        <v>1000</v>
      </c>
      <c r="J55" s="46">
        <f t="shared" si="9"/>
        <v>0</v>
      </c>
      <c r="K55" s="45">
        <f>K56</f>
        <v>0</v>
      </c>
      <c r="L55" s="46">
        <f t="shared" si="9"/>
        <v>0</v>
      </c>
      <c r="M55" s="45">
        <f t="shared" si="10"/>
        <v>1000</v>
      </c>
      <c r="N55" s="45">
        <f t="shared" si="10"/>
        <v>0</v>
      </c>
      <c r="O55" s="45">
        <f t="shared" si="10"/>
        <v>1000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8"/>
        <v>1000</v>
      </c>
      <c r="H56" s="45">
        <f t="shared" si="8"/>
        <v>0</v>
      </c>
      <c r="I56" s="45">
        <f t="shared" si="8"/>
        <v>1000</v>
      </c>
      <c r="J56" s="46">
        <f t="shared" si="9"/>
        <v>0</v>
      </c>
      <c r="K56" s="45">
        <f>K57</f>
        <v>0</v>
      </c>
      <c r="L56" s="46">
        <f t="shared" si="9"/>
        <v>0</v>
      </c>
      <c r="M56" s="45">
        <f t="shared" si="10"/>
        <v>1000</v>
      </c>
      <c r="N56" s="45">
        <f t="shared" si="10"/>
        <v>0</v>
      </c>
      <c r="O56" s="45">
        <f t="shared" si="10"/>
        <v>1000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1000</v>
      </c>
      <c r="H57" s="45"/>
      <c r="I57" s="45">
        <f>I58</f>
        <v>1000</v>
      </c>
      <c r="J57" s="46">
        <f t="shared" si="9"/>
        <v>0</v>
      </c>
      <c r="K57" s="45"/>
      <c r="L57" s="46">
        <f t="shared" si="9"/>
        <v>0</v>
      </c>
      <c r="M57" s="45">
        <f t="shared" si="10"/>
        <v>1000</v>
      </c>
      <c r="N57" s="45">
        <f t="shared" si="10"/>
        <v>0</v>
      </c>
      <c r="O57" s="45">
        <f t="shared" si="10"/>
        <v>1000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1000</v>
      </c>
      <c r="H58" s="38"/>
      <c r="I58" s="45">
        <v>1000</v>
      </c>
      <c r="J58" s="47">
        <v>0</v>
      </c>
      <c r="K58" s="38"/>
      <c r="L58" s="47">
        <v>0</v>
      </c>
      <c r="M58" s="45">
        <v>1000</v>
      </c>
      <c r="N58" s="45"/>
      <c r="O58" s="45">
        <v>1000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G60+G65+G70+G86+G104</f>
        <v>53471.8</v>
      </c>
      <c r="H59" s="45">
        <f>H60</f>
        <v>0</v>
      </c>
      <c r="I59" s="38">
        <f>I60+I65+I70+I86+I104</f>
        <v>53471.8</v>
      </c>
      <c r="J59" s="39">
        <f>J60+J65+J70+J86+J104</f>
        <v>0</v>
      </c>
      <c r="K59" s="45">
        <f>K60</f>
        <v>0</v>
      </c>
      <c r="L59" s="39">
        <f>L60+L65+L70+L86+L104</f>
        <v>0</v>
      </c>
      <c r="M59" s="38">
        <f>M60+M65+M70+M86+M104</f>
        <v>53471.8</v>
      </c>
      <c r="N59" s="38">
        <f>N60+N65+N70+N86+N104</f>
        <v>0</v>
      </c>
      <c r="O59" s="38">
        <f>O60+O65+O70+O86+O104</f>
        <v>53471.8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>G61</f>
        <v>80</v>
      </c>
      <c r="H60" s="45">
        <f>H61</f>
        <v>0</v>
      </c>
      <c r="I60" s="45">
        <f>I61</f>
        <v>80</v>
      </c>
      <c r="J60" s="46">
        <f t="shared" ref="J60:L63" si="11">J61</f>
        <v>0</v>
      </c>
      <c r="K60" s="45">
        <f>K61</f>
        <v>0</v>
      </c>
      <c r="L60" s="46">
        <f t="shared" si="11"/>
        <v>0</v>
      </c>
      <c r="M60" s="45">
        <f t="shared" ref="M60:O63" si="12">M61</f>
        <v>80</v>
      </c>
      <c r="N60" s="45">
        <f t="shared" si="12"/>
        <v>0</v>
      </c>
      <c r="O60" s="45">
        <f t="shared" si="12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>G62</f>
        <v>80</v>
      </c>
      <c r="H61" s="45">
        <f>H62</f>
        <v>0</v>
      </c>
      <c r="I61" s="45">
        <f>I62</f>
        <v>80</v>
      </c>
      <c r="J61" s="46">
        <f t="shared" si="11"/>
        <v>0</v>
      </c>
      <c r="K61" s="45">
        <f>K62</f>
        <v>0</v>
      </c>
      <c r="L61" s="46">
        <f t="shared" si="11"/>
        <v>0</v>
      </c>
      <c r="M61" s="45">
        <f t="shared" si="12"/>
        <v>80</v>
      </c>
      <c r="N61" s="45">
        <f t="shared" si="12"/>
        <v>0</v>
      </c>
      <c r="O61" s="45">
        <f t="shared" si="12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>G63</f>
        <v>80</v>
      </c>
      <c r="H62" s="45">
        <f>H63</f>
        <v>0</v>
      </c>
      <c r="I62" s="45">
        <f>I63</f>
        <v>80</v>
      </c>
      <c r="J62" s="46">
        <f t="shared" si="11"/>
        <v>0</v>
      </c>
      <c r="K62" s="45">
        <f>K63</f>
        <v>0</v>
      </c>
      <c r="L62" s="46">
        <f t="shared" si="11"/>
        <v>0</v>
      </c>
      <c r="M62" s="45">
        <f t="shared" si="12"/>
        <v>80</v>
      </c>
      <c r="N62" s="45">
        <f t="shared" si="12"/>
        <v>0</v>
      </c>
      <c r="O62" s="45">
        <f t="shared" si="12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11"/>
        <v>0</v>
      </c>
      <c r="K63" s="45"/>
      <c r="L63" s="46">
        <f t="shared" si="11"/>
        <v>0</v>
      </c>
      <c r="M63" s="45">
        <f t="shared" si="12"/>
        <v>80</v>
      </c>
      <c r="N63" s="45">
        <f t="shared" si="12"/>
        <v>0</v>
      </c>
      <c r="O63" s="45">
        <f t="shared" si="12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I67" si="13">G66</f>
        <v>3500</v>
      </c>
      <c r="H65" s="45">
        <f t="shared" si="13"/>
        <v>0</v>
      </c>
      <c r="I65" s="45">
        <f t="shared" si="13"/>
        <v>3500</v>
      </c>
      <c r="J65" s="46">
        <f t="shared" ref="J65:L68" si="14">J66</f>
        <v>0</v>
      </c>
      <c r="K65" s="45">
        <f>K66</f>
        <v>0</v>
      </c>
      <c r="L65" s="46">
        <f t="shared" si="14"/>
        <v>0</v>
      </c>
      <c r="M65" s="45">
        <f t="shared" ref="M65:O68" si="15">M66</f>
        <v>3500</v>
      </c>
      <c r="N65" s="45">
        <f t="shared" si="15"/>
        <v>0</v>
      </c>
      <c r="O65" s="45">
        <f t="shared" si="15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13"/>
        <v>3500</v>
      </c>
      <c r="H66" s="45">
        <f t="shared" si="13"/>
        <v>0</v>
      </c>
      <c r="I66" s="45">
        <f t="shared" si="13"/>
        <v>3500</v>
      </c>
      <c r="J66" s="46">
        <f t="shared" si="14"/>
        <v>0</v>
      </c>
      <c r="K66" s="45">
        <f>K67</f>
        <v>0</v>
      </c>
      <c r="L66" s="46">
        <f t="shared" si="14"/>
        <v>0</v>
      </c>
      <c r="M66" s="45">
        <f t="shared" si="15"/>
        <v>3500</v>
      </c>
      <c r="N66" s="45">
        <f t="shared" si="15"/>
        <v>0</v>
      </c>
      <c r="O66" s="45">
        <f t="shared" si="15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13"/>
        <v>3500</v>
      </c>
      <c r="H67" s="45">
        <f t="shared" si="13"/>
        <v>0</v>
      </c>
      <c r="I67" s="45">
        <f t="shared" si="13"/>
        <v>3500</v>
      </c>
      <c r="J67" s="46">
        <f t="shared" si="14"/>
        <v>0</v>
      </c>
      <c r="K67" s="45">
        <f>K68</f>
        <v>0</v>
      </c>
      <c r="L67" s="46">
        <f t="shared" si="14"/>
        <v>0</v>
      </c>
      <c r="M67" s="45">
        <f t="shared" si="15"/>
        <v>3500</v>
      </c>
      <c r="N67" s="45">
        <f t="shared" si="15"/>
        <v>0</v>
      </c>
      <c r="O67" s="45">
        <f t="shared" si="15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14"/>
        <v>0</v>
      </c>
      <c r="K68" s="45"/>
      <c r="L68" s="46">
        <f t="shared" si="14"/>
        <v>0</v>
      </c>
      <c r="M68" s="45">
        <f t="shared" si="15"/>
        <v>3500</v>
      </c>
      <c r="N68" s="45">
        <f t="shared" si="15"/>
        <v>0</v>
      </c>
      <c r="O68" s="45">
        <f t="shared" si="15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</f>
        <v>0</v>
      </c>
      <c r="I70" s="45">
        <f>I71+I77+I81</f>
        <v>5172</v>
      </c>
      <c r="J70" s="46">
        <f>J71+J77+J81</f>
        <v>0</v>
      </c>
      <c r="K70" s="45">
        <f>K71</f>
        <v>0</v>
      </c>
      <c r="L70" s="46">
        <f>L71+L77+L81</f>
        <v>0</v>
      </c>
      <c r="M70" s="45">
        <f>M71+M77+M81</f>
        <v>5172</v>
      </c>
      <c r="N70" s="45">
        <f>N71+N77+N81</f>
        <v>0</v>
      </c>
      <c r="O70" s="45">
        <f>O71+O77+O81</f>
        <v>5172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>
        <v>10</v>
      </c>
      <c r="I75" s="45">
        <f>I76</f>
        <v>10</v>
      </c>
      <c r="J75" s="46">
        <f>J76</f>
        <v>0</v>
      </c>
      <c r="K75" s="45">
        <v>10</v>
      </c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I78" si="16">G78</f>
        <v>150</v>
      </c>
      <c r="H77" s="45">
        <f t="shared" si="16"/>
        <v>0</v>
      </c>
      <c r="I77" s="45">
        <f t="shared" si="16"/>
        <v>150</v>
      </c>
      <c r="J77" s="46">
        <f t="shared" ref="J77:L79" si="17">J78</f>
        <v>0</v>
      </c>
      <c r="K77" s="45">
        <f>K78</f>
        <v>0</v>
      </c>
      <c r="L77" s="46">
        <f t="shared" si="17"/>
        <v>0</v>
      </c>
      <c r="M77" s="45">
        <f t="shared" ref="M77:O79" si="18">M78</f>
        <v>150</v>
      </c>
      <c r="N77" s="45">
        <f t="shared" si="18"/>
        <v>0</v>
      </c>
      <c r="O77" s="45">
        <f t="shared" si="18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16"/>
        <v>150</v>
      </c>
      <c r="H78" s="45">
        <f t="shared" si="16"/>
        <v>0</v>
      </c>
      <c r="I78" s="45">
        <f t="shared" si="16"/>
        <v>150</v>
      </c>
      <c r="J78" s="46">
        <f t="shared" si="17"/>
        <v>0</v>
      </c>
      <c r="K78" s="45">
        <f>K79</f>
        <v>0</v>
      </c>
      <c r="L78" s="46">
        <f t="shared" si="17"/>
        <v>0</v>
      </c>
      <c r="M78" s="45">
        <f t="shared" si="18"/>
        <v>150</v>
      </c>
      <c r="N78" s="45">
        <f t="shared" si="18"/>
        <v>0</v>
      </c>
      <c r="O78" s="45">
        <f t="shared" si="18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17"/>
        <v>0</v>
      </c>
      <c r="K79" s="45"/>
      <c r="L79" s="46">
        <f t="shared" si="17"/>
        <v>0</v>
      </c>
      <c r="M79" s="45">
        <f t="shared" si="18"/>
        <v>150</v>
      </c>
      <c r="N79" s="45">
        <f t="shared" si="18"/>
        <v>0</v>
      </c>
      <c r="O79" s="45">
        <f t="shared" si="18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19">G82</f>
        <v>2600</v>
      </c>
      <c r="H81" s="45">
        <f t="shared" si="19"/>
        <v>0</v>
      </c>
      <c r="I81" s="45">
        <f t="shared" si="19"/>
        <v>2600</v>
      </c>
      <c r="J81" s="46">
        <f t="shared" si="19"/>
        <v>0</v>
      </c>
      <c r="K81" s="45">
        <f t="shared" si="19"/>
        <v>0</v>
      </c>
      <c r="L81" s="46">
        <f t="shared" si="19"/>
        <v>0</v>
      </c>
      <c r="M81" s="45">
        <f t="shared" si="19"/>
        <v>2600</v>
      </c>
      <c r="N81" s="45">
        <f t="shared" si="19"/>
        <v>0</v>
      </c>
      <c r="O81" s="45">
        <f t="shared" si="19"/>
        <v>2600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19"/>
        <v>2600</v>
      </c>
      <c r="H82" s="45">
        <f>H83+H84</f>
        <v>0</v>
      </c>
      <c r="I82" s="45">
        <f t="shared" si="19"/>
        <v>2600</v>
      </c>
      <c r="J82" s="46">
        <f t="shared" si="19"/>
        <v>0</v>
      </c>
      <c r="K82" s="45">
        <f>K83+K84</f>
        <v>0</v>
      </c>
      <c r="L82" s="46">
        <f t="shared" si="19"/>
        <v>0</v>
      </c>
      <c r="M82" s="45">
        <f t="shared" si="19"/>
        <v>2600</v>
      </c>
      <c r="N82" s="45">
        <f t="shared" si="19"/>
        <v>0</v>
      </c>
      <c r="O82" s="45">
        <f t="shared" si="19"/>
        <v>2600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2600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0</v>
      </c>
      <c r="O83" s="45">
        <f>O84+O85</f>
        <v>2600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/>
      <c r="I84" s="45">
        <v>2536.8000000000002</v>
      </c>
      <c r="J84" s="47">
        <v>0</v>
      </c>
      <c r="K84" s="45"/>
      <c r="L84" s="47">
        <v>0</v>
      </c>
      <c r="M84" s="45">
        <v>2536.8000000000002</v>
      </c>
      <c r="N84" s="45"/>
      <c r="O84" s="45">
        <v>2536.8000000000002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31.5" x14ac:dyDescent="0.2">
      <c r="A86" s="40"/>
      <c r="B86" s="41" t="s">
        <v>128</v>
      </c>
      <c r="C86" s="42" t="s">
        <v>51</v>
      </c>
      <c r="D86" s="43" t="s">
        <v>86</v>
      </c>
      <c r="E86" s="43" t="s">
        <v>129</v>
      </c>
      <c r="F86" s="44" t="s">
        <v>11</v>
      </c>
      <c r="G86" s="45">
        <f>G87+G100</f>
        <v>44719.8</v>
      </c>
      <c r="H86" s="45">
        <f>H87+H92</f>
        <v>0</v>
      </c>
      <c r="I86" s="45">
        <f>I87+I100</f>
        <v>44719.8</v>
      </c>
      <c r="J86" s="46">
        <f>J87+J100</f>
        <v>0</v>
      </c>
      <c r="K86" s="45">
        <f>K87+K92</f>
        <v>0</v>
      </c>
      <c r="L86" s="46">
        <f>L87+L100</f>
        <v>0</v>
      </c>
      <c r="M86" s="45">
        <f>M87+M100</f>
        <v>44719.8</v>
      </c>
      <c r="N86" s="45">
        <f>N87+N100</f>
        <v>0</v>
      </c>
      <c r="O86" s="45">
        <f>O87+O100</f>
        <v>44719.8</v>
      </c>
      <c r="P86" s="16"/>
    </row>
    <row r="87" spans="1:16" ht="15.75" x14ac:dyDescent="0.2">
      <c r="A87" s="40"/>
      <c r="B87" s="41" t="s">
        <v>130</v>
      </c>
      <c r="C87" s="42" t="s">
        <v>51</v>
      </c>
      <c r="D87" s="43" t="s">
        <v>86</v>
      </c>
      <c r="E87" s="43" t="s">
        <v>131</v>
      </c>
      <c r="F87" s="44" t="s">
        <v>11</v>
      </c>
      <c r="G87" s="45">
        <f>G88+G93</f>
        <v>44519.8</v>
      </c>
      <c r="H87" s="45">
        <f>H88</f>
        <v>0</v>
      </c>
      <c r="I87" s="45">
        <f>I88+I93</f>
        <v>44519.8</v>
      </c>
      <c r="J87" s="46">
        <f>J88+J93</f>
        <v>0</v>
      </c>
      <c r="K87" s="45">
        <f>K88</f>
        <v>0</v>
      </c>
      <c r="L87" s="46">
        <f>L88+L93</f>
        <v>0</v>
      </c>
      <c r="M87" s="45">
        <f>M88+M93</f>
        <v>44519.8</v>
      </c>
      <c r="N87" s="45">
        <f>N88+N93</f>
        <v>0</v>
      </c>
      <c r="O87" s="45">
        <f>O88+O93</f>
        <v>44519.8</v>
      </c>
      <c r="P87" s="16"/>
    </row>
    <row r="88" spans="1:16" ht="15.75" x14ac:dyDescent="0.2">
      <c r="A88" s="40"/>
      <c r="B88" s="41" t="s">
        <v>132</v>
      </c>
      <c r="C88" s="42" t="s">
        <v>51</v>
      </c>
      <c r="D88" s="43" t="s">
        <v>86</v>
      </c>
      <c r="E88" s="43" t="s">
        <v>133</v>
      </c>
      <c r="F88" s="44" t="s">
        <v>11</v>
      </c>
      <c r="G88" s="45">
        <f>G89</f>
        <v>34239.300000000003</v>
      </c>
      <c r="H88" s="45">
        <f>H89+H90+H91</f>
        <v>0</v>
      </c>
      <c r="I88" s="45">
        <f>I89</f>
        <v>34239.300000000003</v>
      </c>
      <c r="J88" s="46">
        <f>J89</f>
        <v>0</v>
      </c>
      <c r="K88" s="45">
        <f>K89+K90+K91</f>
        <v>0</v>
      </c>
      <c r="L88" s="46">
        <f>L89</f>
        <v>0</v>
      </c>
      <c r="M88" s="45">
        <f>M89</f>
        <v>34239.300000000003</v>
      </c>
      <c r="N88" s="45">
        <f>N89</f>
        <v>0</v>
      </c>
      <c r="O88" s="45">
        <f>O89</f>
        <v>34239.300000000003</v>
      </c>
    </row>
    <row r="89" spans="1:16" ht="31.5" x14ac:dyDescent="0.2">
      <c r="A89" s="40"/>
      <c r="B89" s="41" t="s">
        <v>134</v>
      </c>
      <c r="C89" s="42" t="s">
        <v>51</v>
      </c>
      <c r="D89" s="43" t="s">
        <v>86</v>
      </c>
      <c r="E89" s="43" t="s">
        <v>135</v>
      </c>
      <c r="F89" s="44" t="s">
        <v>11</v>
      </c>
      <c r="G89" s="45">
        <f>G90+G91+G92</f>
        <v>34239.300000000003</v>
      </c>
      <c r="H89" s="45"/>
      <c r="I89" s="45">
        <f>I90+I91+I92</f>
        <v>34239.300000000003</v>
      </c>
      <c r="J89" s="46">
        <f>J90+J91+J92</f>
        <v>0</v>
      </c>
      <c r="K89" s="45"/>
      <c r="L89" s="46">
        <f>L90+L91+L92</f>
        <v>0</v>
      </c>
      <c r="M89" s="45">
        <f>M90+M91+M92</f>
        <v>34239.300000000003</v>
      </c>
      <c r="N89" s="45">
        <f>N90+N91+N92</f>
        <v>0</v>
      </c>
      <c r="O89" s="45">
        <f>O90+O91+O92</f>
        <v>34239.300000000003</v>
      </c>
      <c r="P89" s="16"/>
    </row>
    <row r="90" spans="1:16" ht="78.75" x14ac:dyDescent="0.2">
      <c r="A90" s="40"/>
      <c r="B90" s="41" t="s">
        <v>61</v>
      </c>
      <c r="C90" s="42" t="s">
        <v>51</v>
      </c>
      <c r="D90" s="43" t="s">
        <v>86</v>
      </c>
      <c r="E90" s="43" t="s">
        <v>135</v>
      </c>
      <c r="F90" s="44" t="s">
        <v>62</v>
      </c>
      <c r="G90" s="45">
        <v>23794</v>
      </c>
      <c r="H90" s="45"/>
      <c r="I90" s="45">
        <v>23794</v>
      </c>
      <c r="J90" s="47">
        <v>0</v>
      </c>
      <c r="K90" s="45"/>
      <c r="L90" s="47">
        <v>0</v>
      </c>
      <c r="M90" s="45">
        <v>23794</v>
      </c>
      <c r="N90" s="45"/>
      <c r="O90" s="45">
        <v>23794</v>
      </c>
    </row>
    <row r="91" spans="1:16" ht="31.5" x14ac:dyDescent="0.2">
      <c r="A91" s="40"/>
      <c r="B91" s="41" t="s">
        <v>40</v>
      </c>
      <c r="C91" s="42" t="s">
        <v>51</v>
      </c>
      <c r="D91" s="43" t="s">
        <v>86</v>
      </c>
      <c r="E91" s="43" t="s">
        <v>135</v>
      </c>
      <c r="F91" s="44" t="s">
        <v>41</v>
      </c>
      <c r="G91" s="45">
        <v>10367.9</v>
      </c>
      <c r="H91" s="45"/>
      <c r="I91" s="45">
        <v>10367.9</v>
      </c>
      <c r="J91" s="47">
        <v>0</v>
      </c>
      <c r="K91" s="45"/>
      <c r="L91" s="47">
        <v>0</v>
      </c>
      <c r="M91" s="45">
        <v>10367.9</v>
      </c>
      <c r="N91" s="45"/>
      <c r="O91" s="45">
        <v>10367.9</v>
      </c>
    </row>
    <row r="92" spans="1:16" ht="15.75" x14ac:dyDescent="0.2">
      <c r="A92" s="40"/>
      <c r="B92" s="41" t="s">
        <v>70</v>
      </c>
      <c r="C92" s="42" t="s">
        <v>51</v>
      </c>
      <c r="D92" s="43" t="s">
        <v>86</v>
      </c>
      <c r="E92" s="43" t="s">
        <v>135</v>
      </c>
      <c r="F92" s="44" t="s">
        <v>71</v>
      </c>
      <c r="G92" s="45">
        <v>77.400000000000006</v>
      </c>
      <c r="H92" s="45"/>
      <c r="I92" s="45">
        <v>77.400000000000006</v>
      </c>
      <c r="J92" s="47">
        <v>0</v>
      </c>
      <c r="K92" s="45"/>
      <c r="L92" s="47">
        <v>0</v>
      </c>
      <c r="M92" s="45">
        <v>77.400000000000006</v>
      </c>
      <c r="N92" s="45"/>
      <c r="O92" s="45">
        <v>77.400000000000006</v>
      </c>
    </row>
    <row r="93" spans="1:16" ht="31.5" x14ac:dyDescent="0.2">
      <c r="A93" s="40"/>
      <c r="B93" s="41" t="s">
        <v>136</v>
      </c>
      <c r="C93" s="42" t="s">
        <v>51</v>
      </c>
      <c r="D93" s="43" t="s">
        <v>86</v>
      </c>
      <c r="E93" s="43" t="s">
        <v>137</v>
      </c>
      <c r="F93" s="44" t="s">
        <v>11</v>
      </c>
      <c r="G93" s="45">
        <f>G94+G97</f>
        <v>10280.5</v>
      </c>
      <c r="H93" s="45">
        <f>H94+H95</f>
        <v>0</v>
      </c>
      <c r="I93" s="45">
        <f>I94+I97</f>
        <v>10280.5</v>
      </c>
      <c r="J93" s="46">
        <f>J94+J97</f>
        <v>0</v>
      </c>
      <c r="K93" s="45">
        <f>K94+K95</f>
        <v>0</v>
      </c>
      <c r="L93" s="46">
        <f>L94+L97</f>
        <v>0</v>
      </c>
      <c r="M93" s="45">
        <f>M94+M97</f>
        <v>10280.5</v>
      </c>
      <c r="N93" s="45">
        <f>N94+N97</f>
        <v>0</v>
      </c>
      <c r="O93" s="45">
        <f>O94+O97</f>
        <v>10280.5</v>
      </c>
      <c r="P93" s="16"/>
    </row>
    <row r="94" spans="1:16" ht="31.5" x14ac:dyDescent="0.2">
      <c r="A94" s="40"/>
      <c r="B94" s="41" t="s">
        <v>134</v>
      </c>
      <c r="C94" s="42" t="s">
        <v>51</v>
      </c>
      <c r="D94" s="43" t="s">
        <v>86</v>
      </c>
      <c r="E94" s="43" t="s">
        <v>138</v>
      </c>
      <c r="F94" s="44" t="s">
        <v>11</v>
      </c>
      <c r="G94" s="45">
        <f>G95+G96</f>
        <v>9205.9</v>
      </c>
      <c r="H94" s="45"/>
      <c r="I94" s="45">
        <f>I95+I96</f>
        <v>9205.9</v>
      </c>
      <c r="J94" s="46">
        <f>J95+J96</f>
        <v>0</v>
      </c>
      <c r="K94" s="45"/>
      <c r="L94" s="46">
        <f>L95+L96</f>
        <v>0</v>
      </c>
      <c r="M94" s="45">
        <f>M95+M96</f>
        <v>9205.9</v>
      </c>
      <c r="N94" s="45">
        <f>N95+N96</f>
        <v>0</v>
      </c>
      <c r="O94" s="45">
        <f>O95+O96</f>
        <v>9205.9</v>
      </c>
    </row>
    <row r="95" spans="1:16" ht="78.75" x14ac:dyDescent="0.2">
      <c r="A95" s="40"/>
      <c r="B95" s="41" t="s">
        <v>61</v>
      </c>
      <c r="C95" s="42" t="s">
        <v>51</v>
      </c>
      <c r="D95" s="43" t="s">
        <v>86</v>
      </c>
      <c r="E95" s="43" t="s">
        <v>138</v>
      </c>
      <c r="F95" s="44" t="s">
        <v>62</v>
      </c>
      <c r="G95" s="45">
        <v>8505.9</v>
      </c>
      <c r="H95" s="45"/>
      <c r="I95" s="45">
        <v>8505.9</v>
      </c>
      <c r="J95" s="47">
        <v>0</v>
      </c>
      <c r="K95" s="45"/>
      <c r="L95" s="47">
        <v>0</v>
      </c>
      <c r="M95" s="45">
        <v>8505.9</v>
      </c>
      <c r="N95" s="45"/>
      <c r="O95" s="45">
        <v>8505.9</v>
      </c>
    </row>
    <row r="96" spans="1:16" ht="31.5" x14ac:dyDescent="0.2">
      <c r="A96" s="40"/>
      <c r="B96" s="41" t="s">
        <v>40</v>
      </c>
      <c r="C96" s="42" t="s">
        <v>51</v>
      </c>
      <c r="D96" s="43" t="s">
        <v>86</v>
      </c>
      <c r="E96" s="43" t="s">
        <v>138</v>
      </c>
      <c r="F96" s="44" t="s">
        <v>41</v>
      </c>
      <c r="G96" s="45">
        <v>700</v>
      </c>
      <c r="H96" s="45"/>
      <c r="I96" s="45">
        <v>700</v>
      </c>
      <c r="J96" s="47">
        <v>0</v>
      </c>
      <c r="K96" s="45"/>
      <c r="L96" s="47">
        <v>0</v>
      </c>
      <c r="M96" s="45">
        <v>700</v>
      </c>
      <c r="N96" s="45"/>
      <c r="O96" s="45">
        <v>700</v>
      </c>
    </row>
    <row r="97" spans="1:16" ht="47.25" x14ac:dyDescent="0.2">
      <c r="A97" s="40"/>
      <c r="B97" s="41" t="s">
        <v>139</v>
      </c>
      <c r="C97" s="42" t="s">
        <v>51</v>
      </c>
      <c r="D97" s="43" t="s">
        <v>86</v>
      </c>
      <c r="E97" s="43" t="s">
        <v>140</v>
      </c>
      <c r="F97" s="44" t="s">
        <v>11</v>
      </c>
      <c r="G97" s="45">
        <f>G98+G99</f>
        <v>1074.5999999999999</v>
      </c>
      <c r="H97" s="45"/>
      <c r="I97" s="45">
        <f>I98+I99</f>
        <v>1074.5999999999999</v>
      </c>
      <c r="J97" s="46">
        <f>J98+J99</f>
        <v>0</v>
      </c>
      <c r="K97" s="45"/>
      <c r="L97" s="46">
        <f>L98+L99</f>
        <v>0</v>
      </c>
      <c r="M97" s="45">
        <f>M98+M99</f>
        <v>1074.5999999999999</v>
      </c>
      <c r="N97" s="45">
        <f>N98+N99</f>
        <v>0</v>
      </c>
      <c r="O97" s="45">
        <f>O98+O99</f>
        <v>1074.5999999999999</v>
      </c>
    </row>
    <row r="98" spans="1:16" ht="31.5" x14ac:dyDescent="0.2">
      <c r="A98" s="40"/>
      <c r="B98" s="41" t="s">
        <v>40</v>
      </c>
      <c r="C98" s="42" t="s">
        <v>51</v>
      </c>
      <c r="D98" s="43" t="s">
        <v>86</v>
      </c>
      <c r="E98" s="43" t="s">
        <v>140</v>
      </c>
      <c r="F98" s="44" t="s">
        <v>41</v>
      </c>
      <c r="G98" s="45">
        <f>1000.2-745.2</f>
        <v>255</v>
      </c>
      <c r="H98" s="45"/>
      <c r="I98" s="45">
        <f>1000.2-745.2</f>
        <v>255</v>
      </c>
      <c r="J98" s="47">
        <v>0</v>
      </c>
      <c r="K98" s="45"/>
      <c r="L98" s="47">
        <v>0</v>
      </c>
      <c r="M98" s="45">
        <f>1000.2-745.2</f>
        <v>255</v>
      </c>
      <c r="N98" s="45"/>
      <c r="O98" s="45">
        <f>1000.2-745.2</f>
        <v>255</v>
      </c>
    </row>
    <row r="99" spans="1:16" ht="15.75" x14ac:dyDescent="0.2">
      <c r="A99" s="40"/>
      <c r="B99" s="41" t="s">
        <v>70</v>
      </c>
      <c r="C99" s="42" t="s">
        <v>51</v>
      </c>
      <c r="D99" s="43" t="s">
        <v>86</v>
      </c>
      <c r="E99" s="43" t="s">
        <v>140</v>
      </c>
      <c r="F99" s="44" t="s">
        <v>71</v>
      </c>
      <c r="G99" s="45">
        <f>74.4+745.2</f>
        <v>819.6</v>
      </c>
      <c r="H99" s="45"/>
      <c r="I99" s="45">
        <f>74.4+745.2</f>
        <v>819.6</v>
      </c>
      <c r="J99" s="47">
        <v>0</v>
      </c>
      <c r="K99" s="45"/>
      <c r="L99" s="47">
        <v>0</v>
      </c>
      <c r="M99" s="45">
        <f>74.4+745.2</f>
        <v>819.6</v>
      </c>
      <c r="N99" s="45"/>
      <c r="O99" s="45">
        <f>74.4+745.2</f>
        <v>819.6</v>
      </c>
    </row>
    <row r="100" spans="1:16" ht="15.75" x14ac:dyDescent="0.2">
      <c r="A100" s="40"/>
      <c r="B100" s="41" t="s">
        <v>141</v>
      </c>
      <c r="C100" s="42" t="s">
        <v>51</v>
      </c>
      <c r="D100" s="43" t="s">
        <v>86</v>
      </c>
      <c r="E100" s="43" t="s">
        <v>142</v>
      </c>
      <c r="F100" s="44" t="s">
        <v>11</v>
      </c>
      <c r="G100" s="45">
        <f t="shared" ref="G100:I101" si="20">G101</f>
        <v>200</v>
      </c>
      <c r="H100" s="45">
        <f t="shared" si="20"/>
        <v>0</v>
      </c>
      <c r="I100" s="45">
        <f t="shared" si="20"/>
        <v>200</v>
      </c>
      <c r="J100" s="46">
        <f t="shared" ref="J100:L102" si="21">J101</f>
        <v>0</v>
      </c>
      <c r="K100" s="45">
        <f>K101</f>
        <v>0</v>
      </c>
      <c r="L100" s="46">
        <f t="shared" si="21"/>
        <v>0</v>
      </c>
      <c r="M100" s="45">
        <f t="shared" ref="M100:O102" si="22">M101</f>
        <v>200</v>
      </c>
      <c r="N100" s="45">
        <f t="shared" si="22"/>
        <v>0</v>
      </c>
      <c r="O100" s="45">
        <f t="shared" si="22"/>
        <v>200</v>
      </c>
    </row>
    <row r="101" spans="1:16" ht="47.25" x14ac:dyDescent="0.2">
      <c r="A101" s="40"/>
      <c r="B101" s="41" t="s">
        <v>143</v>
      </c>
      <c r="C101" s="42" t="s">
        <v>51</v>
      </c>
      <c r="D101" s="43" t="s">
        <v>86</v>
      </c>
      <c r="E101" s="43" t="s">
        <v>144</v>
      </c>
      <c r="F101" s="44" t="s">
        <v>11</v>
      </c>
      <c r="G101" s="45">
        <f t="shared" si="20"/>
        <v>200</v>
      </c>
      <c r="H101" s="45">
        <f t="shared" si="20"/>
        <v>0</v>
      </c>
      <c r="I101" s="45">
        <f t="shared" si="20"/>
        <v>200</v>
      </c>
      <c r="J101" s="46">
        <f t="shared" si="21"/>
        <v>0</v>
      </c>
      <c r="K101" s="45">
        <f>K102</f>
        <v>0</v>
      </c>
      <c r="L101" s="46">
        <f t="shared" si="21"/>
        <v>0</v>
      </c>
      <c r="M101" s="45">
        <f t="shared" si="22"/>
        <v>200</v>
      </c>
      <c r="N101" s="45">
        <f t="shared" si="22"/>
        <v>0</v>
      </c>
      <c r="O101" s="45">
        <f t="shared" si="22"/>
        <v>200</v>
      </c>
    </row>
    <row r="102" spans="1:16" ht="31.5" x14ac:dyDescent="0.2">
      <c r="A102" s="40"/>
      <c r="B102" s="41" t="s">
        <v>145</v>
      </c>
      <c r="C102" s="42" t="s">
        <v>51</v>
      </c>
      <c r="D102" s="43" t="s">
        <v>86</v>
      </c>
      <c r="E102" s="43" t="s">
        <v>146</v>
      </c>
      <c r="F102" s="44" t="s">
        <v>11</v>
      </c>
      <c r="G102" s="45">
        <f>G103</f>
        <v>200</v>
      </c>
      <c r="H102" s="45"/>
      <c r="I102" s="45">
        <f>I103</f>
        <v>200</v>
      </c>
      <c r="J102" s="46">
        <f t="shared" si="21"/>
        <v>0</v>
      </c>
      <c r="K102" s="45"/>
      <c r="L102" s="46">
        <f t="shared" si="21"/>
        <v>0</v>
      </c>
      <c r="M102" s="45">
        <f t="shared" si="22"/>
        <v>200</v>
      </c>
      <c r="N102" s="45">
        <f t="shared" si="22"/>
        <v>0</v>
      </c>
      <c r="O102" s="45">
        <f t="shared" si="22"/>
        <v>200</v>
      </c>
    </row>
    <row r="103" spans="1:16" ht="31.5" x14ac:dyDescent="0.2">
      <c r="A103" s="40"/>
      <c r="B103" s="41" t="s">
        <v>40</v>
      </c>
      <c r="C103" s="42" t="s">
        <v>51</v>
      </c>
      <c r="D103" s="43" t="s">
        <v>86</v>
      </c>
      <c r="E103" s="43" t="s">
        <v>146</v>
      </c>
      <c r="F103" s="44" t="s">
        <v>41</v>
      </c>
      <c r="G103" s="45">
        <v>200</v>
      </c>
      <c r="H103" s="45">
        <f>H104</f>
        <v>0</v>
      </c>
      <c r="I103" s="45">
        <v>200</v>
      </c>
      <c r="J103" s="47">
        <v>0</v>
      </c>
      <c r="K103" s="45">
        <f>K104</f>
        <v>0</v>
      </c>
      <c r="L103" s="47">
        <v>0</v>
      </c>
      <c r="M103" s="45">
        <v>200</v>
      </c>
      <c r="N103" s="45"/>
      <c r="O103" s="45">
        <v>200</v>
      </c>
    </row>
    <row r="104" spans="1:16" ht="1.5" customHeight="1" x14ac:dyDescent="0.2">
      <c r="A104" s="40"/>
      <c r="B104" s="41" t="s">
        <v>147</v>
      </c>
      <c r="C104" s="42" t="s">
        <v>51</v>
      </c>
      <c r="D104" s="43" t="s">
        <v>86</v>
      </c>
      <c r="E104" s="43" t="s">
        <v>148</v>
      </c>
      <c r="F104" s="44" t="s">
        <v>11</v>
      </c>
      <c r="G104" s="45">
        <f>G105</f>
        <v>0</v>
      </c>
      <c r="H104" s="45">
        <f>H105</f>
        <v>0</v>
      </c>
      <c r="I104" s="45">
        <f>I105</f>
        <v>0</v>
      </c>
      <c r="J104" s="46">
        <f t="shared" ref="J104:L106" si="23">J105</f>
        <v>0</v>
      </c>
      <c r="K104" s="45">
        <f>K105</f>
        <v>0</v>
      </c>
      <c r="L104" s="46">
        <f t="shared" si="23"/>
        <v>0</v>
      </c>
      <c r="M104" s="45">
        <f t="shared" ref="M104:O106" si="24">M105</f>
        <v>0</v>
      </c>
      <c r="N104" s="45">
        <f t="shared" si="24"/>
        <v>0</v>
      </c>
      <c r="O104" s="45">
        <f t="shared" si="24"/>
        <v>0</v>
      </c>
    </row>
    <row r="105" spans="1:16" ht="31.5" hidden="1" x14ac:dyDescent="0.2">
      <c r="A105" s="40"/>
      <c r="B105" s="41" t="s">
        <v>149</v>
      </c>
      <c r="C105" s="42" t="s">
        <v>51</v>
      </c>
      <c r="D105" s="43" t="s">
        <v>86</v>
      </c>
      <c r="E105" s="43" t="s">
        <v>150</v>
      </c>
      <c r="F105" s="44" t="s">
        <v>11</v>
      </c>
      <c r="G105" s="45">
        <f>G106</f>
        <v>0</v>
      </c>
      <c r="H105" s="45">
        <f>H106</f>
        <v>0</v>
      </c>
      <c r="I105" s="45">
        <f>I106</f>
        <v>0</v>
      </c>
      <c r="J105" s="46">
        <f t="shared" si="23"/>
        <v>0</v>
      </c>
      <c r="K105" s="45">
        <f>K106</f>
        <v>0</v>
      </c>
      <c r="L105" s="46">
        <f t="shared" si="23"/>
        <v>0</v>
      </c>
      <c r="M105" s="45">
        <f t="shared" si="24"/>
        <v>0</v>
      </c>
      <c r="N105" s="45">
        <f t="shared" si="24"/>
        <v>0</v>
      </c>
      <c r="O105" s="45">
        <f t="shared" si="24"/>
        <v>0</v>
      </c>
    </row>
    <row r="106" spans="1:16" ht="31.5" hidden="1" x14ac:dyDescent="0.2">
      <c r="A106" s="40"/>
      <c r="B106" s="41" t="s">
        <v>151</v>
      </c>
      <c r="C106" s="42" t="s">
        <v>51</v>
      </c>
      <c r="D106" s="43" t="s">
        <v>86</v>
      </c>
      <c r="E106" s="43" t="s">
        <v>152</v>
      </c>
      <c r="F106" s="44" t="s">
        <v>11</v>
      </c>
      <c r="G106" s="45">
        <f>G107</f>
        <v>0</v>
      </c>
      <c r="H106" s="45"/>
      <c r="I106" s="45">
        <f>I107</f>
        <v>0</v>
      </c>
      <c r="J106" s="46">
        <f t="shared" si="23"/>
        <v>0</v>
      </c>
      <c r="K106" s="45"/>
      <c r="L106" s="46">
        <f t="shared" si="23"/>
        <v>0</v>
      </c>
      <c r="M106" s="45">
        <f t="shared" si="24"/>
        <v>0</v>
      </c>
      <c r="N106" s="45">
        <f t="shared" si="24"/>
        <v>0</v>
      </c>
      <c r="O106" s="45">
        <f t="shared" si="24"/>
        <v>0</v>
      </c>
    </row>
    <row r="107" spans="1:16" ht="22.5" hidden="1" customHeight="1" x14ac:dyDescent="0.2">
      <c r="A107" s="40"/>
      <c r="B107" s="41" t="s">
        <v>70</v>
      </c>
      <c r="C107" s="42" t="s">
        <v>51</v>
      </c>
      <c r="D107" s="43" t="s">
        <v>86</v>
      </c>
      <c r="E107" s="43" t="s">
        <v>152</v>
      </c>
      <c r="F107" s="44" t="s">
        <v>71</v>
      </c>
      <c r="G107" s="45"/>
      <c r="H107" s="25">
        <f>H108+H134</f>
        <v>0</v>
      </c>
      <c r="I107" s="45"/>
      <c r="J107" s="47">
        <v>0</v>
      </c>
      <c r="K107" s="25">
        <f>K108+K134</f>
        <v>0</v>
      </c>
      <c r="L107" s="47">
        <v>0</v>
      </c>
      <c r="M107" s="45"/>
      <c r="N107" s="45"/>
      <c r="O107" s="45"/>
    </row>
    <row r="108" spans="1:16" ht="31.5" x14ac:dyDescent="0.2">
      <c r="A108" s="20" t="s">
        <v>153</v>
      </c>
      <c r="B108" s="21" t="s">
        <v>154</v>
      </c>
      <c r="C108" s="22" t="s">
        <v>51</v>
      </c>
      <c r="D108" s="23" t="s">
        <v>155</v>
      </c>
      <c r="E108" s="23" t="s">
        <v>11</v>
      </c>
      <c r="F108" s="24" t="s">
        <v>11</v>
      </c>
      <c r="G108" s="25">
        <f>G109+G135</f>
        <v>37085.1</v>
      </c>
      <c r="H108" s="38">
        <f>H109</f>
        <v>0</v>
      </c>
      <c r="I108" s="25">
        <f>I109+I135</f>
        <v>37085.1</v>
      </c>
      <c r="J108" s="26">
        <f>J109+J135</f>
        <v>0</v>
      </c>
      <c r="K108" s="38">
        <f>K109</f>
        <v>0</v>
      </c>
      <c r="L108" s="26">
        <f>L109+L135</f>
        <v>0</v>
      </c>
      <c r="M108" s="25">
        <f>M109+M135</f>
        <v>37085.1</v>
      </c>
      <c r="N108" s="25">
        <f>N109+N135</f>
        <v>0</v>
      </c>
      <c r="O108" s="25">
        <f>O109+O135</f>
        <v>37085.1</v>
      </c>
      <c r="P108" s="17"/>
    </row>
    <row r="109" spans="1:16" ht="63" x14ac:dyDescent="0.2">
      <c r="A109" s="33" t="s">
        <v>156</v>
      </c>
      <c r="B109" s="34" t="s">
        <v>157</v>
      </c>
      <c r="C109" s="35" t="s">
        <v>51</v>
      </c>
      <c r="D109" s="36" t="s">
        <v>158</v>
      </c>
      <c r="E109" s="36" t="s">
        <v>11</v>
      </c>
      <c r="F109" s="37" t="s">
        <v>11</v>
      </c>
      <c r="G109" s="38">
        <f>G110</f>
        <v>31783.599999999999</v>
      </c>
      <c r="H109" s="45">
        <f>H110+H126+H130</f>
        <v>0</v>
      </c>
      <c r="I109" s="38">
        <f>I110</f>
        <v>31783.599999999999</v>
      </c>
      <c r="J109" s="39">
        <f>J110</f>
        <v>0</v>
      </c>
      <c r="K109" s="45">
        <f>K110+K126+K130</f>
        <v>0</v>
      </c>
      <c r="L109" s="39">
        <f>L110</f>
        <v>0</v>
      </c>
      <c r="M109" s="38">
        <f>M110</f>
        <v>31783.599999999999</v>
      </c>
      <c r="N109" s="38">
        <f>N110</f>
        <v>0</v>
      </c>
      <c r="O109" s="38">
        <f>O110</f>
        <v>31783.599999999999</v>
      </c>
    </row>
    <row r="110" spans="1:16" ht="31.5" x14ac:dyDescent="0.2">
      <c r="A110" s="40"/>
      <c r="B110" s="41" t="s">
        <v>159</v>
      </c>
      <c r="C110" s="42" t="s">
        <v>51</v>
      </c>
      <c r="D110" s="43" t="s">
        <v>158</v>
      </c>
      <c r="E110" s="43" t="s">
        <v>160</v>
      </c>
      <c r="F110" s="44" t="s">
        <v>11</v>
      </c>
      <c r="G110" s="45">
        <f>G111+G127+G131</f>
        <v>31783.599999999999</v>
      </c>
      <c r="H110" s="45">
        <f>H111+H120+H123</f>
        <v>0</v>
      </c>
      <c r="I110" s="45">
        <f>I111+I127+I131</f>
        <v>31783.599999999999</v>
      </c>
      <c r="J110" s="46">
        <f>J111+J127+J131</f>
        <v>0</v>
      </c>
      <c r="K110" s="45">
        <f>K111+K120+K123</f>
        <v>0</v>
      </c>
      <c r="L110" s="46">
        <f>L111+L127+L131</f>
        <v>0</v>
      </c>
      <c r="M110" s="45">
        <f>M111+M127+M131</f>
        <v>31783.599999999999</v>
      </c>
      <c r="N110" s="45">
        <f>N111+N127+N131</f>
        <v>0</v>
      </c>
      <c r="O110" s="45">
        <f>O111+O127+O131</f>
        <v>31783.599999999999</v>
      </c>
      <c r="P110" s="16"/>
    </row>
    <row r="111" spans="1:16" ht="63" x14ac:dyDescent="0.2">
      <c r="A111" s="40"/>
      <c r="B111" s="41" t="s">
        <v>161</v>
      </c>
      <c r="C111" s="42" t="s">
        <v>51</v>
      </c>
      <c r="D111" s="43" t="s">
        <v>158</v>
      </c>
      <c r="E111" s="43" t="s">
        <v>162</v>
      </c>
      <c r="F111" s="44" t="s">
        <v>11</v>
      </c>
      <c r="G111" s="45">
        <f>G112+G121+G124</f>
        <v>28124.6</v>
      </c>
      <c r="H111" s="45">
        <f>H112+H116+H118</f>
        <v>0</v>
      </c>
      <c r="I111" s="45">
        <f>I112+I121+I124</f>
        <v>28124.6</v>
      </c>
      <c r="J111" s="46">
        <f>J112+J121+J124</f>
        <v>0</v>
      </c>
      <c r="K111" s="45">
        <f>K112+K116+K118</f>
        <v>0</v>
      </c>
      <c r="L111" s="46">
        <f>L112+L121+L124</f>
        <v>0</v>
      </c>
      <c r="M111" s="45">
        <f>M112+M121+M124</f>
        <v>28124.6</v>
      </c>
      <c r="N111" s="45">
        <f>N112+N121+N124</f>
        <v>0</v>
      </c>
      <c r="O111" s="45">
        <f>O112+O121+O124</f>
        <v>28124.6</v>
      </c>
      <c r="P111" s="16"/>
    </row>
    <row r="112" spans="1:16" ht="63" x14ac:dyDescent="0.2">
      <c r="A112" s="40"/>
      <c r="B112" s="41" t="s">
        <v>163</v>
      </c>
      <c r="C112" s="42" t="s">
        <v>51</v>
      </c>
      <c r="D112" s="43" t="s">
        <v>158</v>
      </c>
      <c r="E112" s="43" t="s">
        <v>164</v>
      </c>
      <c r="F112" s="44" t="s">
        <v>11</v>
      </c>
      <c r="G112" s="45">
        <f>G113+G117+G119</f>
        <v>13023.900000000001</v>
      </c>
      <c r="H112" s="45">
        <f>H113+H114+H115</f>
        <v>0</v>
      </c>
      <c r="I112" s="45">
        <f>I113+I117+I119</f>
        <v>13023.900000000001</v>
      </c>
      <c r="J112" s="46">
        <f>J113+J117+J119</f>
        <v>0</v>
      </c>
      <c r="K112" s="45">
        <f>K113+K114+K115</f>
        <v>0</v>
      </c>
      <c r="L112" s="46">
        <f>L113+L117+L119</f>
        <v>0</v>
      </c>
      <c r="M112" s="45">
        <f>M113+M117+M119</f>
        <v>13023.900000000001</v>
      </c>
      <c r="N112" s="45">
        <f>N113+N117+N119</f>
        <v>0</v>
      </c>
      <c r="O112" s="45">
        <f>O113+O117+O119</f>
        <v>13023.900000000001</v>
      </c>
      <c r="P112" s="16"/>
    </row>
    <row r="113" spans="1:15" ht="31.5" x14ac:dyDescent="0.2">
      <c r="A113" s="40"/>
      <c r="B113" s="41" t="s">
        <v>134</v>
      </c>
      <c r="C113" s="42" t="s">
        <v>51</v>
      </c>
      <c r="D113" s="43" t="s">
        <v>158</v>
      </c>
      <c r="E113" s="43" t="s">
        <v>165</v>
      </c>
      <c r="F113" s="44" t="s">
        <v>11</v>
      </c>
      <c r="G113" s="45">
        <f>G114+G115+G116</f>
        <v>10295.300000000001</v>
      </c>
      <c r="H113" s="45"/>
      <c r="I113" s="45">
        <f>I114+I115+I116</f>
        <v>10295.300000000001</v>
      </c>
      <c r="J113" s="46">
        <f>J114+J115+J116</f>
        <v>0</v>
      </c>
      <c r="K113" s="45"/>
      <c r="L113" s="46">
        <f>L114+L115+L116</f>
        <v>0</v>
      </c>
      <c r="M113" s="45">
        <f>M114+M115+M116</f>
        <v>10295.300000000001</v>
      </c>
      <c r="N113" s="45">
        <f>N114+N115+N116</f>
        <v>0</v>
      </c>
      <c r="O113" s="45">
        <f>O114+O115+O116</f>
        <v>10295.300000000001</v>
      </c>
    </row>
    <row r="114" spans="1:15" ht="78.75" x14ac:dyDescent="0.2">
      <c r="A114" s="40"/>
      <c r="B114" s="41" t="s">
        <v>61</v>
      </c>
      <c r="C114" s="42" t="s">
        <v>51</v>
      </c>
      <c r="D114" s="43" t="s">
        <v>158</v>
      </c>
      <c r="E114" s="43" t="s">
        <v>165</v>
      </c>
      <c r="F114" s="44" t="s">
        <v>62</v>
      </c>
      <c r="G114" s="45">
        <v>9246.2000000000007</v>
      </c>
      <c r="H114" s="45"/>
      <c r="I114" s="45">
        <v>9246.2000000000007</v>
      </c>
      <c r="J114" s="47">
        <v>0</v>
      </c>
      <c r="K114" s="45"/>
      <c r="L114" s="47">
        <v>0</v>
      </c>
      <c r="M114" s="45">
        <v>9246.2000000000007</v>
      </c>
      <c r="N114" s="45"/>
      <c r="O114" s="45">
        <v>9246.2000000000007</v>
      </c>
    </row>
    <row r="115" spans="1:15" ht="31.5" x14ac:dyDescent="0.2">
      <c r="A115" s="40"/>
      <c r="B115" s="41" t="s">
        <v>40</v>
      </c>
      <c r="C115" s="42" t="s">
        <v>51</v>
      </c>
      <c r="D115" s="43" t="s">
        <v>158</v>
      </c>
      <c r="E115" s="43" t="s">
        <v>165</v>
      </c>
      <c r="F115" s="44" t="s">
        <v>41</v>
      </c>
      <c r="G115" s="45">
        <v>1026.0999999999999</v>
      </c>
      <c r="H115" s="45"/>
      <c r="I115" s="45">
        <v>1026.0999999999999</v>
      </c>
      <c r="J115" s="47">
        <v>0</v>
      </c>
      <c r="K115" s="45"/>
      <c r="L115" s="47">
        <v>0</v>
      </c>
      <c r="M115" s="45">
        <v>1026.0999999999999</v>
      </c>
      <c r="N115" s="45"/>
      <c r="O115" s="45">
        <v>1026.0999999999999</v>
      </c>
    </row>
    <row r="116" spans="1:15" ht="15.75" x14ac:dyDescent="0.2">
      <c r="A116" s="40"/>
      <c r="B116" s="41" t="s">
        <v>70</v>
      </c>
      <c r="C116" s="42" t="s">
        <v>51</v>
      </c>
      <c r="D116" s="43" t="s">
        <v>158</v>
      </c>
      <c r="E116" s="43" t="s">
        <v>165</v>
      </c>
      <c r="F116" s="44" t="s">
        <v>71</v>
      </c>
      <c r="G116" s="45">
        <v>23</v>
      </c>
      <c r="H116" s="45"/>
      <c r="I116" s="45">
        <v>23</v>
      </c>
      <c r="J116" s="47">
        <v>0</v>
      </c>
      <c r="K116" s="45"/>
      <c r="L116" s="47">
        <v>0</v>
      </c>
      <c r="M116" s="45">
        <v>23</v>
      </c>
      <c r="N116" s="45"/>
      <c r="O116" s="45">
        <v>23</v>
      </c>
    </row>
    <row r="117" spans="1:15" ht="63" x14ac:dyDescent="0.2">
      <c r="A117" s="40"/>
      <c r="B117" s="41" t="s">
        <v>166</v>
      </c>
      <c r="C117" s="42" t="s">
        <v>51</v>
      </c>
      <c r="D117" s="43" t="s">
        <v>158</v>
      </c>
      <c r="E117" s="43" t="s">
        <v>167</v>
      </c>
      <c r="F117" s="44" t="s">
        <v>11</v>
      </c>
      <c r="G117" s="45">
        <f>G118</f>
        <v>1728.6000000000001</v>
      </c>
      <c r="H117" s="48"/>
      <c r="I117" s="45">
        <f>I118</f>
        <v>1728.6000000000001</v>
      </c>
      <c r="J117" s="46">
        <f>J118</f>
        <v>0</v>
      </c>
      <c r="K117" s="48"/>
      <c r="L117" s="46">
        <f>L118</f>
        <v>0</v>
      </c>
      <c r="M117" s="45">
        <f>M118</f>
        <v>1728.6000000000001</v>
      </c>
      <c r="N117" s="45">
        <f>N118</f>
        <v>0</v>
      </c>
      <c r="O117" s="45">
        <f>O118</f>
        <v>1728.6000000000001</v>
      </c>
    </row>
    <row r="118" spans="1:15" ht="31.5" x14ac:dyDescent="0.2">
      <c r="A118" s="40"/>
      <c r="B118" s="41" t="s">
        <v>40</v>
      </c>
      <c r="C118" s="42" t="s">
        <v>51</v>
      </c>
      <c r="D118" s="43" t="s">
        <v>158</v>
      </c>
      <c r="E118" s="43" t="s">
        <v>167</v>
      </c>
      <c r="F118" s="44" t="s">
        <v>41</v>
      </c>
      <c r="G118" s="48">
        <f>1134.8+593.6+0.2</f>
        <v>1728.6000000000001</v>
      </c>
      <c r="H118" s="45"/>
      <c r="I118" s="48">
        <f>1134.8+593.6+0.2</f>
        <v>1728.6000000000001</v>
      </c>
      <c r="J118" s="47"/>
      <c r="K118" s="45"/>
      <c r="L118" s="47"/>
      <c r="M118" s="48">
        <f>1134.8+593.6+0.2</f>
        <v>1728.6000000000001</v>
      </c>
      <c r="N118" s="48"/>
      <c r="O118" s="48">
        <f>1134.8+593.6+0.2</f>
        <v>1728.6000000000001</v>
      </c>
    </row>
    <row r="119" spans="1:15" ht="63" x14ac:dyDescent="0.2">
      <c r="A119" s="40"/>
      <c r="B119" s="41" t="s">
        <v>168</v>
      </c>
      <c r="C119" s="42" t="s">
        <v>51</v>
      </c>
      <c r="D119" s="43" t="s">
        <v>158</v>
      </c>
      <c r="E119" s="43" t="s">
        <v>169</v>
      </c>
      <c r="F119" s="44" t="s">
        <v>11</v>
      </c>
      <c r="G119" s="45">
        <f>G120</f>
        <v>1000</v>
      </c>
      <c r="H119" s="45"/>
      <c r="I119" s="45">
        <f>I120</f>
        <v>1000</v>
      </c>
      <c r="J119" s="46">
        <f>J120</f>
        <v>0</v>
      </c>
      <c r="K119" s="45"/>
      <c r="L119" s="46">
        <f>L120</f>
        <v>0</v>
      </c>
      <c r="M119" s="45">
        <f>M120</f>
        <v>1000</v>
      </c>
      <c r="N119" s="45">
        <f>N120</f>
        <v>0</v>
      </c>
      <c r="O119" s="45">
        <f>O120</f>
        <v>1000</v>
      </c>
    </row>
    <row r="120" spans="1:15" ht="31.5" x14ac:dyDescent="0.2">
      <c r="A120" s="40"/>
      <c r="B120" s="41" t="s">
        <v>40</v>
      </c>
      <c r="C120" s="42" t="s">
        <v>51</v>
      </c>
      <c r="D120" s="43" t="s">
        <v>158</v>
      </c>
      <c r="E120" s="43" t="s">
        <v>169</v>
      </c>
      <c r="F120" s="44" t="s">
        <v>41</v>
      </c>
      <c r="G120" s="45">
        <v>1000</v>
      </c>
      <c r="H120" s="45"/>
      <c r="I120" s="45">
        <v>1000</v>
      </c>
      <c r="J120" s="47"/>
      <c r="K120" s="45"/>
      <c r="L120" s="47"/>
      <c r="M120" s="45">
        <v>1000</v>
      </c>
      <c r="N120" s="45"/>
      <c r="O120" s="45">
        <v>1000</v>
      </c>
    </row>
    <row r="121" spans="1:15" ht="37.9" customHeight="1" x14ac:dyDescent="0.2">
      <c r="A121" s="40"/>
      <c r="B121" s="41" t="s">
        <v>170</v>
      </c>
      <c r="C121" s="42" t="s">
        <v>51</v>
      </c>
      <c r="D121" s="43" t="s">
        <v>158</v>
      </c>
      <c r="E121" s="43" t="s">
        <v>171</v>
      </c>
      <c r="F121" s="44" t="s">
        <v>11</v>
      </c>
      <c r="G121" s="45">
        <f t="shared" ref="G121:O122" si="25">G122</f>
        <v>13584.1</v>
      </c>
      <c r="H121" s="45">
        <f t="shared" si="25"/>
        <v>0</v>
      </c>
      <c r="I121" s="45">
        <f t="shared" si="25"/>
        <v>13584.1</v>
      </c>
      <c r="J121" s="46">
        <f t="shared" si="25"/>
        <v>0</v>
      </c>
      <c r="K121" s="45">
        <f t="shared" si="25"/>
        <v>0</v>
      </c>
      <c r="L121" s="46">
        <f t="shared" si="25"/>
        <v>0</v>
      </c>
      <c r="M121" s="45">
        <f t="shared" si="25"/>
        <v>13584.1</v>
      </c>
      <c r="N121" s="45">
        <f t="shared" si="25"/>
        <v>0</v>
      </c>
      <c r="O121" s="45">
        <f t="shared" si="25"/>
        <v>13584.1</v>
      </c>
    </row>
    <row r="122" spans="1:15" ht="94.5" x14ac:dyDescent="0.2">
      <c r="A122" s="40"/>
      <c r="B122" s="41" t="s">
        <v>172</v>
      </c>
      <c r="C122" s="42" t="s">
        <v>51</v>
      </c>
      <c r="D122" s="43" t="s">
        <v>158</v>
      </c>
      <c r="E122" s="43" t="s">
        <v>173</v>
      </c>
      <c r="F122" s="44" t="s">
        <v>11</v>
      </c>
      <c r="G122" s="45">
        <f t="shared" si="25"/>
        <v>13584.1</v>
      </c>
      <c r="H122" s="45"/>
      <c r="I122" s="45">
        <f t="shared" si="25"/>
        <v>13584.1</v>
      </c>
      <c r="J122" s="46">
        <f t="shared" si="25"/>
        <v>0</v>
      </c>
      <c r="K122" s="45"/>
      <c r="L122" s="46">
        <f t="shared" si="25"/>
        <v>0</v>
      </c>
      <c r="M122" s="45">
        <f t="shared" si="25"/>
        <v>13584.1</v>
      </c>
      <c r="N122" s="45">
        <f t="shared" si="25"/>
        <v>0</v>
      </c>
      <c r="O122" s="45">
        <f t="shared" si="25"/>
        <v>13584.1</v>
      </c>
    </row>
    <row r="123" spans="1:15" ht="15.75" x14ac:dyDescent="0.2">
      <c r="A123" s="40"/>
      <c r="B123" s="41" t="s">
        <v>47</v>
      </c>
      <c r="C123" s="42" t="s">
        <v>51</v>
      </c>
      <c r="D123" s="43" t="s">
        <v>158</v>
      </c>
      <c r="E123" s="43" t="s">
        <v>173</v>
      </c>
      <c r="F123" s="44" t="s">
        <v>48</v>
      </c>
      <c r="G123" s="45">
        <f>13584.2-0.1</f>
        <v>13584.1</v>
      </c>
      <c r="H123" s="45">
        <f t="shared" ref="G123:O125" si="26">H124</f>
        <v>0</v>
      </c>
      <c r="I123" s="45">
        <f>13584.2-0.1</f>
        <v>13584.1</v>
      </c>
      <c r="J123" s="47">
        <v>0</v>
      </c>
      <c r="K123" s="45">
        <f t="shared" si="26"/>
        <v>0</v>
      </c>
      <c r="L123" s="47">
        <v>0</v>
      </c>
      <c r="M123" s="45">
        <f>13584.2-0.1</f>
        <v>13584.1</v>
      </c>
      <c r="N123" s="45"/>
      <c r="O123" s="45">
        <f>13584.2-0.1</f>
        <v>13584.1</v>
      </c>
    </row>
    <row r="124" spans="1:15" ht="63" x14ac:dyDescent="0.2">
      <c r="A124" s="40"/>
      <c r="B124" s="41" t="s">
        <v>174</v>
      </c>
      <c r="C124" s="42" t="s">
        <v>51</v>
      </c>
      <c r="D124" s="43" t="s">
        <v>158</v>
      </c>
      <c r="E124" s="43" t="s">
        <v>175</v>
      </c>
      <c r="F124" s="44" t="s">
        <v>11</v>
      </c>
      <c r="G124" s="45">
        <f t="shared" si="26"/>
        <v>1516.6000000000001</v>
      </c>
      <c r="H124" s="45">
        <f t="shared" si="26"/>
        <v>0</v>
      </c>
      <c r="I124" s="45">
        <f t="shared" si="26"/>
        <v>1516.6000000000001</v>
      </c>
      <c r="J124" s="46">
        <f t="shared" si="26"/>
        <v>0</v>
      </c>
      <c r="K124" s="45">
        <f t="shared" si="26"/>
        <v>0</v>
      </c>
      <c r="L124" s="46">
        <f t="shared" si="26"/>
        <v>0</v>
      </c>
      <c r="M124" s="45">
        <f t="shared" si="26"/>
        <v>1516.6000000000001</v>
      </c>
      <c r="N124" s="45">
        <f t="shared" si="26"/>
        <v>0</v>
      </c>
      <c r="O124" s="45">
        <f t="shared" si="26"/>
        <v>1516.6000000000001</v>
      </c>
    </row>
    <row r="125" spans="1:15" ht="78.75" x14ac:dyDescent="0.2">
      <c r="A125" s="40"/>
      <c r="B125" s="41" t="s">
        <v>176</v>
      </c>
      <c r="C125" s="42" t="s">
        <v>51</v>
      </c>
      <c r="D125" s="43" t="s">
        <v>158</v>
      </c>
      <c r="E125" s="43" t="s">
        <v>177</v>
      </c>
      <c r="F125" s="44" t="s">
        <v>11</v>
      </c>
      <c r="G125" s="45">
        <f t="shared" si="26"/>
        <v>1516.6000000000001</v>
      </c>
      <c r="H125" s="45"/>
      <c r="I125" s="45">
        <f t="shared" si="26"/>
        <v>1516.6000000000001</v>
      </c>
      <c r="J125" s="46">
        <f t="shared" si="26"/>
        <v>0</v>
      </c>
      <c r="K125" s="45"/>
      <c r="L125" s="46">
        <f t="shared" si="26"/>
        <v>0</v>
      </c>
      <c r="M125" s="45">
        <f t="shared" si="26"/>
        <v>1516.6000000000001</v>
      </c>
      <c r="N125" s="45">
        <f t="shared" si="26"/>
        <v>0</v>
      </c>
      <c r="O125" s="45">
        <f t="shared" si="26"/>
        <v>1516.6000000000001</v>
      </c>
    </row>
    <row r="126" spans="1:15" ht="15.75" x14ac:dyDescent="0.2">
      <c r="A126" s="40"/>
      <c r="B126" s="41" t="s">
        <v>178</v>
      </c>
      <c r="C126" s="42" t="s">
        <v>51</v>
      </c>
      <c r="D126" s="43" t="s">
        <v>158</v>
      </c>
      <c r="E126" s="43" t="s">
        <v>177</v>
      </c>
      <c r="F126" s="44" t="s">
        <v>48</v>
      </c>
      <c r="G126" s="45">
        <f>1516.7-0.1</f>
        <v>1516.6000000000001</v>
      </c>
      <c r="H126" s="45"/>
      <c r="I126" s="45">
        <f>1516.7-0.1</f>
        <v>1516.6000000000001</v>
      </c>
      <c r="J126" s="47">
        <v>0</v>
      </c>
      <c r="K126" s="45"/>
      <c r="L126" s="47">
        <v>0</v>
      </c>
      <c r="M126" s="45">
        <f>1516.7-0.1</f>
        <v>1516.6000000000001</v>
      </c>
      <c r="N126" s="45"/>
      <c r="O126" s="45">
        <f>1516.7-0.1</f>
        <v>1516.6000000000001</v>
      </c>
    </row>
    <row r="127" spans="1:15" ht="15.75" x14ac:dyDescent="0.2">
      <c r="A127" s="40"/>
      <c r="B127" s="41" t="s">
        <v>179</v>
      </c>
      <c r="C127" s="42" t="s">
        <v>51</v>
      </c>
      <c r="D127" s="43" t="s">
        <v>158</v>
      </c>
      <c r="E127" s="43" t="s">
        <v>180</v>
      </c>
      <c r="F127" s="44" t="s">
        <v>11</v>
      </c>
      <c r="G127" s="45">
        <f t="shared" ref="G127:I128" si="27">G128</f>
        <v>292.5</v>
      </c>
      <c r="H127" s="45">
        <f t="shared" si="27"/>
        <v>0</v>
      </c>
      <c r="I127" s="45">
        <f t="shared" si="27"/>
        <v>292.5</v>
      </c>
      <c r="J127" s="46">
        <f t="shared" ref="J127:L129" si="28">J128</f>
        <v>0</v>
      </c>
      <c r="K127" s="45">
        <f>K128</f>
        <v>0</v>
      </c>
      <c r="L127" s="46">
        <f t="shared" si="28"/>
        <v>0</v>
      </c>
      <c r="M127" s="45">
        <f t="shared" ref="M127:O129" si="29">M128</f>
        <v>292.5</v>
      </c>
      <c r="N127" s="45">
        <f t="shared" si="29"/>
        <v>0</v>
      </c>
      <c r="O127" s="45">
        <f t="shared" si="29"/>
        <v>292.5</v>
      </c>
    </row>
    <row r="128" spans="1:15" ht="31.5" x14ac:dyDescent="0.2">
      <c r="A128" s="40"/>
      <c r="B128" s="41" t="s">
        <v>181</v>
      </c>
      <c r="C128" s="42" t="s">
        <v>51</v>
      </c>
      <c r="D128" s="43" t="s">
        <v>158</v>
      </c>
      <c r="E128" s="43" t="s">
        <v>182</v>
      </c>
      <c r="F128" s="44" t="s">
        <v>11</v>
      </c>
      <c r="G128" s="45">
        <f t="shared" si="27"/>
        <v>292.5</v>
      </c>
      <c r="H128" s="45">
        <f t="shared" si="27"/>
        <v>0</v>
      </c>
      <c r="I128" s="45">
        <f t="shared" si="27"/>
        <v>292.5</v>
      </c>
      <c r="J128" s="46">
        <f t="shared" si="28"/>
        <v>0</v>
      </c>
      <c r="K128" s="45">
        <f>K129</f>
        <v>0</v>
      </c>
      <c r="L128" s="46">
        <f t="shared" si="28"/>
        <v>0</v>
      </c>
      <c r="M128" s="45">
        <f t="shared" si="29"/>
        <v>292.5</v>
      </c>
      <c r="N128" s="45">
        <f t="shared" si="29"/>
        <v>0</v>
      </c>
      <c r="O128" s="45">
        <f t="shared" si="29"/>
        <v>292.5</v>
      </c>
    </row>
    <row r="129" spans="1:16" ht="15.75" x14ac:dyDescent="0.2">
      <c r="A129" s="40"/>
      <c r="B129" s="41" t="s">
        <v>183</v>
      </c>
      <c r="C129" s="42" t="s">
        <v>51</v>
      </c>
      <c r="D129" s="43" t="s">
        <v>158</v>
      </c>
      <c r="E129" s="43" t="s">
        <v>184</v>
      </c>
      <c r="F129" s="44" t="s">
        <v>11</v>
      </c>
      <c r="G129" s="45">
        <f>G130</f>
        <v>292.5</v>
      </c>
      <c r="H129" s="45"/>
      <c r="I129" s="45">
        <f>I130</f>
        <v>292.5</v>
      </c>
      <c r="J129" s="46">
        <f t="shared" si="28"/>
        <v>0</v>
      </c>
      <c r="K129" s="45"/>
      <c r="L129" s="46">
        <f t="shared" si="28"/>
        <v>0</v>
      </c>
      <c r="M129" s="45">
        <f t="shared" si="29"/>
        <v>292.5</v>
      </c>
      <c r="N129" s="45">
        <f t="shared" si="29"/>
        <v>0</v>
      </c>
      <c r="O129" s="45">
        <f t="shared" si="29"/>
        <v>292.5</v>
      </c>
    </row>
    <row r="130" spans="1:16" ht="31.5" x14ac:dyDescent="0.2">
      <c r="A130" s="40"/>
      <c r="B130" s="41" t="s">
        <v>40</v>
      </c>
      <c r="C130" s="42" t="s">
        <v>51</v>
      </c>
      <c r="D130" s="43" t="s">
        <v>158</v>
      </c>
      <c r="E130" s="43" t="s">
        <v>184</v>
      </c>
      <c r="F130" s="44" t="s">
        <v>41</v>
      </c>
      <c r="G130" s="45">
        <v>292.5</v>
      </c>
      <c r="H130" s="45"/>
      <c r="I130" s="45">
        <v>292.5</v>
      </c>
      <c r="J130" s="47">
        <v>0</v>
      </c>
      <c r="K130" s="45"/>
      <c r="L130" s="47">
        <v>0</v>
      </c>
      <c r="M130" s="45">
        <v>292.5</v>
      </c>
      <c r="N130" s="45"/>
      <c r="O130" s="45">
        <v>292.5</v>
      </c>
    </row>
    <row r="131" spans="1:16" ht="31.5" x14ac:dyDescent="0.2">
      <c r="A131" s="40"/>
      <c r="B131" s="41" t="s">
        <v>185</v>
      </c>
      <c r="C131" s="42" t="s">
        <v>51</v>
      </c>
      <c r="D131" s="43" t="s">
        <v>158</v>
      </c>
      <c r="E131" s="43" t="s">
        <v>186</v>
      </c>
      <c r="F131" s="44" t="s">
        <v>11</v>
      </c>
      <c r="G131" s="45">
        <f t="shared" ref="G131:I132" si="30">G132</f>
        <v>3366.5</v>
      </c>
      <c r="H131" s="45">
        <f t="shared" si="30"/>
        <v>0</v>
      </c>
      <c r="I131" s="45">
        <f t="shared" si="30"/>
        <v>3366.5</v>
      </c>
      <c r="J131" s="46">
        <f t="shared" ref="J131:L133" si="31">J132</f>
        <v>0</v>
      </c>
      <c r="K131" s="45">
        <f>K132</f>
        <v>0</v>
      </c>
      <c r="L131" s="46">
        <f t="shared" si="31"/>
        <v>0</v>
      </c>
      <c r="M131" s="45">
        <f t="shared" ref="M131:O133" si="32">M132</f>
        <v>3366.5</v>
      </c>
      <c r="N131" s="45">
        <f t="shared" si="32"/>
        <v>0</v>
      </c>
      <c r="O131" s="45">
        <f t="shared" si="32"/>
        <v>3366.5</v>
      </c>
    </row>
    <row r="132" spans="1:16" ht="47.25" x14ac:dyDescent="0.2">
      <c r="A132" s="40"/>
      <c r="B132" s="41" t="s">
        <v>187</v>
      </c>
      <c r="C132" s="42" t="s">
        <v>51</v>
      </c>
      <c r="D132" s="43" t="s">
        <v>158</v>
      </c>
      <c r="E132" s="43" t="s">
        <v>188</v>
      </c>
      <c r="F132" s="44" t="s">
        <v>11</v>
      </c>
      <c r="G132" s="45">
        <f t="shared" si="30"/>
        <v>3366.5</v>
      </c>
      <c r="H132" s="45">
        <f t="shared" si="30"/>
        <v>0</v>
      </c>
      <c r="I132" s="45">
        <f t="shared" si="30"/>
        <v>3366.5</v>
      </c>
      <c r="J132" s="46">
        <f t="shared" si="31"/>
        <v>0</v>
      </c>
      <c r="K132" s="45">
        <f>K133</f>
        <v>0</v>
      </c>
      <c r="L132" s="46">
        <f t="shared" si="31"/>
        <v>0</v>
      </c>
      <c r="M132" s="45">
        <f t="shared" si="32"/>
        <v>3366.5</v>
      </c>
      <c r="N132" s="45">
        <f t="shared" si="32"/>
        <v>0</v>
      </c>
      <c r="O132" s="45">
        <f t="shared" si="32"/>
        <v>3366.5</v>
      </c>
    </row>
    <row r="133" spans="1:16" ht="78.75" x14ac:dyDescent="0.2">
      <c r="A133" s="40"/>
      <c r="B133" s="41" t="s">
        <v>189</v>
      </c>
      <c r="C133" s="42" t="s">
        <v>51</v>
      </c>
      <c r="D133" s="43" t="s">
        <v>158</v>
      </c>
      <c r="E133" s="43" t="s">
        <v>190</v>
      </c>
      <c r="F133" s="44" t="s">
        <v>11</v>
      </c>
      <c r="G133" s="45">
        <f>G134</f>
        <v>3366.5</v>
      </c>
      <c r="H133" s="45"/>
      <c r="I133" s="45">
        <f>I134</f>
        <v>3366.5</v>
      </c>
      <c r="J133" s="46">
        <f t="shared" si="31"/>
        <v>0</v>
      </c>
      <c r="K133" s="45"/>
      <c r="L133" s="46">
        <f t="shared" si="31"/>
        <v>0</v>
      </c>
      <c r="M133" s="45">
        <f t="shared" si="32"/>
        <v>3366.5</v>
      </c>
      <c r="N133" s="45">
        <f t="shared" si="32"/>
        <v>0</v>
      </c>
      <c r="O133" s="45">
        <f t="shared" si="32"/>
        <v>3366.5</v>
      </c>
    </row>
    <row r="134" spans="1:16" ht="15.75" x14ac:dyDescent="0.2">
      <c r="A134" s="40"/>
      <c r="B134" s="41" t="s">
        <v>47</v>
      </c>
      <c r="C134" s="42" t="s">
        <v>51</v>
      </c>
      <c r="D134" s="43" t="s">
        <v>158</v>
      </c>
      <c r="E134" s="43" t="s">
        <v>190</v>
      </c>
      <c r="F134" s="44" t="s">
        <v>48</v>
      </c>
      <c r="G134" s="45">
        <v>3366.5</v>
      </c>
      <c r="H134" s="38"/>
      <c r="I134" s="45">
        <v>3366.5</v>
      </c>
      <c r="J134" s="47">
        <v>0</v>
      </c>
      <c r="K134" s="38"/>
      <c r="L134" s="47">
        <v>0</v>
      </c>
      <c r="M134" s="45">
        <v>3366.5</v>
      </c>
      <c r="N134" s="45"/>
      <c r="O134" s="45">
        <v>3366.5</v>
      </c>
    </row>
    <row r="135" spans="1:16" ht="36.6" customHeight="1" x14ac:dyDescent="0.2">
      <c r="A135" s="33" t="s">
        <v>191</v>
      </c>
      <c r="B135" s="34" t="s">
        <v>192</v>
      </c>
      <c r="C135" s="35" t="s">
        <v>51</v>
      </c>
      <c r="D135" s="36" t="s">
        <v>193</v>
      </c>
      <c r="E135" s="36" t="s">
        <v>11</v>
      </c>
      <c r="F135" s="37" t="s">
        <v>11</v>
      </c>
      <c r="G135" s="38">
        <f>G136</f>
        <v>5301.5</v>
      </c>
      <c r="H135" s="45">
        <f>H136+H142+H146</f>
        <v>0</v>
      </c>
      <c r="I135" s="38">
        <f>I136</f>
        <v>5301.5</v>
      </c>
      <c r="J135" s="39">
        <f>J136</f>
        <v>0</v>
      </c>
      <c r="K135" s="45">
        <f>K136+K142+K146</f>
        <v>0</v>
      </c>
      <c r="L135" s="39">
        <f>L136</f>
        <v>0</v>
      </c>
      <c r="M135" s="38">
        <f>M136</f>
        <v>5301.5</v>
      </c>
      <c r="N135" s="38">
        <f>N136</f>
        <v>0</v>
      </c>
      <c r="O135" s="38">
        <f>O136</f>
        <v>5301.5</v>
      </c>
    </row>
    <row r="136" spans="1:16" ht="31.5" x14ac:dyDescent="0.2">
      <c r="A136" s="40"/>
      <c r="B136" s="41" t="s">
        <v>159</v>
      </c>
      <c r="C136" s="42" t="s">
        <v>51</v>
      </c>
      <c r="D136" s="43" t="s">
        <v>193</v>
      </c>
      <c r="E136" s="43" t="s">
        <v>160</v>
      </c>
      <c r="F136" s="44" t="s">
        <v>11</v>
      </c>
      <c r="G136" s="45">
        <f>G137+G143+G147</f>
        <v>5301.5</v>
      </c>
      <c r="H136" s="45">
        <f>H137</f>
        <v>0</v>
      </c>
      <c r="I136" s="45">
        <f>I137+I143+I147</f>
        <v>5301.5</v>
      </c>
      <c r="J136" s="46">
        <f>J137+J143+J147</f>
        <v>0</v>
      </c>
      <c r="K136" s="45">
        <f>K137</f>
        <v>0</v>
      </c>
      <c r="L136" s="46">
        <f>L137+L143+L147</f>
        <v>0</v>
      </c>
      <c r="M136" s="45">
        <f>M137+M143+M147</f>
        <v>5301.5</v>
      </c>
      <c r="N136" s="45">
        <f>N137+N143+N147</f>
        <v>0</v>
      </c>
      <c r="O136" s="45">
        <f>O137+O143+O147</f>
        <v>5301.5</v>
      </c>
    </row>
    <row r="137" spans="1:16" ht="31.5" x14ac:dyDescent="0.2">
      <c r="A137" s="40"/>
      <c r="B137" s="41" t="s">
        <v>194</v>
      </c>
      <c r="C137" s="42" t="s">
        <v>51</v>
      </c>
      <c r="D137" s="43" t="s">
        <v>193</v>
      </c>
      <c r="E137" s="43" t="s">
        <v>195</v>
      </c>
      <c r="F137" s="44" t="s">
        <v>11</v>
      </c>
      <c r="G137" s="45">
        <f>G138</f>
        <v>5186.5</v>
      </c>
      <c r="H137" s="45">
        <f>H138+H140</f>
        <v>0</v>
      </c>
      <c r="I137" s="45">
        <f>I138</f>
        <v>5186.5</v>
      </c>
      <c r="J137" s="46">
        <f>J138</f>
        <v>0</v>
      </c>
      <c r="K137" s="45">
        <f>K138+K140</f>
        <v>0</v>
      </c>
      <c r="L137" s="46">
        <f>L138</f>
        <v>0</v>
      </c>
      <c r="M137" s="45">
        <f>M138</f>
        <v>5186.5</v>
      </c>
      <c r="N137" s="45">
        <f>N138</f>
        <v>0</v>
      </c>
      <c r="O137" s="45">
        <f>O138</f>
        <v>5186.5</v>
      </c>
    </row>
    <row r="138" spans="1:16" ht="47.25" x14ac:dyDescent="0.2">
      <c r="A138" s="40"/>
      <c r="B138" s="41" t="s">
        <v>196</v>
      </c>
      <c r="C138" s="42" t="s">
        <v>51</v>
      </c>
      <c r="D138" s="43" t="s">
        <v>193</v>
      </c>
      <c r="E138" s="43" t="s">
        <v>197</v>
      </c>
      <c r="F138" s="44" t="s">
        <v>11</v>
      </c>
      <c r="G138" s="45">
        <f>G139+G141</f>
        <v>5186.5</v>
      </c>
      <c r="H138" s="45">
        <f>H139</f>
        <v>0</v>
      </c>
      <c r="I138" s="45">
        <f>I139+I141</f>
        <v>5186.5</v>
      </c>
      <c r="J138" s="46">
        <f>J139+J141</f>
        <v>0</v>
      </c>
      <c r="K138" s="45">
        <f>K139</f>
        <v>0</v>
      </c>
      <c r="L138" s="46">
        <f>L139+L141</f>
        <v>0</v>
      </c>
      <c r="M138" s="45">
        <f>M139+M141</f>
        <v>5186.5</v>
      </c>
      <c r="N138" s="45">
        <f>N139+N141</f>
        <v>0</v>
      </c>
      <c r="O138" s="45">
        <f>O139+O141</f>
        <v>5186.5</v>
      </c>
      <c r="P138" s="16"/>
    </row>
    <row r="139" spans="1:16" ht="31.5" x14ac:dyDescent="0.2">
      <c r="A139" s="40"/>
      <c r="B139" s="41" t="s">
        <v>198</v>
      </c>
      <c r="C139" s="42" t="s">
        <v>51</v>
      </c>
      <c r="D139" s="43" t="s">
        <v>193</v>
      </c>
      <c r="E139" s="43" t="s">
        <v>199</v>
      </c>
      <c r="F139" s="44" t="s">
        <v>11</v>
      </c>
      <c r="G139" s="45">
        <f>G140</f>
        <v>321.70000000000005</v>
      </c>
      <c r="H139" s="48"/>
      <c r="I139" s="45">
        <f>I140</f>
        <v>321.70000000000005</v>
      </c>
      <c r="J139" s="46">
        <f>J140</f>
        <v>0</v>
      </c>
      <c r="K139" s="48"/>
      <c r="L139" s="46">
        <f>L140</f>
        <v>0</v>
      </c>
      <c r="M139" s="45">
        <f>M140</f>
        <v>321.70000000000005</v>
      </c>
      <c r="N139" s="45">
        <f>N140</f>
        <v>0</v>
      </c>
      <c r="O139" s="45">
        <f>O140</f>
        <v>321.70000000000005</v>
      </c>
    </row>
    <row r="140" spans="1:16" ht="31.5" x14ac:dyDescent="0.2">
      <c r="A140" s="40"/>
      <c r="B140" s="41" t="s">
        <v>40</v>
      </c>
      <c r="C140" s="42" t="s">
        <v>51</v>
      </c>
      <c r="D140" s="43" t="s">
        <v>193</v>
      </c>
      <c r="E140" s="43" t="s">
        <v>199</v>
      </c>
      <c r="F140" s="44" t="s">
        <v>41</v>
      </c>
      <c r="G140" s="48">
        <f>1021.7-700</f>
        <v>321.70000000000005</v>
      </c>
      <c r="H140" s="45"/>
      <c r="I140" s="48">
        <f>1021.7-700</f>
        <v>321.70000000000005</v>
      </c>
      <c r="J140" s="47">
        <v>0</v>
      </c>
      <c r="K140" s="45"/>
      <c r="L140" s="47">
        <v>0</v>
      </c>
      <c r="M140" s="48">
        <f>1021.7-700</f>
        <v>321.70000000000005</v>
      </c>
      <c r="N140" s="48"/>
      <c r="O140" s="48">
        <f>1021.7-700</f>
        <v>321.70000000000005</v>
      </c>
    </row>
    <row r="141" spans="1:16" ht="63" x14ac:dyDescent="0.2">
      <c r="A141" s="40"/>
      <c r="B141" s="41" t="s">
        <v>200</v>
      </c>
      <c r="C141" s="42" t="s">
        <v>51</v>
      </c>
      <c r="D141" s="43" t="s">
        <v>193</v>
      </c>
      <c r="E141" s="43" t="s">
        <v>201</v>
      </c>
      <c r="F141" s="44" t="s">
        <v>11</v>
      </c>
      <c r="G141" s="45">
        <f>G142</f>
        <v>4864.8</v>
      </c>
      <c r="H141" s="45"/>
      <c r="I141" s="45">
        <f>I142</f>
        <v>4864.8</v>
      </c>
      <c r="J141" s="46">
        <f>J142</f>
        <v>0</v>
      </c>
      <c r="K141" s="45"/>
      <c r="L141" s="46">
        <f>L142</f>
        <v>0</v>
      </c>
      <c r="M141" s="45">
        <f>M142</f>
        <v>4864.8</v>
      </c>
      <c r="N141" s="45">
        <f>N142</f>
        <v>0</v>
      </c>
      <c r="O141" s="45">
        <f>O142</f>
        <v>4864.8</v>
      </c>
    </row>
    <row r="142" spans="1:16" ht="15.75" x14ac:dyDescent="0.2">
      <c r="A142" s="40"/>
      <c r="B142" s="41" t="s">
        <v>47</v>
      </c>
      <c r="C142" s="42" t="s">
        <v>51</v>
      </c>
      <c r="D142" s="43" t="s">
        <v>193</v>
      </c>
      <c r="E142" s="43" t="s">
        <v>201</v>
      </c>
      <c r="F142" s="44" t="s">
        <v>48</v>
      </c>
      <c r="G142" s="45">
        <v>4864.8</v>
      </c>
      <c r="H142" s="45"/>
      <c r="I142" s="45">
        <v>4864.8</v>
      </c>
      <c r="J142" s="47">
        <v>0</v>
      </c>
      <c r="K142" s="45"/>
      <c r="L142" s="47">
        <v>0</v>
      </c>
      <c r="M142" s="45">
        <v>4864.8</v>
      </c>
      <c r="N142" s="45"/>
      <c r="O142" s="45">
        <v>4864.8</v>
      </c>
    </row>
    <row r="143" spans="1:16" ht="15.75" x14ac:dyDescent="0.2">
      <c r="A143" s="40"/>
      <c r="B143" s="41" t="s">
        <v>202</v>
      </c>
      <c r="C143" s="42" t="s">
        <v>51</v>
      </c>
      <c r="D143" s="43" t="s">
        <v>193</v>
      </c>
      <c r="E143" s="43" t="s">
        <v>203</v>
      </c>
      <c r="F143" s="44" t="s">
        <v>11</v>
      </c>
      <c r="G143" s="45">
        <f t="shared" ref="G143:I144" si="33">G144</f>
        <v>20</v>
      </c>
      <c r="H143" s="45">
        <f t="shared" si="33"/>
        <v>0</v>
      </c>
      <c r="I143" s="45">
        <f t="shared" si="33"/>
        <v>20</v>
      </c>
      <c r="J143" s="46">
        <f t="shared" ref="J143:L145" si="34">J144</f>
        <v>0</v>
      </c>
      <c r="K143" s="45">
        <f>K144</f>
        <v>0</v>
      </c>
      <c r="L143" s="46">
        <f t="shared" si="34"/>
        <v>0</v>
      </c>
      <c r="M143" s="45">
        <f t="shared" ref="M143:O145" si="35">M144</f>
        <v>20</v>
      </c>
      <c r="N143" s="45">
        <f t="shared" si="35"/>
        <v>0</v>
      </c>
      <c r="O143" s="45">
        <f t="shared" si="35"/>
        <v>20</v>
      </c>
    </row>
    <row r="144" spans="1:16" ht="34.9" customHeight="1" x14ac:dyDescent="0.2">
      <c r="A144" s="40"/>
      <c r="B144" s="41" t="s">
        <v>204</v>
      </c>
      <c r="C144" s="42" t="s">
        <v>51</v>
      </c>
      <c r="D144" s="43" t="s">
        <v>193</v>
      </c>
      <c r="E144" s="43" t="s">
        <v>205</v>
      </c>
      <c r="F144" s="44" t="s">
        <v>11</v>
      </c>
      <c r="G144" s="45">
        <f t="shared" si="33"/>
        <v>20</v>
      </c>
      <c r="H144" s="45">
        <f t="shared" si="33"/>
        <v>0</v>
      </c>
      <c r="I144" s="45">
        <f t="shared" si="33"/>
        <v>20</v>
      </c>
      <c r="J144" s="46">
        <f t="shared" si="34"/>
        <v>0</v>
      </c>
      <c r="K144" s="45">
        <f>K145</f>
        <v>0</v>
      </c>
      <c r="L144" s="46">
        <f t="shared" si="34"/>
        <v>0</v>
      </c>
      <c r="M144" s="45">
        <f t="shared" si="35"/>
        <v>20</v>
      </c>
      <c r="N144" s="45">
        <f t="shared" si="35"/>
        <v>0</v>
      </c>
      <c r="O144" s="45">
        <f t="shared" si="35"/>
        <v>20</v>
      </c>
    </row>
    <row r="145" spans="1:16" ht="15.75" x14ac:dyDescent="0.2">
      <c r="A145" s="40"/>
      <c r="B145" s="41" t="s">
        <v>206</v>
      </c>
      <c r="C145" s="42" t="s">
        <v>51</v>
      </c>
      <c r="D145" s="43" t="s">
        <v>193</v>
      </c>
      <c r="E145" s="43" t="s">
        <v>207</v>
      </c>
      <c r="F145" s="44" t="s">
        <v>11</v>
      </c>
      <c r="G145" s="45">
        <f>G146</f>
        <v>20</v>
      </c>
      <c r="H145" s="45"/>
      <c r="I145" s="45">
        <f>I146</f>
        <v>20</v>
      </c>
      <c r="J145" s="46">
        <f t="shared" si="34"/>
        <v>0</v>
      </c>
      <c r="K145" s="45"/>
      <c r="L145" s="46">
        <f t="shared" si="34"/>
        <v>0</v>
      </c>
      <c r="M145" s="45">
        <f t="shared" si="35"/>
        <v>20</v>
      </c>
      <c r="N145" s="45">
        <f t="shared" si="35"/>
        <v>0</v>
      </c>
      <c r="O145" s="45">
        <f t="shared" si="35"/>
        <v>20</v>
      </c>
    </row>
    <row r="146" spans="1:16" ht="31.5" x14ac:dyDescent="0.2">
      <c r="A146" s="40"/>
      <c r="B146" s="41" t="s">
        <v>40</v>
      </c>
      <c r="C146" s="42" t="s">
        <v>51</v>
      </c>
      <c r="D146" s="43" t="s">
        <v>193</v>
      </c>
      <c r="E146" s="43" t="s">
        <v>207</v>
      </c>
      <c r="F146" s="44" t="s">
        <v>41</v>
      </c>
      <c r="G146" s="45">
        <v>20</v>
      </c>
      <c r="H146" s="45"/>
      <c r="I146" s="45">
        <v>20</v>
      </c>
      <c r="J146" s="47">
        <v>0</v>
      </c>
      <c r="K146" s="45"/>
      <c r="L146" s="47">
        <v>0</v>
      </c>
      <c r="M146" s="45">
        <v>20</v>
      </c>
      <c r="N146" s="45"/>
      <c r="O146" s="45">
        <v>20</v>
      </c>
    </row>
    <row r="147" spans="1:16" ht="31.5" x14ac:dyDescent="0.2">
      <c r="A147" s="40"/>
      <c r="B147" s="41" t="s">
        <v>185</v>
      </c>
      <c r="C147" s="42" t="s">
        <v>51</v>
      </c>
      <c r="D147" s="43" t="s">
        <v>193</v>
      </c>
      <c r="E147" s="43" t="s">
        <v>186</v>
      </c>
      <c r="F147" s="44" t="s">
        <v>11</v>
      </c>
      <c r="G147" s="45">
        <f t="shared" ref="G147:I148" si="36">G148</f>
        <v>95</v>
      </c>
      <c r="H147" s="45">
        <f t="shared" si="36"/>
        <v>0</v>
      </c>
      <c r="I147" s="45">
        <f t="shared" si="36"/>
        <v>95</v>
      </c>
      <c r="J147" s="46">
        <f t="shared" ref="J147:L149" si="37">J148</f>
        <v>0</v>
      </c>
      <c r="K147" s="45">
        <f>K148</f>
        <v>0</v>
      </c>
      <c r="L147" s="46">
        <f t="shared" si="37"/>
        <v>0</v>
      </c>
      <c r="M147" s="45">
        <f t="shared" ref="M147:O149" si="38">M148</f>
        <v>95</v>
      </c>
      <c r="N147" s="45">
        <f t="shared" si="38"/>
        <v>0</v>
      </c>
      <c r="O147" s="45">
        <f t="shared" si="38"/>
        <v>95</v>
      </c>
    </row>
    <row r="148" spans="1:16" ht="52.15" customHeight="1" x14ac:dyDescent="0.2">
      <c r="A148" s="40"/>
      <c r="B148" s="41" t="s">
        <v>208</v>
      </c>
      <c r="C148" s="42" t="s">
        <v>51</v>
      </c>
      <c r="D148" s="43" t="s">
        <v>193</v>
      </c>
      <c r="E148" s="43" t="s">
        <v>209</v>
      </c>
      <c r="F148" s="44" t="s">
        <v>11</v>
      </c>
      <c r="G148" s="45">
        <f t="shared" si="36"/>
        <v>95</v>
      </c>
      <c r="H148" s="45">
        <f t="shared" si="36"/>
        <v>0</v>
      </c>
      <c r="I148" s="45">
        <f t="shared" si="36"/>
        <v>95</v>
      </c>
      <c r="J148" s="46">
        <f t="shared" si="37"/>
        <v>0</v>
      </c>
      <c r="K148" s="45">
        <f>K149</f>
        <v>0</v>
      </c>
      <c r="L148" s="46">
        <f t="shared" si="37"/>
        <v>0</v>
      </c>
      <c r="M148" s="45">
        <f t="shared" si="38"/>
        <v>95</v>
      </c>
      <c r="N148" s="45">
        <f t="shared" si="38"/>
        <v>0</v>
      </c>
      <c r="O148" s="45">
        <f t="shared" si="38"/>
        <v>95</v>
      </c>
    </row>
    <row r="149" spans="1:16" ht="20.45" customHeight="1" x14ac:dyDescent="0.2">
      <c r="A149" s="40"/>
      <c r="B149" s="41" t="s">
        <v>210</v>
      </c>
      <c r="C149" s="42" t="s">
        <v>51</v>
      </c>
      <c r="D149" s="43" t="s">
        <v>193</v>
      </c>
      <c r="E149" s="43" t="s">
        <v>211</v>
      </c>
      <c r="F149" s="44" t="s">
        <v>11</v>
      </c>
      <c r="G149" s="45">
        <f>G150</f>
        <v>95</v>
      </c>
      <c r="H149" s="45"/>
      <c r="I149" s="45">
        <f>I150</f>
        <v>95</v>
      </c>
      <c r="J149" s="46">
        <f t="shared" si="37"/>
        <v>0</v>
      </c>
      <c r="K149" s="45"/>
      <c r="L149" s="46">
        <f t="shared" si="37"/>
        <v>0</v>
      </c>
      <c r="M149" s="45">
        <f t="shared" si="38"/>
        <v>95</v>
      </c>
      <c r="N149" s="45">
        <f t="shared" si="38"/>
        <v>0</v>
      </c>
      <c r="O149" s="45">
        <f t="shared" si="38"/>
        <v>95</v>
      </c>
    </row>
    <row r="150" spans="1:16" ht="31.5" x14ac:dyDescent="0.2">
      <c r="A150" s="40"/>
      <c r="B150" s="41" t="s">
        <v>40</v>
      </c>
      <c r="C150" s="42" t="s">
        <v>51</v>
      </c>
      <c r="D150" s="43" t="s">
        <v>193</v>
      </c>
      <c r="E150" s="43" t="s">
        <v>211</v>
      </c>
      <c r="F150" s="44" t="s">
        <v>41</v>
      </c>
      <c r="G150" s="45">
        <v>95</v>
      </c>
      <c r="H150" s="25"/>
      <c r="I150" s="45">
        <v>95</v>
      </c>
      <c r="J150" s="47">
        <v>0</v>
      </c>
      <c r="K150" s="25"/>
      <c r="L150" s="47">
        <v>0</v>
      </c>
      <c r="M150" s="45">
        <v>95</v>
      </c>
      <c r="N150" s="45"/>
      <c r="O150" s="45">
        <v>95</v>
      </c>
    </row>
    <row r="151" spans="1:16" ht="15.75" x14ac:dyDescent="0.2">
      <c r="A151" s="20" t="s">
        <v>212</v>
      </c>
      <c r="B151" s="21" t="s">
        <v>213</v>
      </c>
      <c r="C151" s="22" t="s">
        <v>51</v>
      </c>
      <c r="D151" s="23" t="s">
        <v>214</v>
      </c>
      <c r="E151" s="23" t="s">
        <v>11</v>
      </c>
      <c r="F151" s="24" t="s">
        <v>11</v>
      </c>
      <c r="G151" s="25">
        <f>G152+G158+G175+G181</f>
        <v>46362.399999999994</v>
      </c>
      <c r="H151" s="38">
        <f>H152</f>
        <v>0</v>
      </c>
      <c r="I151" s="25">
        <f>I152+I158+I175+I181</f>
        <v>46362.399999999994</v>
      </c>
      <c r="J151" s="26">
        <f>J152+J158+J175+J181</f>
        <v>17233.5</v>
      </c>
      <c r="K151" s="38">
        <f>K152</f>
        <v>0</v>
      </c>
      <c r="L151" s="26">
        <f>L152+L158+L175+L181</f>
        <v>17233.5</v>
      </c>
      <c r="M151" s="25">
        <f>M152+M158+M175+M181</f>
        <v>63595.899999999994</v>
      </c>
      <c r="N151" s="25">
        <f>N152+N158+N175+N181</f>
        <v>0</v>
      </c>
      <c r="O151" s="25">
        <f>O152+O158+O175+O181</f>
        <v>63595.899999999994</v>
      </c>
      <c r="P151" s="17"/>
    </row>
    <row r="152" spans="1:16" ht="15.75" x14ac:dyDescent="0.2">
      <c r="A152" s="33" t="s">
        <v>215</v>
      </c>
      <c r="B152" s="34" t="s">
        <v>216</v>
      </c>
      <c r="C152" s="35" t="s">
        <v>51</v>
      </c>
      <c r="D152" s="36" t="s">
        <v>217</v>
      </c>
      <c r="E152" s="36" t="s">
        <v>11</v>
      </c>
      <c r="F152" s="37" t="s">
        <v>11</v>
      </c>
      <c r="G152" s="38">
        <f>G153</f>
        <v>487.6</v>
      </c>
      <c r="H152" s="45">
        <f>H153</f>
        <v>0</v>
      </c>
      <c r="I152" s="38">
        <f>I153</f>
        <v>487.6</v>
      </c>
      <c r="J152" s="39">
        <f t="shared" ref="J152:L156" si="39">J153</f>
        <v>9262.4</v>
      </c>
      <c r="K152" s="45">
        <f>K153</f>
        <v>0</v>
      </c>
      <c r="L152" s="39">
        <f t="shared" si="39"/>
        <v>9262.4</v>
      </c>
      <c r="M152" s="38">
        <f t="shared" ref="M152:O156" si="40">M153</f>
        <v>9750</v>
      </c>
      <c r="N152" s="38">
        <f t="shared" si="40"/>
        <v>0</v>
      </c>
      <c r="O152" s="38">
        <f t="shared" si="40"/>
        <v>9750</v>
      </c>
    </row>
    <row r="153" spans="1:16" ht="31.5" x14ac:dyDescent="0.2">
      <c r="A153" s="40"/>
      <c r="B153" s="41" t="s">
        <v>218</v>
      </c>
      <c r="C153" s="42" t="s">
        <v>51</v>
      </c>
      <c r="D153" s="43" t="s">
        <v>217</v>
      </c>
      <c r="E153" s="43" t="s">
        <v>219</v>
      </c>
      <c r="F153" s="44" t="s">
        <v>11</v>
      </c>
      <c r="G153" s="45">
        <f>G154</f>
        <v>487.6</v>
      </c>
      <c r="H153" s="45">
        <f>H154</f>
        <v>0</v>
      </c>
      <c r="I153" s="45">
        <f>I154</f>
        <v>487.6</v>
      </c>
      <c r="J153" s="46">
        <f t="shared" si="39"/>
        <v>9262.4</v>
      </c>
      <c r="K153" s="45">
        <f>K154</f>
        <v>0</v>
      </c>
      <c r="L153" s="46">
        <f t="shared" si="39"/>
        <v>9262.4</v>
      </c>
      <c r="M153" s="45">
        <f t="shared" si="40"/>
        <v>9750</v>
      </c>
      <c r="N153" s="45">
        <f t="shared" si="40"/>
        <v>0</v>
      </c>
      <c r="O153" s="45">
        <f t="shared" si="40"/>
        <v>9750</v>
      </c>
    </row>
    <row r="154" spans="1:16" ht="31.5" x14ac:dyDescent="0.2">
      <c r="A154" s="40"/>
      <c r="B154" s="41" t="s">
        <v>185</v>
      </c>
      <c r="C154" s="42" t="s">
        <v>51</v>
      </c>
      <c r="D154" s="43" t="s">
        <v>217</v>
      </c>
      <c r="E154" s="43" t="s">
        <v>220</v>
      </c>
      <c r="F154" s="44" t="s">
        <v>11</v>
      </c>
      <c r="G154" s="45">
        <f>G155</f>
        <v>487.6</v>
      </c>
      <c r="H154" s="45">
        <f>H155</f>
        <v>0</v>
      </c>
      <c r="I154" s="45">
        <f>I155</f>
        <v>487.6</v>
      </c>
      <c r="J154" s="46">
        <f t="shared" si="39"/>
        <v>9262.4</v>
      </c>
      <c r="K154" s="45">
        <f>K155</f>
        <v>0</v>
      </c>
      <c r="L154" s="46">
        <f t="shared" si="39"/>
        <v>9262.4</v>
      </c>
      <c r="M154" s="45">
        <f t="shared" si="40"/>
        <v>9750</v>
      </c>
      <c r="N154" s="45">
        <f t="shared" si="40"/>
        <v>0</v>
      </c>
      <c r="O154" s="45">
        <f t="shared" si="40"/>
        <v>9750</v>
      </c>
    </row>
    <row r="155" spans="1:16" ht="31.5" x14ac:dyDescent="0.2">
      <c r="A155" s="40"/>
      <c r="B155" s="41" t="s">
        <v>221</v>
      </c>
      <c r="C155" s="42" t="s">
        <v>51</v>
      </c>
      <c r="D155" s="43" t="s">
        <v>217</v>
      </c>
      <c r="E155" s="43" t="s">
        <v>222</v>
      </c>
      <c r="F155" s="44" t="s">
        <v>11</v>
      </c>
      <c r="G155" s="45">
        <f>G156</f>
        <v>487.6</v>
      </c>
      <c r="H155" s="45">
        <f>H156</f>
        <v>0</v>
      </c>
      <c r="I155" s="45">
        <f>I156</f>
        <v>487.6</v>
      </c>
      <c r="J155" s="46">
        <f t="shared" si="39"/>
        <v>9262.4</v>
      </c>
      <c r="K155" s="45">
        <f>K156</f>
        <v>0</v>
      </c>
      <c r="L155" s="46">
        <f t="shared" si="39"/>
        <v>9262.4</v>
      </c>
      <c r="M155" s="45">
        <f t="shared" si="40"/>
        <v>9750</v>
      </c>
      <c r="N155" s="45">
        <f t="shared" si="40"/>
        <v>0</v>
      </c>
      <c r="O155" s="45">
        <f t="shared" si="40"/>
        <v>9750</v>
      </c>
    </row>
    <row r="156" spans="1:16" ht="94.5" x14ac:dyDescent="0.2">
      <c r="A156" s="40"/>
      <c r="B156" s="41" t="s">
        <v>223</v>
      </c>
      <c r="C156" s="42" t="s">
        <v>51</v>
      </c>
      <c r="D156" s="43" t="s">
        <v>217</v>
      </c>
      <c r="E156" s="43" t="s">
        <v>224</v>
      </c>
      <c r="F156" s="44" t="s">
        <v>11</v>
      </c>
      <c r="G156" s="45">
        <f>G157</f>
        <v>487.6</v>
      </c>
      <c r="H156" s="45"/>
      <c r="I156" s="45">
        <f>I157</f>
        <v>487.6</v>
      </c>
      <c r="J156" s="46">
        <f t="shared" si="39"/>
        <v>9262.4</v>
      </c>
      <c r="K156" s="45"/>
      <c r="L156" s="46">
        <f t="shared" si="39"/>
        <v>9262.4</v>
      </c>
      <c r="M156" s="45">
        <f t="shared" si="40"/>
        <v>9750</v>
      </c>
      <c r="N156" s="45">
        <f t="shared" si="40"/>
        <v>0</v>
      </c>
      <c r="O156" s="45">
        <f t="shared" si="40"/>
        <v>9750</v>
      </c>
    </row>
    <row r="157" spans="1:16" ht="31.5" x14ac:dyDescent="0.2">
      <c r="A157" s="40"/>
      <c r="B157" s="41" t="s">
        <v>225</v>
      </c>
      <c r="C157" s="42" t="s">
        <v>51</v>
      </c>
      <c r="D157" s="43" t="s">
        <v>217</v>
      </c>
      <c r="E157" s="43" t="s">
        <v>224</v>
      </c>
      <c r="F157" s="44" t="s">
        <v>226</v>
      </c>
      <c r="G157" s="45">
        <v>487.6</v>
      </c>
      <c r="H157" s="38"/>
      <c r="I157" s="45">
        <v>487.6</v>
      </c>
      <c r="J157" s="47">
        <v>9262.4</v>
      </c>
      <c r="K157" s="38"/>
      <c r="L157" s="47">
        <v>9262.4</v>
      </c>
      <c r="M157" s="45">
        <f>487.6+J157</f>
        <v>9750</v>
      </c>
      <c r="N157" s="45"/>
      <c r="O157" s="45">
        <f>487.6+L157</f>
        <v>9750</v>
      </c>
    </row>
    <row r="158" spans="1:16" ht="15.75" x14ac:dyDescent="0.2">
      <c r="A158" s="33" t="s">
        <v>227</v>
      </c>
      <c r="B158" s="34" t="s">
        <v>228</v>
      </c>
      <c r="C158" s="35" t="s">
        <v>51</v>
      </c>
      <c r="D158" s="36" t="s">
        <v>229</v>
      </c>
      <c r="E158" s="36" t="s">
        <v>11</v>
      </c>
      <c r="F158" s="37" t="s">
        <v>11</v>
      </c>
      <c r="G158" s="38">
        <f>G159+G170</f>
        <v>24878.2</v>
      </c>
      <c r="H158" s="45">
        <f>H159</f>
        <v>0</v>
      </c>
      <c r="I158" s="38">
        <f>I159+I170</f>
        <v>24878.2</v>
      </c>
      <c r="J158" s="39">
        <f>J159+J170</f>
        <v>0</v>
      </c>
      <c r="K158" s="45">
        <f>K159</f>
        <v>0</v>
      </c>
      <c r="L158" s="39">
        <f>L159+L170</f>
        <v>0</v>
      </c>
      <c r="M158" s="38">
        <f>M159+M170</f>
        <v>24878.2</v>
      </c>
      <c r="N158" s="38">
        <f>N159+N170</f>
        <v>0</v>
      </c>
      <c r="O158" s="38">
        <f>O159+O170</f>
        <v>24878.2</v>
      </c>
      <c r="P158" s="15"/>
    </row>
    <row r="159" spans="1:16" ht="47.25" x14ac:dyDescent="0.2">
      <c r="A159" s="40"/>
      <c r="B159" s="41" t="s">
        <v>230</v>
      </c>
      <c r="C159" s="42" t="s">
        <v>51</v>
      </c>
      <c r="D159" s="43" t="s">
        <v>229</v>
      </c>
      <c r="E159" s="43" t="s">
        <v>231</v>
      </c>
      <c r="F159" s="44" t="s">
        <v>11</v>
      </c>
      <c r="G159" s="45">
        <f>G160</f>
        <v>13010</v>
      </c>
      <c r="H159" s="45">
        <f>H160+H166</f>
        <v>0</v>
      </c>
      <c r="I159" s="45">
        <f>I160</f>
        <v>13010</v>
      </c>
      <c r="J159" s="46">
        <f>J160</f>
        <v>0</v>
      </c>
      <c r="K159" s="45">
        <f>K160+K166</f>
        <v>0</v>
      </c>
      <c r="L159" s="46">
        <f>L160</f>
        <v>0</v>
      </c>
      <c r="M159" s="45">
        <f>M160</f>
        <v>13010</v>
      </c>
      <c r="N159" s="45">
        <f>N160</f>
        <v>0</v>
      </c>
      <c r="O159" s="45">
        <f>O160</f>
        <v>13010</v>
      </c>
    </row>
    <row r="160" spans="1:16" ht="47.25" x14ac:dyDescent="0.2">
      <c r="A160" s="40"/>
      <c r="B160" s="41" t="s">
        <v>232</v>
      </c>
      <c r="C160" s="42" t="s">
        <v>51</v>
      </c>
      <c r="D160" s="43" t="s">
        <v>229</v>
      </c>
      <c r="E160" s="43" t="s">
        <v>233</v>
      </c>
      <c r="F160" s="44" t="s">
        <v>11</v>
      </c>
      <c r="G160" s="45">
        <f>G161+G167</f>
        <v>13010</v>
      </c>
      <c r="H160" s="45">
        <f>H161+H164</f>
        <v>0</v>
      </c>
      <c r="I160" s="45">
        <f>I161+I167</f>
        <v>13010</v>
      </c>
      <c r="J160" s="46">
        <f>J161+J167</f>
        <v>0</v>
      </c>
      <c r="K160" s="45">
        <f>K161+K164</f>
        <v>0</v>
      </c>
      <c r="L160" s="46">
        <f>L161+L167</f>
        <v>0</v>
      </c>
      <c r="M160" s="45">
        <f>M161+M167</f>
        <v>13010</v>
      </c>
      <c r="N160" s="45">
        <f>N161+N167</f>
        <v>0</v>
      </c>
      <c r="O160" s="45">
        <f>O161+O167</f>
        <v>13010</v>
      </c>
    </row>
    <row r="161" spans="1:15" ht="31.5" x14ac:dyDescent="0.2">
      <c r="A161" s="40"/>
      <c r="B161" s="41" t="s">
        <v>234</v>
      </c>
      <c r="C161" s="42" t="s">
        <v>51</v>
      </c>
      <c r="D161" s="43" t="s">
        <v>229</v>
      </c>
      <c r="E161" s="43" t="s">
        <v>235</v>
      </c>
      <c r="F161" s="44" t="s">
        <v>11</v>
      </c>
      <c r="G161" s="45">
        <f>G162+G165</f>
        <v>6899.9999999999991</v>
      </c>
      <c r="H161" s="45">
        <f>H162+H163</f>
        <v>0</v>
      </c>
      <c r="I161" s="45">
        <f>I162+I165</f>
        <v>6899.9999999999991</v>
      </c>
      <c r="J161" s="46">
        <f>J162+J165</f>
        <v>0</v>
      </c>
      <c r="K161" s="45">
        <f>K162+K163</f>
        <v>0</v>
      </c>
      <c r="L161" s="46">
        <f>L162+L165</f>
        <v>0</v>
      </c>
      <c r="M161" s="45">
        <f>M162+M165</f>
        <v>6899.9999999999991</v>
      </c>
      <c r="N161" s="45">
        <f>N162+N165</f>
        <v>0</v>
      </c>
      <c r="O161" s="45">
        <f>O162+O165</f>
        <v>6899.9999999999991</v>
      </c>
    </row>
    <row r="162" spans="1:15" ht="63" x14ac:dyDescent="0.2">
      <c r="A162" s="40"/>
      <c r="B162" s="41" t="s">
        <v>236</v>
      </c>
      <c r="C162" s="42" t="s">
        <v>51</v>
      </c>
      <c r="D162" s="43" t="s">
        <v>229</v>
      </c>
      <c r="E162" s="43" t="s">
        <v>237</v>
      </c>
      <c r="F162" s="44" t="s">
        <v>11</v>
      </c>
      <c r="G162" s="45">
        <f>G163+G164</f>
        <v>6599.9999999999991</v>
      </c>
      <c r="H162" s="48"/>
      <c r="I162" s="45">
        <f>I163+I164</f>
        <v>6599.9999999999991</v>
      </c>
      <c r="J162" s="46">
        <f>J163+J164</f>
        <v>0</v>
      </c>
      <c r="K162" s="48"/>
      <c r="L162" s="46">
        <f>L163+L164</f>
        <v>0</v>
      </c>
      <c r="M162" s="45">
        <f>M163+M164</f>
        <v>6599.9999999999991</v>
      </c>
      <c r="N162" s="45">
        <f>N163+N164</f>
        <v>0</v>
      </c>
      <c r="O162" s="45">
        <f>O163+O164</f>
        <v>6599.9999999999991</v>
      </c>
    </row>
    <row r="163" spans="1:15" ht="31.5" x14ac:dyDescent="0.2">
      <c r="A163" s="40"/>
      <c r="B163" s="41" t="s">
        <v>40</v>
      </c>
      <c r="C163" s="42" t="s">
        <v>51</v>
      </c>
      <c r="D163" s="43" t="s">
        <v>229</v>
      </c>
      <c r="E163" s="43" t="s">
        <v>237</v>
      </c>
      <c r="F163" s="44" t="s">
        <v>41</v>
      </c>
      <c r="G163" s="48">
        <f>6600+2030.3-351.1-698.8-980.4-5000</f>
        <v>1599.9999999999991</v>
      </c>
      <c r="H163" s="48"/>
      <c r="I163" s="48">
        <f>6600+2030.3-351.1-698.8-980.4-5000</f>
        <v>1599.9999999999991</v>
      </c>
      <c r="J163" s="47">
        <v>0</v>
      </c>
      <c r="K163" s="48"/>
      <c r="L163" s="47">
        <v>0</v>
      </c>
      <c r="M163" s="48">
        <f>6600+2030.3-351.1-698.8-980.4-5000</f>
        <v>1599.9999999999991</v>
      </c>
      <c r="N163" s="48"/>
      <c r="O163" s="48">
        <f>6600+2030.3-351.1-698.8-980.4-5000</f>
        <v>1599.9999999999991</v>
      </c>
    </row>
    <row r="164" spans="1:15" ht="31.5" x14ac:dyDescent="0.2">
      <c r="A164" s="40"/>
      <c r="B164" s="41" t="s">
        <v>225</v>
      </c>
      <c r="C164" s="58">
        <v>992</v>
      </c>
      <c r="D164" s="57" t="s">
        <v>229</v>
      </c>
      <c r="E164" s="57" t="s">
        <v>237</v>
      </c>
      <c r="F164" s="59" t="s">
        <v>226</v>
      </c>
      <c r="G164" s="48">
        <v>5000</v>
      </c>
      <c r="H164" s="45"/>
      <c r="I164" s="48">
        <v>5000</v>
      </c>
      <c r="J164" s="47">
        <v>0</v>
      </c>
      <c r="K164" s="45"/>
      <c r="L164" s="47">
        <v>0</v>
      </c>
      <c r="M164" s="48">
        <v>5000</v>
      </c>
      <c r="N164" s="48"/>
      <c r="O164" s="48">
        <v>5000</v>
      </c>
    </row>
    <row r="165" spans="1:15" ht="78.75" x14ac:dyDescent="0.2">
      <c r="A165" s="40"/>
      <c r="B165" s="41" t="s">
        <v>240</v>
      </c>
      <c r="C165" s="42" t="s">
        <v>51</v>
      </c>
      <c r="D165" s="43" t="s">
        <v>229</v>
      </c>
      <c r="E165" s="43" t="s">
        <v>241</v>
      </c>
      <c r="F165" s="44" t="s">
        <v>11</v>
      </c>
      <c r="G165" s="45">
        <f>G166</f>
        <v>300</v>
      </c>
      <c r="H165" s="45"/>
      <c r="I165" s="45">
        <f>I166</f>
        <v>300</v>
      </c>
      <c r="J165" s="46">
        <f>J166</f>
        <v>0</v>
      </c>
      <c r="K165" s="45"/>
      <c r="L165" s="46">
        <f>L166</f>
        <v>0</v>
      </c>
      <c r="M165" s="45">
        <f>M166</f>
        <v>300</v>
      </c>
      <c r="N165" s="45">
        <f>N166</f>
        <v>0</v>
      </c>
      <c r="O165" s="45">
        <f>O166</f>
        <v>300</v>
      </c>
    </row>
    <row r="166" spans="1:15" ht="31.5" x14ac:dyDescent="0.2">
      <c r="A166" s="40"/>
      <c r="B166" s="41" t="s">
        <v>40</v>
      </c>
      <c r="C166" s="42" t="s">
        <v>51</v>
      </c>
      <c r="D166" s="43" t="s">
        <v>229</v>
      </c>
      <c r="E166" s="43" t="s">
        <v>241</v>
      </c>
      <c r="F166" s="44" t="s">
        <v>41</v>
      </c>
      <c r="G166" s="45">
        <v>300</v>
      </c>
      <c r="H166" s="45">
        <f t="shared" ref="G166:O168" si="41">H167</f>
        <v>0</v>
      </c>
      <c r="I166" s="45">
        <v>300</v>
      </c>
      <c r="J166" s="47">
        <v>0</v>
      </c>
      <c r="K166" s="45">
        <f t="shared" si="41"/>
        <v>0</v>
      </c>
      <c r="L166" s="47">
        <v>0</v>
      </c>
      <c r="M166" s="45">
        <v>300</v>
      </c>
      <c r="N166" s="45"/>
      <c r="O166" s="45">
        <v>300</v>
      </c>
    </row>
    <row r="167" spans="1:15" ht="31.5" x14ac:dyDescent="0.2">
      <c r="A167" s="40"/>
      <c r="B167" s="41" t="s">
        <v>242</v>
      </c>
      <c r="C167" s="42" t="s">
        <v>51</v>
      </c>
      <c r="D167" s="43" t="s">
        <v>229</v>
      </c>
      <c r="E167" s="43" t="s">
        <v>243</v>
      </c>
      <c r="F167" s="44" t="s">
        <v>11</v>
      </c>
      <c r="G167" s="45">
        <f t="shared" si="41"/>
        <v>6110</v>
      </c>
      <c r="H167" s="45">
        <f t="shared" si="41"/>
        <v>0</v>
      </c>
      <c r="I167" s="45">
        <f t="shared" si="41"/>
        <v>6110</v>
      </c>
      <c r="J167" s="46">
        <f t="shared" si="41"/>
        <v>0</v>
      </c>
      <c r="K167" s="45">
        <f t="shared" si="41"/>
        <v>0</v>
      </c>
      <c r="L167" s="46">
        <f t="shared" si="41"/>
        <v>0</v>
      </c>
      <c r="M167" s="45">
        <f t="shared" si="41"/>
        <v>6110</v>
      </c>
      <c r="N167" s="45">
        <f t="shared" si="41"/>
        <v>0</v>
      </c>
      <c r="O167" s="45">
        <f t="shared" si="41"/>
        <v>6110</v>
      </c>
    </row>
    <row r="168" spans="1:15" ht="78.75" x14ac:dyDescent="0.2">
      <c r="A168" s="40"/>
      <c r="B168" s="41" t="s">
        <v>240</v>
      </c>
      <c r="C168" s="42" t="s">
        <v>51</v>
      </c>
      <c r="D168" s="43" t="s">
        <v>229</v>
      </c>
      <c r="E168" s="43" t="s">
        <v>244</v>
      </c>
      <c r="F168" s="44" t="s">
        <v>11</v>
      </c>
      <c r="G168" s="45">
        <f t="shared" si="41"/>
        <v>6110</v>
      </c>
      <c r="H168" s="48"/>
      <c r="I168" s="45">
        <f t="shared" si="41"/>
        <v>6110</v>
      </c>
      <c r="J168" s="46">
        <f t="shared" si="41"/>
        <v>0</v>
      </c>
      <c r="K168" s="48"/>
      <c r="L168" s="46">
        <f t="shared" si="41"/>
        <v>0</v>
      </c>
      <c r="M168" s="45">
        <f t="shared" si="41"/>
        <v>6110</v>
      </c>
      <c r="N168" s="45">
        <f t="shared" si="41"/>
        <v>0</v>
      </c>
      <c r="O168" s="45">
        <f t="shared" si="41"/>
        <v>6110</v>
      </c>
    </row>
    <row r="169" spans="1:15" ht="31.5" x14ac:dyDescent="0.2">
      <c r="A169" s="40"/>
      <c r="B169" s="41" t="s">
        <v>40</v>
      </c>
      <c r="C169" s="42" t="s">
        <v>51</v>
      </c>
      <c r="D169" s="43" t="s">
        <v>229</v>
      </c>
      <c r="E169" s="43" t="s">
        <v>244</v>
      </c>
      <c r="F169" s="44" t="s">
        <v>41</v>
      </c>
      <c r="G169" s="48">
        <f>4810+1300</f>
        <v>6110</v>
      </c>
      <c r="H169" s="45"/>
      <c r="I169" s="48">
        <f>4810+1300</f>
        <v>6110</v>
      </c>
      <c r="J169" s="47">
        <v>0</v>
      </c>
      <c r="K169" s="45"/>
      <c r="L169" s="47">
        <v>0</v>
      </c>
      <c r="M169" s="48">
        <f>4810+1300</f>
        <v>6110</v>
      </c>
      <c r="N169" s="48"/>
      <c r="O169" s="48">
        <f>4810+1300</f>
        <v>6110</v>
      </c>
    </row>
    <row r="170" spans="1:15" ht="31.5" x14ac:dyDescent="0.2">
      <c r="A170" s="40"/>
      <c r="B170" s="41" t="s">
        <v>245</v>
      </c>
      <c r="C170" s="42" t="s">
        <v>51</v>
      </c>
      <c r="D170" s="43" t="s">
        <v>229</v>
      </c>
      <c r="E170" s="43" t="s">
        <v>246</v>
      </c>
      <c r="F170" s="44" t="s">
        <v>11</v>
      </c>
      <c r="G170" s="45">
        <f t="shared" ref="G170:I172" si="42">G171</f>
        <v>11868.2</v>
      </c>
      <c r="H170" s="45">
        <f t="shared" si="42"/>
        <v>0</v>
      </c>
      <c r="I170" s="45">
        <f t="shared" si="42"/>
        <v>11868.2</v>
      </c>
      <c r="J170" s="46">
        <f t="shared" ref="J170:L173" si="43">J171</f>
        <v>0</v>
      </c>
      <c r="K170" s="45">
        <f>K171</f>
        <v>0</v>
      </c>
      <c r="L170" s="46">
        <f t="shared" si="43"/>
        <v>0</v>
      </c>
      <c r="M170" s="45">
        <f t="shared" ref="M170:O173" si="44">M171</f>
        <v>11868.2</v>
      </c>
      <c r="N170" s="45">
        <f t="shared" si="44"/>
        <v>0</v>
      </c>
      <c r="O170" s="45">
        <f t="shared" si="44"/>
        <v>11868.2</v>
      </c>
    </row>
    <row r="171" spans="1:15" ht="15.75" x14ac:dyDescent="0.2">
      <c r="A171" s="40"/>
      <c r="B171" s="41" t="s">
        <v>247</v>
      </c>
      <c r="C171" s="42" t="s">
        <v>51</v>
      </c>
      <c r="D171" s="43" t="s">
        <v>229</v>
      </c>
      <c r="E171" s="43" t="s">
        <v>248</v>
      </c>
      <c r="F171" s="44" t="s">
        <v>11</v>
      </c>
      <c r="G171" s="45">
        <f t="shared" si="42"/>
        <v>11868.2</v>
      </c>
      <c r="H171" s="45">
        <f t="shared" si="42"/>
        <v>0</v>
      </c>
      <c r="I171" s="45">
        <f t="shared" si="42"/>
        <v>11868.2</v>
      </c>
      <c r="J171" s="46">
        <f t="shared" si="43"/>
        <v>0</v>
      </c>
      <c r="K171" s="45">
        <f>K172</f>
        <v>0</v>
      </c>
      <c r="L171" s="46">
        <f t="shared" si="43"/>
        <v>0</v>
      </c>
      <c r="M171" s="45">
        <f t="shared" si="44"/>
        <v>11868.2</v>
      </c>
      <c r="N171" s="45">
        <f t="shared" si="44"/>
        <v>0</v>
      </c>
      <c r="O171" s="45">
        <f t="shared" si="44"/>
        <v>11868.2</v>
      </c>
    </row>
    <row r="172" spans="1:15" ht="47.25" x14ac:dyDescent="0.2">
      <c r="A172" s="40"/>
      <c r="B172" s="41" t="s">
        <v>249</v>
      </c>
      <c r="C172" s="42" t="s">
        <v>51</v>
      </c>
      <c r="D172" s="43" t="s">
        <v>229</v>
      </c>
      <c r="E172" s="43" t="s">
        <v>250</v>
      </c>
      <c r="F172" s="44" t="s">
        <v>11</v>
      </c>
      <c r="G172" s="45">
        <f t="shared" si="42"/>
        <v>11868.2</v>
      </c>
      <c r="H172" s="45">
        <f t="shared" si="42"/>
        <v>0</v>
      </c>
      <c r="I172" s="45">
        <f t="shared" si="42"/>
        <v>11868.2</v>
      </c>
      <c r="J172" s="46">
        <f t="shared" si="43"/>
        <v>0</v>
      </c>
      <c r="K172" s="45">
        <f>K173</f>
        <v>0</v>
      </c>
      <c r="L172" s="46">
        <f t="shared" si="43"/>
        <v>0</v>
      </c>
      <c r="M172" s="45">
        <f t="shared" si="44"/>
        <v>11868.2</v>
      </c>
      <c r="N172" s="45">
        <f t="shared" si="44"/>
        <v>0</v>
      </c>
      <c r="O172" s="45">
        <f t="shared" si="44"/>
        <v>11868.2</v>
      </c>
    </row>
    <row r="173" spans="1:15" ht="31.5" x14ac:dyDescent="0.2">
      <c r="A173" s="40"/>
      <c r="B173" s="41" t="s">
        <v>134</v>
      </c>
      <c r="C173" s="42" t="s">
        <v>51</v>
      </c>
      <c r="D173" s="43" t="s">
        <v>229</v>
      </c>
      <c r="E173" s="43" t="s">
        <v>251</v>
      </c>
      <c r="F173" s="44" t="s">
        <v>11</v>
      </c>
      <c r="G173" s="45">
        <f>G174</f>
        <v>11868.2</v>
      </c>
      <c r="H173" s="45"/>
      <c r="I173" s="45">
        <f>I174</f>
        <v>11868.2</v>
      </c>
      <c r="J173" s="46">
        <f t="shared" si="43"/>
        <v>0</v>
      </c>
      <c r="K173" s="45"/>
      <c r="L173" s="46">
        <f t="shared" si="43"/>
        <v>0</v>
      </c>
      <c r="M173" s="45">
        <f t="shared" si="44"/>
        <v>11868.2</v>
      </c>
      <c r="N173" s="45">
        <f t="shared" si="44"/>
        <v>0</v>
      </c>
      <c r="O173" s="45">
        <f t="shared" si="44"/>
        <v>11868.2</v>
      </c>
    </row>
    <row r="174" spans="1:15" ht="34.9" customHeight="1" x14ac:dyDescent="0.2">
      <c r="A174" s="40"/>
      <c r="B174" s="41" t="s">
        <v>95</v>
      </c>
      <c r="C174" s="42" t="s">
        <v>51</v>
      </c>
      <c r="D174" s="43" t="s">
        <v>229</v>
      </c>
      <c r="E174" s="43" t="s">
        <v>251</v>
      </c>
      <c r="F174" s="44" t="s">
        <v>96</v>
      </c>
      <c r="G174" s="45">
        <v>11868.2</v>
      </c>
      <c r="H174" s="38"/>
      <c r="I174" s="45">
        <v>11868.2</v>
      </c>
      <c r="J174" s="47">
        <v>0</v>
      </c>
      <c r="K174" s="38"/>
      <c r="L174" s="47">
        <v>0</v>
      </c>
      <c r="M174" s="45">
        <v>11868.2</v>
      </c>
      <c r="N174" s="45"/>
      <c r="O174" s="45">
        <v>11868.2</v>
      </c>
    </row>
    <row r="175" spans="1:15" ht="15.75" x14ac:dyDescent="0.2">
      <c r="A175" s="33" t="s">
        <v>252</v>
      </c>
      <c r="B175" s="34" t="s">
        <v>253</v>
      </c>
      <c r="C175" s="35" t="s">
        <v>51</v>
      </c>
      <c r="D175" s="36" t="s">
        <v>254</v>
      </c>
      <c r="E175" s="36" t="s">
        <v>11</v>
      </c>
      <c r="F175" s="37" t="s">
        <v>11</v>
      </c>
      <c r="G175" s="38">
        <f t="shared" ref="G175:I178" si="45">G176</f>
        <v>1736</v>
      </c>
      <c r="H175" s="45">
        <f t="shared" si="45"/>
        <v>0</v>
      </c>
      <c r="I175" s="38">
        <f t="shared" si="45"/>
        <v>1736</v>
      </c>
      <c r="J175" s="39">
        <f t="shared" ref="J175:L179" si="46">J176</f>
        <v>0</v>
      </c>
      <c r="K175" s="45">
        <f>K176</f>
        <v>0</v>
      </c>
      <c r="L175" s="39">
        <f t="shared" si="46"/>
        <v>0</v>
      </c>
      <c r="M175" s="38">
        <f t="shared" ref="M175:O179" si="47">M176</f>
        <v>1736</v>
      </c>
      <c r="N175" s="38">
        <f t="shared" si="47"/>
        <v>0</v>
      </c>
      <c r="O175" s="38">
        <f t="shared" si="47"/>
        <v>1736</v>
      </c>
    </row>
    <row r="176" spans="1:15" ht="31.5" x14ac:dyDescent="0.2">
      <c r="A176" s="40"/>
      <c r="B176" s="41" t="s">
        <v>97</v>
      </c>
      <c r="C176" s="42" t="s">
        <v>51</v>
      </c>
      <c r="D176" s="43" t="s">
        <v>254</v>
      </c>
      <c r="E176" s="43" t="s">
        <v>98</v>
      </c>
      <c r="F176" s="44" t="s">
        <v>11</v>
      </c>
      <c r="G176" s="45">
        <f t="shared" si="45"/>
        <v>1736</v>
      </c>
      <c r="H176" s="45">
        <f t="shared" si="45"/>
        <v>0</v>
      </c>
      <c r="I176" s="45">
        <f t="shared" si="45"/>
        <v>1736</v>
      </c>
      <c r="J176" s="46">
        <f t="shared" si="46"/>
        <v>0</v>
      </c>
      <c r="K176" s="45">
        <f>K177</f>
        <v>0</v>
      </c>
      <c r="L176" s="46">
        <f t="shared" si="46"/>
        <v>0</v>
      </c>
      <c r="M176" s="45">
        <f t="shared" si="47"/>
        <v>1736</v>
      </c>
      <c r="N176" s="45">
        <f t="shared" si="47"/>
        <v>0</v>
      </c>
      <c r="O176" s="45">
        <f t="shared" si="47"/>
        <v>1736</v>
      </c>
    </row>
    <row r="177" spans="1:16" ht="15.75" x14ac:dyDescent="0.2">
      <c r="A177" s="40"/>
      <c r="B177" s="41" t="s">
        <v>255</v>
      </c>
      <c r="C177" s="42" t="s">
        <v>51</v>
      </c>
      <c r="D177" s="43" t="s">
        <v>254</v>
      </c>
      <c r="E177" s="43" t="s">
        <v>256</v>
      </c>
      <c r="F177" s="44" t="s">
        <v>11</v>
      </c>
      <c r="G177" s="45">
        <f t="shared" si="45"/>
        <v>1736</v>
      </c>
      <c r="H177" s="45">
        <f t="shared" si="45"/>
        <v>0</v>
      </c>
      <c r="I177" s="45">
        <f t="shared" si="45"/>
        <v>1736</v>
      </c>
      <c r="J177" s="46">
        <f t="shared" si="46"/>
        <v>0</v>
      </c>
      <c r="K177" s="45">
        <f>K178</f>
        <v>0</v>
      </c>
      <c r="L177" s="46">
        <f t="shared" si="46"/>
        <v>0</v>
      </c>
      <c r="M177" s="45">
        <f t="shared" si="47"/>
        <v>1736</v>
      </c>
      <c r="N177" s="45">
        <f t="shared" si="47"/>
        <v>0</v>
      </c>
      <c r="O177" s="45">
        <f t="shared" si="47"/>
        <v>1736</v>
      </c>
    </row>
    <row r="178" spans="1:16" ht="31.5" x14ac:dyDescent="0.2">
      <c r="A178" s="40"/>
      <c r="B178" s="41" t="s">
        <v>257</v>
      </c>
      <c r="C178" s="42" t="s">
        <v>51</v>
      </c>
      <c r="D178" s="43" t="s">
        <v>254</v>
      </c>
      <c r="E178" s="43" t="s">
        <v>258</v>
      </c>
      <c r="F178" s="44" t="s">
        <v>11</v>
      </c>
      <c r="G178" s="45">
        <f t="shared" si="45"/>
        <v>1736</v>
      </c>
      <c r="H178" s="45">
        <f t="shared" si="45"/>
        <v>0</v>
      </c>
      <c r="I178" s="45">
        <f t="shared" si="45"/>
        <v>1736</v>
      </c>
      <c r="J178" s="46">
        <f t="shared" si="46"/>
        <v>0</v>
      </c>
      <c r="K178" s="45">
        <f>K179</f>
        <v>0</v>
      </c>
      <c r="L178" s="46">
        <f t="shared" si="46"/>
        <v>0</v>
      </c>
      <c r="M178" s="45">
        <f t="shared" si="47"/>
        <v>1736</v>
      </c>
      <c r="N178" s="45">
        <f t="shared" si="47"/>
        <v>0</v>
      </c>
      <c r="O178" s="45">
        <f t="shared" si="47"/>
        <v>1736</v>
      </c>
    </row>
    <row r="179" spans="1:16" ht="32.450000000000003" customHeight="1" x14ac:dyDescent="0.2">
      <c r="A179" s="40"/>
      <c r="B179" s="41" t="s">
        <v>103</v>
      </c>
      <c r="C179" s="42" t="s">
        <v>51</v>
      </c>
      <c r="D179" s="43" t="s">
        <v>254</v>
      </c>
      <c r="E179" s="43" t="s">
        <v>259</v>
      </c>
      <c r="F179" s="44" t="s">
        <v>11</v>
      </c>
      <c r="G179" s="45">
        <f>G180</f>
        <v>1736</v>
      </c>
      <c r="H179" s="45"/>
      <c r="I179" s="45">
        <f>I180</f>
        <v>1736</v>
      </c>
      <c r="J179" s="46">
        <f t="shared" si="46"/>
        <v>0</v>
      </c>
      <c r="K179" s="45"/>
      <c r="L179" s="46">
        <f t="shared" si="46"/>
        <v>0</v>
      </c>
      <c r="M179" s="45">
        <f t="shared" si="47"/>
        <v>1736</v>
      </c>
      <c r="N179" s="45">
        <f t="shared" si="47"/>
        <v>0</v>
      </c>
      <c r="O179" s="45">
        <f t="shared" si="47"/>
        <v>1736</v>
      </c>
    </row>
    <row r="180" spans="1:16" ht="31.5" x14ac:dyDescent="0.2">
      <c r="A180" s="40"/>
      <c r="B180" s="41" t="s">
        <v>40</v>
      </c>
      <c r="C180" s="42" t="s">
        <v>51</v>
      </c>
      <c r="D180" s="43" t="s">
        <v>254</v>
      </c>
      <c r="E180" s="43" t="s">
        <v>259</v>
      </c>
      <c r="F180" s="44" t="s">
        <v>41</v>
      </c>
      <c r="G180" s="45">
        <v>1736</v>
      </c>
      <c r="H180" s="38"/>
      <c r="I180" s="45">
        <v>1736</v>
      </c>
      <c r="J180" s="47">
        <v>0</v>
      </c>
      <c r="K180" s="38"/>
      <c r="L180" s="47">
        <v>0</v>
      </c>
      <c r="M180" s="45">
        <v>1736</v>
      </c>
      <c r="N180" s="45"/>
      <c r="O180" s="45">
        <v>1736</v>
      </c>
    </row>
    <row r="181" spans="1:16" ht="23.45" customHeight="1" x14ac:dyDescent="0.2">
      <c r="A181" s="33" t="s">
        <v>260</v>
      </c>
      <c r="B181" s="34" t="s">
        <v>261</v>
      </c>
      <c r="C181" s="35" t="s">
        <v>51</v>
      </c>
      <c r="D181" s="36" t="s">
        <v>262</v>
      </c>
      <c r="E181" s="36" t="s">
        <v>11</v>
      </c>
      <c r="F181" s="37" t="s">
        <v>11</v>
      </c>
      <c r="G181" s="38">
        <f>G182+G195</f>
        <v>19260.599999999999</v>
      </c>
      <c r="H181" s="45">
        <f>H182+H186</f>
        <v>0</v>
      </c>
      <c r="I181" s="38">
        <f>I182+I195</f>
        <v>19260.599999999999</v>
      </c>
      <c r="J181" s="39">
        <f>J182+J195</f>
        <v>7971.1</v>
      </c>
      <c r="K181" s="45">
        <f>K182+K186</f>
        <v>0</v>
      </c>
      <c r="L181" s="39">
        <f>L182+L195</f>
        <v>7971.1</v>
      </c>
      <c r="M181" s="38">
        <f>M182+M195</f>
        <v>27231.699999999997</v>
      </c>
      <c r="N181" s="38">
        <f>N182+N195</f>
        <v>0</v>
      </c>
      <c r="O181" s="38">
        <f>O182+O195</f>
        <v>27231.699999999997</v>
      </c>
      <c r="P181" s="15"/>
    </row>
    <row r="182" spans="1:16" ht="47.25" x14ac:dyDescent="0.2">
      <c r="A182" s="40"/>
      <c r="B182" s="41" t="s">
        <v>230</v>
      </c>
      <c r="C182" s="42" t="s">
        <v>51</v>
      </c>
      <c r="D182" s="43" t="s">
        <v>262</v>
      </c>
      <c r="E182" s="43" t="s">
        <v>231</v>
      </c>
      <c r="F182" s="44" t="s">
        <v>11</v>
      </c>
      <c r="G182" s="45">
        <f>G183+G187</f>
        <v>14797</v>
      </c>
      <c r="H182" s="45">
        <f>H183</f>
        <v>0</v>
      </c>
      <c r="I182" s="45">
        <f>I183+I187</f>
        <v>14797</v>
      </c>
      <c r="J182" s="46">
        <f>J183+J187</f>
        <v>7971.1</v>
      </c>
      <c r="K182" s="45">
        <f>K183</f>
        <v>0</v>
      </c>
      <c r="L182" s="46">
        <f>L183+L187</f>
        <v>7971.1</v>
      </c>
      <c r="M182" s="45">
        <f>M183+M187</f>
        <v>22768.1</v>
      </c>
      <c r="N182" s="45">
        <f>N183+N187</f>
        <v>0</v>
      </c>
      <c r="O182" s="45">
        <f>O183+O187</f>
        <v>22768.1</v>
      </c>
      <c r="P182" s="16"/>
    </row>
    <row r="183" spans="1:16" ht="36" customHeight="1" x14ac:dyDescent="0.2">
      <c r="A183" s="40"/>
      <c r="B183" s="41" t="s">
        <v>263</v>
      </c>
      <c r="C183" s="42" t="s">
        <v>51</v>
      </c>
      <c r="D183" s="43" t="s">
        <v>262</v>
      </c>
      <c r="E183" s="43" t="s">
        <v>264</v>
      </c>
      <c r="F183" s="44" t="s">
        <v>11</v>
      </c>
      <c r="G183" s="45">
        <f>G184</f>
        <v>419.6</v>
      </c>
      <c r="H183" s="45">
        <f>H184</f>
        <v>0</v>
      </c>
      <c r="I183" s="45">
        <f>I184</f>
        <v>419.6</v>
      </c>
      <c r="J183" s="46">
        <f t="shared" ref="J183:L185" si="48">J184</f>
        <v>7971.1</v>
      </c>
      <c r="K183" s="45">
        <f>K184</f>
        <v>0</v>
      </c>
      <c r="L183" s="46">
        <f t="shared" si="48"/>
        <v>7971.1</v>
      </c>
      <c r="M183" s="45">
        <f t="shared" ref="M183:O185" si="49">M184</f>
        <v>8390.7000000000007</v>
      </c>
      <c r="N183" s="45">
        <f t="shared" si="49"/>
        <v>0</v>
      </c>
      <c r="O183" s="45">
        <f t="shared" si="49"/>
        <v>8390.7000000000007</v>
      </c>
    </row>
    <row r="184" spans="1:16" ht="47.25" x14ac:dyDescent="0.2">
      <c r="A184" s="40"/>
      <c r="B184" s="41" t="s">
        <v>265</v>
      </c>
      <c r="C184" s="42" t="s">
        <v>51</v>
      </c>
      <c r="D184" s="43" t="s">
        <v>262</v>
      </c>
      <c r="E184" s="43" t="s">
        <v>266</v>
      </c>
      <c r="F184" s="44" t="s">
        <v>11</v>
      </c>
      <c r="G184" s="45">
        <f>G185</f>
        <v>419.6</v>
      </c>
      <c r="H184" s="45">
        <f>H185</f>
        <v>0</v>
      </c>
      <c r="I184" s="45">
        <f>I185</f>
        <v>419.6</v>
      </c>
      <c r="J184" s="46">
        <f t="shared" si="48"/>
        <v>7971.1</v>
      </c>
      <c r="K184" s="45">
        <f>K185</f>
        <v>0</v>
      </c>
      <c r="L184" s="46">
        <f t="shared" si="48"/>
        <v>7971.1</v>
      </c>
      <c r="M184" s="45">
        <f t="shared" si="49"/>
        <v>8390.7000000000007</v>
      </c>
      <c r="N184" s="45">
        <f t="shared" si="49"/>
        <v>0</v>
      </c>
      <c r="O184" s="45">
        <f t="shared" si="49"/>
        <v>8390.7000000000007</v>
      </c>
    </row>
    <row r="185" spans="1:16" ht="47.25" x14ac:dyDescent="0.2">
      <c r="A185" s="40"/>
      <c r="B185" s="41" t="s">
        <v>269</v>
      </c>
      <c r="C185" s="42" t="s">
        <v>51</v>
      </c>
      <c r="D185" s="43" t="s">
        <v>262</v>
      </c>
      <c r="E185" s="43" t="s">
        <v>270</v>
      </c>
      <c r="F185" s="44" t="s">
        <v>11</v>
      </c>
      <c r="G185" s="45">
        <f>G186</f>
        <v>419.6</v>
      </c>
      <c r="H185" s="45"/>
      <c r="I185" s="45">
        <f>I186</f>
        <v>419.6</v>
      </c>
      <c r="J185" s="46">
        <f t="shared" si="48"/>
        <v>7971.1</v>
      </c>
      <c r="K185" s="45"/>
      <c r="L185" s="46">
        <f t="shared" si="48"/>
        <v>7971.1</v>
      </c>
      <c r="M185" s="45">
        <f t="shared" si="49"/>
        <v>8390.7000000000007</v>
      </c>
      <c r="N185" s="45">
        <f t="shared" si="49"/>
        <v>0</v>
      </c>
      <c r="O185" s="45">
        <f t="shared" si="49"/>
        <v>8390.7000000000007</v>
      </c>
    </row>
    <row r="186" spans="1:16" ht="31.5" x14ac:dyDescent="0.2">
      <c r="A186" s="40"/>
      <c r="B186" s="41" t="s">
        <v>40</v>
      </c>
      <c r="C186" s="42" t="s">
        <v>51</v>
      </c>
      <c r="D186" s="43" t="s">
        <v>262</v>
      </c>
      <c r="E186" s="43" t="s">
        <v>270</v>
      </c>
      <c r="F186" s="44" t="s">
        <v>41</v>
      </c>
      <c r="G186" s="45">
        <v>419.6</v>
      </c>
      <c r="H186" s="45"/>
      <c r="I186" s="45">
        <v>419.6</v>
      </c>
      <c r="J186" s="47">
        <v>7971.1</v>
      </c>
      <c r="K186" s="45"/>
      <c r="L186" s="47">
        <v>7971.1</v>
      </c>
      <c r="M186" s="45">
        <f>419.6+J186</f>
        <v>8390.7000000000007</v>
      </c>
      <c r="N186" s="45"/>
      <c r="O186" s="45">
        <f>419.6+L186</f>
        <v>8390.7000000000007</v>
      </c>
    </row>
    <row r="187" spans="1:16" ht="31.5" x14ac:dyDescent="0.2">
      <c r="A187" s="40"/>
      <c r="B187" s="41" t="s">
        <v>185</v>
      </c>
      <c r="C187" s="42" t="s">
        <v>51</v>
      </c>
      <c r="D187" s="43" t="s">
        <v>262</v>
      </c>
      <c r="E187" s="43" t="s">
        <v>271</v>
      </c>
      <c r="F187" s="44" t="s">
        <v>11</v>
      </c>
      <c r="G187" s="45">
        <f>G188+G192</f>
        <v>14377.4</v>
      </c>
      <c r="H187" s="45">
        <f>H188</f>
        <v>0</v>
      </c>
      <c r="I187" s="45">
        <f>I188+I192</f>
        <v>14377.4</v>
      </c>
      <c r="J187" s="46">
        <f>J188+J192</f>
        <v>0</v>
      </c>
      <c r="K187" s="45">
        <f>K188</f>
        <v>0</v>
      </c>
      <c r="L187" s="46">
        <f>L188+L192</f>
        <v>0</v>
      </c>
      <c r="M187" s="45">
        <f>M188+M192</f>
        <v>14377.4</v>
      </c>
      <c r="N187" s="45">
        <f>N188+N192</f>
        <v>0</v>
      </c>
      <c r="O187" s="45">
        <f>O188+O192</f>
        <v>14377.4</v>
      </c>
    </row>
    <row r="188" spans="1:16" ht="51.6" customHeight="1" x14ac:dyDescent="0.2">
      <c r="A188" s="40"/>
      <c r="B188" s="41" t="s">
        <v>272</v>
      </c>
      <c r="C188" s="42" t="s">
        <v>51</v>
      </c>
      <c r="D188" s="43" t="s">
        <v>262</v>
      </c>
      <c r="E188" s="43" t="s">
        <v>273</v>
      </c>
      <c r="F188" s="44" t="s">
        <v>11</v>
      </c>
      <c r="G188" s="45">
        <f>G189</f>
        <v>8104</v>
      </c>
      <c r="H188" s="45">
        <f>H189+H190</f>
        <v>0</v>
      </c>
      <c r="I188" s="45">
        <f>I189</f>
        <v>8104</v>
      </c>
      <c r="J188" s="46">
        <f>J189</f>
        <v>0</v>
      </c>
      <c r="K188" s="45">
        <f>K189+K190</f>
        <v>0</v>
      </c>
      <c r="L188" s="46">
        <f>L189</f>
        <v>0</v>
      </c>
      <c r="M188" s="45">
        <f>M189</f>
        <v>8104</v>
      </c>
      <c r="N188" s="45">
        <f>N189</f>
        <v>0</v>
      </c>
      <c r="O188" s="45">
        <f>O189</f>
        <v>8104</v>
      </c>
    </row>
    <row r="189" spans="1:16" ht="31.5" x14ac:dyDescent="0.2">
      <c r="A189" s="40"/>
      <c r="B189" s="41" t="s">
        <v>134</v>
      </c>
      <c r="C189" s="42" t="s">
        <v>51</v>
      </c>
      <c r="D189" s="43" t="s">
        <v>262</v>
      </c>
      <c r="E189" s="43" t="s">
        <v>274</v>
      </c>
      <c r="F189" s="44" t="s">
        <v>11</v>
      </c>
      <c r="G189" s="45">
        <f>G190+G191</f>
        <v>8104</v>
      </c>
      <c r="H189" s="45"/>
      <c r="I189" s="45">
        <f>I190+I191</f>
        <v>8104</v>
      </c>
      <c r="J189" s="46">
        <f>J190+J191</f>
        <v>0</v>
      </c>
      <c r="K189" s="45"/>
      <c r="L189" s="46">
        <f>L190+L191</f>
        <v>0</v>
      </c>
      <c r="M189" s="45">
        <f>M190+M191</f>
        <v>8104</v>
      </c>
      <c r="N189" s="45">
        <f>N190+N191</f>
        <v>0</v>
      </c>
      <c r="O189" s="45">
        <f>O190+O191</f>
        <v>8104</v>
      </c>
    </row>
    <row r="190" spans="1:16" ht="78.75" x14ac:dyDescent="0.2">
      <c r="A190" s="40"/>
      <c r="B190" s="41" t="s">
        <v>61</v>
      </c>
      <c r="C190" s="42" t="s">
        <v>51</v>
      </c>
      <c r="D190" s="43" t="s">
        <v>262</v>
      </c>
      <c r="E190" s="43" t="s">
        <v>274</v>
      </c>
      <c r="F190" s="44" t="s">
        <v>62</v>
      </c>
      <c r="G190" s="45">
        <v>7905.2</v>
      </c>
      <c r="H190" s="45"/>
      <c r="I190" s="45">
        <v>7905.2</v>
      </c>
      <c r="J190" s="47">
        <v>0</v>
      </c>
      <c r="K190" s="45"/>
      <c r="L190" s="47">
        <v>0</v>
      </c>
      <c r="M190" s="45">
        <v>7905.2</v>
      </c>
      <c r="N190" s="45"/>
      <c r="O190" s="45">
        <v>7905.2</v>
      </c>
    </row>
    <row r="191" spans="1:16" ht="31.5" x14ac:dyDescent="0.2">
      <c r="A191" s="40"/>
      <c r="B191" s="41" t="s">
        <v>40</v>
      </c>
      <c r="C191" s="42" t="s">
        <v>51</v>
      </c>
      <c r="D191" s="43" t="s">
        <v>262</v>
      </c>
      <c r="E191" s="43" t="s">
        <v>274</v>
      </c>
      <c r="F191" s="44" t="s">
        <v>41</v>
      </c>
      <c r="G191" s="45">
        <v>198.8</v>
      </c>
      <c r="H191" s="45"/>
      <c r="I191" s="45">
        <v>198.8</v>
      </c>
      <c r="J191" s="47">
        <v>0</v>
      </c>
      <c r="K191" s="45"/>
      <c r="L191" s="47">
        <v>0</v>
      </c>
      <c r="M191" s="45">
        <v>198.8</v>
      </c>
      <c r="N191" s="45"/>
      <c r="O191" s="45">
        <v>198.8</v>
      </c>
    </row>
    <row r="192" spans="1:16" ht="52.15" customHeight="1" x14ac:dyDescent="0.2">
      <c r="A192" s="40"/>
      <c r="B192" s="41" t="s">
        <v>279</v>
      </c>
      <c r="C192" s="42" t="s">
        <v>51</v>
      </c>
      <c r="D192" s="43" t="s">
        <v>262</v>
      </c>
      <c r="E192" s="43" t="s">
        <v>280</v>
      </c>
      <c r="F192" s="44" t="s">
        <v>11</v>
      </c>
      <c r="G192" s="45">
        <f t="shared" ref="G192:O193" si="50">G193</f>
        <v>6273.4</v>
      </c>
      <c r="H192" s="45">
        <f t="shared" si="50"/>
        <v>6273.4</v>
      </c>
      <c r="I192" s="45">
        <f t="shared" si="50"/>
        <v>6273.4</v>
      </c>
      <c r="J192" s="46">
        <f t="shared" si="50"/>
        <v>0</v>
      </c>
      <c r="K192" s="45">
        <f t="shared" si="50"/>
        <v>6273.4</v>
      </c>
      <c r="L192" s="46">
        <f t="shared" si="50"/>
        <v>0</v>
      </c>
      <c r="M192" s="45">
        <f t="shared" si="50"/>
        <v>6273.4</v>
      </c>
      <c r="N192" s="45">
        <f t="shared" si="50"/>
        <v>0</v>
      </c>
      <c r="O192" s="45">
        <f t="shared" si="50"/>
        <v>6273.4</v>
      </c>
    </row>
    <row r="193" spans="1:15" ht="31.5" x14ac:dyDescent="0.2">
      <c r="A193" s="40"/>
      <c r="B193" s="41" t="s">
        <v>134</v>
      </c>
      <c r="C193" s="42" t="s">
        <v>51</v>
      </c>
      <c r="D193" s="43" t="s">
        <v>262</v>
      </c>
      <c r="E193" s="43" t="s">
        <v>281</v>
      </c>
      <c r="F193" s="44" t="s">
        <v>11</v>
      </c>
      <c r="G193" s="45">
        <f t="shared" si="50"/>
        <v>6273.4</v>
      </c>
      <c r="H193" s="45">
        <v>6273.4</v>
      </c>
      <c r="I193" s="45">
        <f t="shared" si="50"/>
        <v>6273.4</v>
      </c>
      <c r="J193" s="46">
        <f t="shared" si="50"/>
        <v>0</v>
      </c>
      <c r="K193" s="45">
        <v>6273.4</v>
      </c>
      <c r="L193" s="46">
        <f t="shared" si="50"/>
        <v>0</v>
      </c>
      <c r="M193" s="45">
        <f t="shared" si="50"/>
        <v>6273.4</v>
      </c>
      <c r="N193" s="45">
        <f t="shared" si="50"/>
        <v>0</v>
      </c>
      <c r="O193" s="45">
        <f t="shared" si="50"/>
        <v>6273.4</v>
      </c>
    </row>
    <row r="194" spans="1:15" ht="37.9" customHeight="1" x14ac:dyDescent="0.2">
      <c r="A194" s="40"/>
      <c r="B194" s="41" t="s">
        <v>95</v>
      </c>
      <c r="C194" s="42" t="s">
        <v>51</v>
      </c>
      <c r="D194" s="43" t="s">
        <v>262</v>
      </c>
      <c r="E194" s="43" t="s">
        <v>281</v>
      </c>
      <c r="F194" s="44" t="s">
        <v>96</v>
      </c>
      <c r="G194" s="45">
        <v>6273.4</v>
      </c>
      <c r="H194" s="45"/>
      <c r="I194" s="45">
        <v>6273.4</v>
      </c>
      <c r="J194" s="47">
        <v>0</v>
      </c>
      <c r="K194" s="45"/>
      <c r="L194" s="47">
        <v>0</v>
      </c>
      <c r="M194" s="45">
        <v>6273.4</v>
      </c>
      <c r="N194" s="45"/>
      <c r="O194" s="45">
        <v>6273.4</v>
      </c>
    </row>
    <row r="195" spans="1:15" ht="31.5" x14ac:dyDescent="0.2">
      <c r="A195" s="40"/>
      <c r="B195" s="41" t="s">
        <v>218</v>
      </c>
      <c r="C195" s="42" t="s">
        <v>51</v>
      </c>
      <c r="D195" s="43" t="s">
        <v>262</v>
      </c>
      <c r="E195" s="43" t="s">
        <v>219</v>
      </c>
      <c r="F195" s="44" t="s">
        <v>11</v>
      </c>
      <c r="G195" s="45">
        <f>G196+G201+G206</f>
        <v>4463.6000000000004</v>
      </c>
      <c r="H195" s="45">
        <f>H196</f>
        <v>0</v>
      </c>
      <c r="I195" s="45">
        <f>I196+I201+I206</f>
        <v>4463.6000000000004</v>
      </c>
      <c r="J195" s="46">
        <f>J196+J201+J206</f>
        <v>0</v>
      </c>
      <c r="K195" s="45">
        <f>K196</f>
        <v>0</v>
      </c>
      <c r="L195" s="46">
        <f>L196+L201+L206</f>
        <v>0</v>
      </c>
      <c r="M195" s="45">
        <f>M196+M201+M206</f>
        <v>4463.6000000000004</v>
      </c>
      <c r="N195" s="45">
        <f>N196+N201+N206</f>
        <v>0</v>
      </c>
      <c r="O195" s="45">
        <f>O196+O201+O206</f>
        <v>4463.6000000000004</v>
      </c>
    </row>
    <row r="196" spans="1:15" ht="31.5" x14ac:dyDescent="0.2">
      <c r="A196" s="40"/>
      <c r="B196" s="41" t="s">
        <v>285</v>
      </c>
      <c r="C196" s="42" t="s">
        <v>51</v>
      </c>
      <c r="D196" s="43" t="s">
        <v>262</v>
      </c>
      <c r="E196" s="43" t="s">
        <v>286</v>
      </c>
      <c r="F196" s="44" t="s">
        <v>11</v>
      </c>
      <c r="G196" s="45">
        <f>G197</f>
        <v>330</v>
      </c>
      <c r="H196" s="45">
        <f>H197</f>
        <v>0</v>
      </c>
      <c r="I196" s="45">
        <f>I197</f>
        <v>330</v>
      </c>
      <c r="J196" s="46">
        <f t="shared" ref="J196:L197" si="51">J197</f>
        <v>0</v>
      </c>
      <c r="K196" s="45">
        <f>K197</f>
        <v>0</v>
      </c>
      <c r="L196" s="46">
        <f t="shared" si="51"/>
        <v>0</v>
      </c>
      <c r="M196" s="45">
        <f t="shared" ref="M196:O197" si="52">M197</f>
        <v>330</v>
      </c>
      <c r="N196" s="45">
        <f t="shared" si="52"/>
        <v>0</v>
      </c>
      <c r="O196" s="45">
        <f t="shared" si="52"/>
        <v>330</v>
      </c>
    </row>
    <row r="197" spans="1:15" ht="31.5" x14ac:dyDescent="0.2">
      <c r="A197" s="40"/>
      <c r="B197" s="41" t="s">
        <v>287</v>
      </c>
      <c r="C197" s="42" t="s">
        <v>51</v>
      </c>
      <c r="D197" s="43" t="s">
        <v>262</v>
      </c>
      <c r="E197" s="43" t="s">
        <v>288</v>
      </c>
      <c r="F197" s="44" t="s">
        <v>11</v>
      </c>
      <c r="G197" s="45">
        <f>G198</f>
        <v>330</v>
      </c>
      <c r="H197" s="45">
        <f>H199+H198</f>
        <v>0</v>
      </c>
      <c r="I197" s="45">
        <f>I198</f>
        <v>330</v>
      </c>
      <c r="J197" s="46">
        <f t="shared" si="51"/>
        <v>0</v>
      </c>
      <c r="K197" s="45">
        <f>K199+K198</f>
        <v>0</v>
      </c>
      <c r="L197" s="46">
        <f t="shared" si="51"/>
        <v>0</v>
      </c>
      <c r="M197" s="45">
        <f t="shared" si="52"/>
        <v>330</v>
      </c>
      <c r="N197" s="45">
        <f t="shared" si="52"/>
        <v>0</v>
      </c>
      <c r="O197" s="45">
        <f t="shared" si="52"/>
        <v>330</v>
      </c>
    </row>
    <row r="198" spans="1:15" ht="31.5" x14ac:dyDescent="0.2">
      <c r="A198" s="40"/>
      <c r="B198" s="41" t="s">
        <v>285</v>
      </c>
      <c r="C198" s="42" t="s">
        <v>51</v>
      </c>
      <c r="D198" s="43" t="s">
        <v>262</v>
      </c>
      <c r="E198" s="43" t="s">
        <v>289</v>
      </c>
      <c r="F198" s="44" t="s">
        <v>11</v>
      </c>
      <c r="G198" s="45">
        <f>G200+G199</f>
        <v>330</v>
      </c>
      <c r="H198" s="45"/>
      <c r="I198" s="45">
        <f>I200+I199</f>
        <v>330</v>
      </c>
      <c r="J198" s="46">
        <f>J200+J199</f>
        <v>0</v>
      </c>
      <c r="K198" s="45"/>
      <c r="L198" s="46">
        <f>L200+L199</f>
        <v>0</v>
      </c>
      <c r="M198" s="45">
        <f>M200+M199</f>
        <v>330</v>
      </c>
      <c r="N198" s="45">
        <f>N200+N199</f>
        <v>0</v>
      </c>
      <c r="O198" s="45">
        <f>O200+O199</f>
        <v>330</v>
      </c>
    </row>
    <row r="199" spans="1:15" ht="31.5" x14ac:dyDescent="0.2">
      <c r="A199" s="40"/>
      <c r="B199" s="41" t="s">
        <v>40</v>
      </c>
      <c r="C199" s="42" t="s">
        <v>51</v>
      </c>
      <c r="D199" s="43" t="s">
        <v>262</v>
      </c>
      <c r="E199" s="43" t="s">
        <v>289</v>
      </c>
      <c r="F199" s="44">
        <v>200</v>
      </c>
      <c r="G199" s="45">
        <v>200</v>
      </c>
      <c r="H199" s="45"/>
      <c r="I199" s="45">
        <v>200</v>
      </c>
      <c r="J199" s="46">
        <v>0</v>
      </c>
      <c r="K199" s="45"/>
      <c r="L199" s="46">
        <v>0</v>
      </c>
      <c r="M199" s="45">
        <v>200</v>
      </c>
      <c r="N199" s="45"/>
      <c r="O199" s="45">
        <v>200</v>
      </c>
    </row>
    <row r="200" spans="1:15" ht="15.75" x14ac:dyDescent="0.2">
      <c r="A200" s="40"/>
      <c r="B200" s="41" t="s">
        <v>70</v>
      </c>
      <c r="C200" s="42" t="s">
        <v>51</v>
      </c>
      <c r="D200" s="43" t="s">
        <v>262</v>
      </c>
      <c r="E200" s="43" t="s">
        <v>289</v>
      </c>
      <c r="F200" s="44" t="s">
        <v>71</v>
      </c>
      <c r="G200" s="45">
        <v>130</v>
      </c>
      <c r="H200" s="45"/>
      <c r="I200" s="45">
        <v>130</v>
      </c>
      <c r="J200" s="47">
        <v>0</v>
      </c>
      <c r="K200" s="45"/>
      <c r="L200" s="47">
        <v>0</v>
      </c>
      <c r="M200" s="45">
        <v>130</v>
      </c>
      <c r="N200" s="45"/>
      <c r="O200" s="45">
        <v>130</v>
      </c>
    </row>
    <row r="201" spans="1:15" ht="31.5" x14ac:dyDescent="0.2">
      <c r="A201" s="40"/>
      <c r="B201" s="41" t="s">
        <v>290</v>
      </c>
      <c r="C201" s="42" t="s">
        <v>51</v>
      </c>
      <c r="D201" s="43" t="s">
        <v>262</v>
      </c>
      <c r="E201" s="43" t="s">
        <v>291</v>
      </c>
      <c r="F201" s="44" t="s">
        <v>11</v>
      </c>
      <c r="G201" s="45">
        <f t="shared" ref="G201:O202" si="53">G202</f>
        <v>3933.6</v>
      </c>
      <c r="H201" s="45">
        <f t="shared" si="53"/>
        <v>0</v>
      </c>
      <c r="I201" s="45">
        <f t="shared" si="53"/>
        <v>3933.6</v>
      </c>
      <c r="J201" s="46">
        <f t="shared" si="53"/>
        <v>0</v>
      </c>
      <c r="K201" s="45">
        <f t="shared" si="53"/>
        <v>0</v>
      </c>
      <c r="L201" s="46">
        <f t="shared" si="53"/>
        <v>0</v>
      </c>
      <c r="M201" s="45">
        <f t="shared" si="53"/>
        <v>3933.6</v>
      </c>
      <c r="N201" s="45">
        <f t="shared" si="53"/>
        <v>0</v>
      </c>
      <c r="O201" s="45">
        <f t="shared" si="53"/>
        <v>3933.6</v>
      </c>
    </row>
    <row r="202" spans="1:15" ht="47.25" x14ac:dyDescent="0.2">
      <c r="A202" s="40"/>
      <c r="B202" s="41" t="s">
        <v>292</v>
      </c>
      <c r="C202" s="42" t="s">
        <v>51</v>
      </c>
      <c r="D202" s="43" t="s">
        <v>262</v>
      </c>
      <c r="E202" s="43" t="s">
        <v>293</v>
      </c>
      <c r="F202" s="44" t="s">
        <v>11</v>
      </c>
      <c r="G202" s="45">
        <f t="shared" si="53"/>
        <v>3933.6</v>
      </c>
      <c r="H202" s="45">
        <f>H203+H204</f>
        <v>0</v>
      </c>
      <c r="I202" s="45">
        <f t="shared" si="53"/>
        <v>3933.6</v>
      </c>
      <c r="J202" s="46">
        <f t="shared" si="53"/>
        <v>0</v>
      </c>
      <c r="K202" s="45">
        <f>K203+K204</f>
        <v>0</v>
      </c>
      <c r="L202" s="46">
        <f t="shared" si="53"/>
        <v>0</v>
      </c>
      <c r="M202" s="45">
        <f t="shared" si="53"/>
        <v>3933.6</v>
      </c>
      <c r="N202" s="45">
        <f t="shared" si="53"/>
        <v>0</v>
      </c>
      <c r="O202" s="45">
        <f t="shared" si="53"/>
        <v>3933.6</v>
      </c>
    </row>
    <row r="203" spans="1:15" ht="31.5" x14ac:dyDescent="0.2">
      <c r="A203" s="40"/>
      <c r="B203" s="41" t="s">
        <v>134</v>
      </c>
      <c r="C203" s="42" t="s">
        <v>51</v>
      </c>
      <c r="D203" s="43" t="s">
        <v>262</v>
      </c>
      <c r="E203" s="43" t="s">
        <v>294</v>
      </c>
      <c r="F203" s="44" t="s">
        <v>11</v>
      </c>
      <c r="G203" s="45">
        <f>G204+G205</f>
        <v>3933.6</v>
      </c>
      <c r="H203" s="45"/>
      <c r="I203" s="45">
        <f>I204+I205</f>
        <v>3933.6</v>
      </c>
      <c r="J203" s="46">
        <f>J204+J205</f>
        <v>0</v>
      </c>
      <c r="K203" s="45"/>
      <c r="L203" s="46">
        <f>L204+L205</f>
        <v>0</v>
      </c>
      <c r="M203" s="45">
        <f>M204+M205</f>
        <v>3933.6</v>
      </c>
      <c r="N203" s="45">
        <f>N204+N205</f>
        <v>0</v>
      </c>
      <c r="O203" s="45">
        <f>O204+O205</f>
        <v>3933.6</v>
      </c>
    </row>
    <row r="204" spans="1:15" ht="78.75" x14ac:dyDescent="0.2">
      <c r="A204" s="40"/>
      <c r="B204" s="41" t="s">
        <v>61</v>
      </c>
      <c r="C204" s="42" t="s">
        <v>51</v>
      </c>
      <c r="D204" s="43" t="s">
        <v>262</v>
      </c>
      <c r="E204" s="43" t="s">
        <v>294</v>
      </c>
      <c r="F204" s="44" t="s">
        <v>62</v>
      </c>
      <c r="G204" s="45">
        <v>3788.1</v>
      </c>
      <c r="H204" s="45"/>
      <c r="I204" s="45">
        <v>3788.1</v>
      </c>
      <c r="J204" s="47">
        <v>0</v>
      </c>
      <c r="K204" s="45"/>
      <c r="L204" s="47">
        <v>0</v>
      </c>
      <c r="M204" s="45">
        <v>3788.1</v>
      </c>
      <c r="N204" s="45"/>
      <c r="O204" s="45">
        <v>3788.1</v>
      </c>
    </row>
    <row r="205" spans="1:15" ht="31.5" x14ac:dyDescent="0.2">
      <c r="A205" s="40"/>
      <c r="B205" s="41" t="s">
        <v>40</v>
      </c>
      <c r="C205" s="42" t="s">
        <v>51</v>
      </c>
      <c r="D205" s="43" t="s">
        <v>262</v>
      </c>
      <c r="E205" s="43" t="s">
        <v>294</v>
      </c>
      <c r="F205" s="44" t="s">
        <v>41</v>
      </c>
      <c r="G205" s="45">
        <v>145.5</v>
      </c>
      <c r="H205" s="45"/>
      <c r="I205" s="45">
        <v>145.5</v>
      </c>
      <c r="J205" s="47">
        <v>0</v>
      </c>
      <c r="K205" s="45"/>
      <c r="L205" s="47">
        <v>0</v>
      </c>
      <c r="M205" s="45">
        <v>145.5</v>
      </c>
      <c r="N205" s="45"/>
      <c r="O205" s="45">
        <v>145.5</v>
      </c>
    </row>
    <row r="206" spans="1:15" ht="63" x14ac:dyDescent="0.2">
      <c r="A206" s="40"/>
      <c r="B206" s="41" t="s">
        <v>295</v>
      </c>
      <c r="C206" s="42" t="s">
        <v>51</v>
      </c>
      <c r="D206" s="43" t="s">
        <v>262</v>
      </c>
      <c r="E206" s="43" t="s">
        <v>296</v>
      </c>
      <c r="F206" s="44" t="s">
        <v>11</v>
      </c>
      <c r="G206" s="45">
        <f t="shared" ref="G206:I207" si="54">G207</f>
        <v>200</v>
      </c>
      <c r="H206" s="45">
        <f t="shared" si="54"/>
        <v>0</v>
      </c>
      <c r="I206" s="45">
        <f t="shared" si="54"/>
        <v>200</v>
      </c>
      <c r="J206" s="46">
        <f t="shared" ref="J206:L208" si="55">J207</f>
        <v>0</v>
      </c>
      <c r="K206" s="45">
        <f>K207</f>
        <v>0</v>
      </c>
      <c r="L206" s="46">
        <f t="shared" si="55"/>
        <v>0</v>
      </c>
      <c r="M206" s="45">
        <f t="shared" ref="M206:O208" si="56">M207</f>
        <v>200</v>
      </c>
      <c r="N206" s="45">
        <f t="shared" si="56"/>
        <v>0</v>
      </c>
      <c r="O206" s="45">
        <f t="shared" si="56"/>
        <v>200</v>
      </c>
    </row>
    <row r="207" spans="1:15" ht="47.25" x14ac:dyDescent="0.2">
      <c r="A207" s="40"/>
      <c r="B207" s="41" t="s">
        <v>297</v>
      </c>
      <c r="C207" s="42" t="s">
        <v>51</v>
      </c>
      <c r="D207" s="43" t="s">
        <v>262</v>
      </c>
      <c r="E207" s="43" t="s">
        <v>298</v>
      </c>
      <c r="F207" s="44" t="s">
        <v>11</v>
      </c>
      <c r="G207" s="45">
        <f t="shared" si="54"/>
        <v>200</v>
      </c>
      <c r="H207" s="45">
        <f t="shared" si="54"/>
        <v>0</v>
      </c>
      <c r="I207" s="45">
        <f t="shared" si="54"/>
        <v>200</v>
      </c>
      <c r="J207" s="46">
        <f t="shared" si="55"/>
        <v>0</v>
      </c>
      <c r="K207" s="45">
        <f>K208</f>
        <v>0</v>
      </c>
      <c r="L207" s="46">
        <f t="shared" si="55"/>
        <v>0</v>
      </c>
      <c r="M207" s="45">
        <f t="shared" si="56"/>
        <v>200</v>
      </c>
      <c r="N207" s="45">
        <f t="shared" si="56"/>
        <v>0</v>
      </c>
      <c r="O207" s="45">
        <f t="shared" si="56"/>
        <v>200</v>
      </c>
    </row>
    <row r="208" spans="1:15" ht="31.5" x14ac:dyDescent="0.2">
      <c r="A208" s="40"/>
      <c r="B208" s="41" t="s">
        <v>299</v>
      </c>
      <c r="C208" s="42" t="s">
        <v>51</v>
      </c>
      <c r="D208" s="43" t="s">
        <v>262</v>
      </c>
      <c r="E208" s="43" t="s">
        <v>300</v>
      </c>
      <c r="F208" s="44" t="s">
        <v>11</v>
      </c>
      <c r="G208" s="45">
        <f>G209</f>
        <v>200</v>
      </c>
      <c r="H208" s="45"/>
      <c r="I208" s="45">
        <f>I209</f>
        <v>200</v>
      </c>
      <c r="J208" s="46">
        <f t="shared" si="55"/>
        <v>0</v>
      </c>
      <c r="K208" s="45"/>
      <c r="L208" s="46">
        <f t="shared" si="55"/>
        <v>0</v>
      </c>
      <c r="M208" s="45">
        <f t="shared" si="56"/>
        <v>200</v>
      </c>
      <c r="N208" s="45">
        <f t="shared" si="56"/>
        <v>0</v>
      </c>
      <c r="O208" s="45">
        <f t="shared" si="56"/>
        <v>200</v>
      </c>
    </row>
    <row r="209" spans="1:16" ht="31.5" x14ac:dyDescent="0.2">
      <c r="A209" s="40"/>
      <c r="B209" s="41" t="s">
        <v>40</v>
      </c>
      <c r="C209" s="42" t="s">
        <v>51</v>
      </c>
      <c r="D209" s="43" t="s">
        <v>262</v>
      </c>
      <c r="E209" s="43" t="s">
        <v>300</v>
      </c>
      <c r="F209" s="44" t="s">
        <v>41</v>
      </c>
      <c r="G209" s="45">
        <v>200</v>
      </c>
      <c r="H209" s="25"/>
      <c r="I209" s="45">
        <v>200</v>
      </c>
      <c r="J209" s="47"/>
      <c r="K209" s="25"/>
      <c r="L209" s="47"/>
      <c r="M209" s="45">
        <v>200</v>
      </c>
      <c r="N209" s="45"/>
      <c r="O209" s="45">
        <v>200</v>
      </c>
    </row>
    <row r="210" spans="1:16" ht="15.75" x14ac:dyDescent="0.2">
      <c r="A210" s="20" t="s">
        <v>301</v>
      </c>
      <c r="B210" s="21" t="s">
        <v>302</v>
      </c>
      <c r="C210" s="22" t="s">
        <v>51</v>
      </c>
      <c r="D210" s="23" t="s">
        <v>303</v>
      </c>
      <c r="E210" s="23" t="s">
        <v>11</v>
      </c>
      <c r="F210" s="24" t="s">
        <v>11</v>
      </c>
      <c r="G210" s="25">
        <f>G211+G219+G243+G272</f>
        <v>174453.4</v>
      </c>
      <c r="H210" s="38">
        <f>H211</f>
        <v>0</v>
      </c>
      <c r="I210" s="25">
        <f>I211+I219+I243+I272</f>
        <v>174453.4</v>
      </c>
      <c r="J210" s="26">
        <f>J211+J219+J243+J272</f>
        <v>2372009.3000000003</v>
      </c>
      <c r="K210" s="38">
        <f>K211</f>
        <v>0</v>
      </c>
      <c r="L210" s="26">
        <f>L211+L219+L243+L272</f>
        <v>2372009.3000000003</v>
      </c>
      <c r="M210" s="25">
        <f>M211+M219+M243+M272</f>
        <v>2546462.7000000002</v>
      </c>
      <c r="N210" s="25">
        <f>N211+N219+N243+N272</f>
        <v>0</v>
      </c>
      <c r="O210" s="25">
        <f>O211+O219+O243+O272</f>
        <v>2546462.7000000002</v>
      </c>
      <c r="P210" s="17"/>
    </row>
    <row r="211" spans="1:16" ht="15.75" x14ac:dyDescent="0.2">
      <c r="A211" s="33" t="s">
        <v>304</v>
      </c>
      <c r="B211" s="34" t="s">
        <v>305</v>
      </c>
      <c r="C211" s="35" t="s">
        <v>51</v>
      </c>
      <c r="D211" s="36" t="s">
        <v>306</v>
      </c>
      <c r="E211" s="36" t="s">
        <v>11</v>
      </c>
      <c r="F211" s="37" t="s">
        <v>11</v>
      </c>
      <c r="G211" s="38">
        <f>G212</f>
        <v>4743.5</v>
      </c>
      <c r="H211" s="45">
        <f>H212</f>
        <v>0</v>
      </c>
      <c r="I211" s="38">
        <f>I212</f>
        <v>4743.5</v>
      </c>
      <c r="J211" s="39">
        <f t="shared" ref="J211:L213" si="57">J212</f>
        <v>0</v>
      </c>
      <c r="K211" s="45">
        <f>K212</f>
        <v>0</v>
      </c>
      <c r="L211" s="39">
        <f t="shared" si="57"/>
        <v>0</v>
      </c>
      <c r="M211" s="38">
        <f t="shared" ref="M211:O213" si="58">M212</f>
        <v>4743.5</v>
      </c>
      <c r="N211" s="38">
        <f t="shared" si="58"/>
        <v>0</v>
      </c>
      <c r="O211" s="38">
        <f t="shared" si="58"/>
        <v>4743.5</v>
      </c>
    </row>
    <row r="212" spans="1:16" ht="31.5" x14ac:dyDescent="0.2">
      <c r="A212" s="40"/>
      <c r="B212" s="41" t="s">
        <v>245</v>
      </c>
      <c r="C212" s="42" t="s">
        <v>51</v>
      </c>
      <c r="D212" s="43" t="s">
        <v>306</v>
      </c>
      <c r="E212" s="43" t="s">
        <v>246</v>
      </c>
      <c r="F212" s="44" t="s">
        <v>11</v>
      </c>
      <c r="G212" s="45">
        <f>G213</f>
        <v>4743.5</v>
      </c>
      <c r="H212" s="45">
        <f>H213</f>
        <v>0</v>
      </c>
      <c r="I212" s="45">
        <f>I213</f>
        <v>4743.5</v>
      </c>
      <c r="J212" s="46">
        <f t="shared" si="57"/>
        <v>0</v>
      </c>
      <c r="K212" s="45">
        <f>K213</f>
        <v>0</v>
      </c>
      <c r="L212" s="46">
        <f t="shared" si="57"/>
        <v>0</v>
      </c>
      <c r="M212" s="45">
        <f t="shared" si="58"/>
        <v>4743.5</v>
      </c>
      <c r="N212" s="45">
        <f t="shared" si="58"/>
        <v>0</v>
      </c>
      <c r="O212" s="45">
        <f t="shared" si="58"/>
        <v>4743.5</v>
      </c>
    </row>
    <row r="213" spans="1:16" ht="31.5" x14ac:dyDescent="0.2">
      <c r="A213" s="40"/>
      <c r="B213" s="41" t="s">
        <v>311</v>
      </c>
      <c r="C213" s="42" t="s">
        <v>51</v>
      </c>
      <c r="D213" s="43" t="s">
        <v>306</v>
      </c>
      <c r="E213" s="43" t="s">
        <v>312</v>
      </c>
      <c r="F213" s="44" t="s">
        <v>11</v>
      </c>
      <c r="G213" s="45">
        <f>G214</f>
        <v>4743.5</v>
      </c>
      <c r="H213" s="45">
        <f>H214+H216</f>
        <v>0</v>
      </c>
      <c r="I213" s="45">
        <f>I214</f>
        <v>4743.5</v>
      </c>
      <c r="J213" s="46">
        <f t="shared" si="57"/>
        <v>0</v>
      </c>
      <c r="K213" s="45">
        <f>K214+K216</f>
        <v>0</v>
      </c>
      <c r="L213" s="46">
        <f t="shared" si="57"/>
        <v>0</v>
      </c>
      <c r="M213" s="45">
        <f t="shared" si="58"/>
        <v>4743.5</v>
      </c>
      <c r="N213" s="45">
        <f t="shared" si="58"/>
        <v>0</v>
      </c>
      <c r="O213" s="45">
        <f t="shared" si="58"/>
        <v>4743.5</v>
      </c>
    </row>
    <row r="214" spans="1:16" ht="31.5" x14ac:dyDescent="0.2">
      <c r="A214" s="40"/>
      <c r="B214" s="41" t="s">
        <v>313</v>
      </c>
      <c r="C214" s="42" t="s">
        <v>51</v>
      </c>
      <c r="D214" s="43" t="s">
        <v>306</v>
      </c>
      <c r="E214" s="43" t="s">
        <v>314</v>
      </c>
      <c r="F214" s="44" t="s">
        <v>11</v>
      </c>
      <c r="G214" s="45">
        <f>G215+G217</f>
        <v>4743.5</v>
      </c>
      <c r="H214" s="45">
        <f>H215</f>
        <v>0</v>
      </c>
      <c r="I214" s="45">
        <f>I215+I217</f>
        <v>4743.5</v>
      </c>
      <c r="J214" s="46">
        <f>J215+J217</f>
        <v>0</v>
      </c>
      <c r="K214" s="45">
        <f>K215</f>
        <v>0</v>
      </c>
      <c r="L214" s="46">
        <f>L215+L217</f>
        <v>0</v>
      </c>
      <c r="M214" s="45">
        <f>M215+M217</f>
        <v>4743.5</v>
      </c>
      <c r="N214" s="45">
        <f>N215+N217</f>
        <v>0</v>
      </c>
      <c r="O214" s="45">
        <f>O215+O217</f>
        <v>4743.5</v>
      </c>
    </row>
    <row r="215" spans="1:16" ht="47.25" x14ac:dyDescent="0.2">
      <c r="A215" s="40"/>
      <c r="B215" s="41" t="s">
        <v>315</v>
      </c>
      <c r="C215" s="42" t="s">
        <v>51</v>
      </c>
      <c r="D215" s="43" t="s">
        <v>306</v>
      </c>
      <c r="E215" s="43" t="s">
        <v>316</v>
      </c>
      <c r="F215" s="44" t="s">
        <v>11</v>
      </c>
      <c r="G215" s="45">
        <f>G216</f>
        <v>2400</v>
      </c>
      <c r="H215" s="45"/>
      <c r="I215" s="45">
        <f>I216</f>
        <v>2400</v>
      </c>
      <c r="J215" s="46">
        <f>J216</f>
        <v>0</v>
      </c>
      <c r="K215" s="45"/>
      <c r="L215" s="46">
        <f>L216</f>
        <v>0</v>
      </c>
      <c r="M215" s="45">
        <f>M216</f>
        <v>2400</v>
      </c>
      <c r="N215" s="45">
        <f>N216</f>
        <v>0</v>
      </c>
      <c r="O215" s="45">
        <f>O216</f>
        <v>2400</v>
      </c>
    </row>
    <row r="216" spans="1:16" ht="31.5" x14ac:dyDescent="0.2">
      <c r="A216" s="40"/>
      <c r="B216" s="41" t="s">
        <v>40</v>
      </c>
      <c r="C216" s="42" t="s">
        <v>51</v>
      </c>
      <c r="D216" s="43" t="s">
        <v>306</v>
      </c>
      <c r="E216" s="43" t="s">
        <v>316</v>
      </c>
      <c r="F216" s="44" t="s">
        <v>41</v>
      </c>
      <c r="G216" s="45">
        <v>2400</v>
      </c>
      <c r="H216" s="45"/>
      <c r="I216" s="45">
        <v>2400</v>
      </c>
      <c r="J216" s="47"/>
      <c r="K216" s="45"/>
      <c r="L216" s="47"/>
      <c r="M216" s="45">
        <v>2400</v>
      </c>
      <c r="N216" s="45"/>
      <c r="O216" s="45">
        <v>2400</v>
      </c>
    </row>
    <row r="217" spans="1:16" ht="47.25" x14ac:dyDescent="0.2">
      <c r="A217" s="40"/>
      <c r="B217" s="41" t="s">
        <v>317</v>
      </c>
      <c r="C217" s="42" t="s">
        <v>51</v>
      </c>
      <c r="D217" s="43" t="s">
        <v>306</v>
      </c>
      <c r="E217" s="43" t="s">
        <v>318</v>
      </c>
      <c r="F217" s="44" t="s">
        <v>11</v>
      </c>
      <c r="G217" s="45">
        <f>G218</f>
        <v>2343.5</v>
      </c>
      <c r="H217" s="48"/>
      <c r="I217" s="45">
        <f>I218</f>
        <v>2343.5</v>
      </c>
      <c r="J217" s="46">
        <f>J218</f>
        <v>0</v>
      </c>
      <c r="K217" s="48"/>
      <c r="L217" s="46">
        <f>L218</f>
        <v>0</v>
      </c>
      <c r="M217" s="45">
        <f>M218</f>
        <v>2343.5</v>
      </c>
      <c r="N217" s="45">
        <f>N218</f>
        <v>0</v>
      </c>
      <c r="O217" s="45">
        <f>O218</f>
        <v>2343.5</v>
      </c>
    </row>
    <row r="218" spans="1:16" ht="31.5" x14ac:dyDescent="0.2">
      <c r="A218" s="40"/>
      <c r="B218" s="41" t="s">
        <v>40</v>
      </c>
      <c r="C218" s="42" t="s">
        <v>51</v>
      </c>
      <c r="D218" s="43" t="s">
        <v>306</v>
      </c>
      <c r="E218" s="43" t="s">
        <v>318</v>
      </c>
      <c r="F218" s="44" t="s">
        <v>41</v>
      </c>
      <c r="G218" s="48">
        <f>2843.5-500</f>
        <v>2343.5</v>
      </c>
      <c r="H218" s="38"/>
      <c r="I218" s="48">
        <f>2843.5-500</f>
        <v>2343.5</v>
      </c>
      <c r="J218" s="47"/>
      <c r="K218" s="38"/>
      <c r="L218" s="47"/>
      <c r="M218" s="48">
        <f>2843.5-500</f>
        <v>2343.5</v>
      </c>
      <c r="N218" s="48"/>
      <c r="O218" s="48">
        <f>2843.5-500</f>
        <v>2343.5</v>
      </c>
    </row>
    <row r="219" spans="1:16" ht="15.75" x14ac:dyDescent="0.2">
      <c r="A219" s="33" t="s">
        <v>319</v>
      </c>
      <c r="B219" s="34" t="s">
        <v>320</v>
      </c>
      <c r="C219" s="35" t="s">
        <v>51</v>
      </c>
      <c r="D219" s="36" t="s">
        <v>321</v>
      </c>
      <c r="E219" s="36" t="s">
        <v>11</v>
      </c>
      <c r="F219" s="37" t="s">
        <v>11</v>
      </c>
      <c r="G219" s="38">
        <f>G220+G231</f>
        <v>29351.5</v>
      </c>
      <c r="H219" s="45">
        <f t="shared" ref="G219:O221" si="59">H220</f>
        <v>0</v>
      </c>
      <c r="I219" s="38">
        <f>I220+I231</f>
        <v>29351.5</v>
      </c>
      <c r="J219" s="39">
        <f>J220+J231</f>
        <v>2372009.3000000003</v>
      </c>
      <c r="K219" s="45">
        <f t="shared" si="59"/>
        <v>0</v>
      </c>
      <c r="L219" s="39">
        <f>L220+L231</f>
        <v>2372009.3000000003</v>
      </c>
      <c r="M219" s="38">
        <f>M220+M231</f>
        <v>2401360.8000000003</v>
      </c>
      <c r="N219" s="38">
        <f>N220+N231</f>
        <v>0</v>
      </c>
      <c r="O219" s="38">
        <f>O220+O231</f>
        <v>2401360.8000000003</v>
      </c>
      <c r="P219" s="15"/>
    </row>
    <row r="220" spans="1:16" ht="31.5" x14ac:dyDescent="0.2">
      <c r="A220" s="40"/>
      <c r="B220" s="41" t="s">
        <v>245</v>
      </c>
      <c r="C220" s="42" t="s">
        <v>51</v>
      </c>
      <c r="D220" s="43" t="s">
        <v>321</v>
      </c>
      <c r="E220" s="43" t="s">
        <v>246</v>
      </c>
      <c r="F220" s="44" t="s">
        <v>11</v>
      </c>
      <c r="G220" s="45">
        <f t="shared" si="59"/>
        <v>14186.4</v>
      </c>
      <c r="H220" s="45">
        <f t="shared" si="59"/>
        <v>0</v>
      </c>
      <c r="I220" s="45">
        <f t="shared" si="59"/>
        <v>14186.4</v>
      </c>
      <c r="J220" s="46">
        <f t="shared" si="59"/>
        <v>2299964.3000000003</v>
      </c>
      <c r="K220" s="45">
        <f t="shared" si="59"/>
        <v>0</v>
      </c>
      <c r="L220" s="46">
        <f t="shared" si="59"/>
        <v>2299964.3000000003</v>
      </c>
      <c r="M220" s="45">
        <f t="shared" si="59"/>
        <v>2314150.7000000002</v>
      </c>
      <c r="N220" s="45">
        <f t="shared" si="59"/>
        <v>0</v>
      </c>
      <c r="O220" s="45">
        <f t="shared" si="59"/>
        <v>2314150.7000000002</v>
      </c>
      <c r="P220" s="16"/>
    </row>
    <row r="221" spans="1:16" ht="31.5" x14ac:dyDescent="0.2">
      <c r="A221" s="40"/>
      <c r="B221" s="41" t="s">
        <v>322</v>
      </c>
      <c r="C221" s="42" t="s">
        <v>51</v>
      </c>
      <c r="D221" s="43" t="s">
        <v>321</v>
      </c>
      <c r="E221" s="43" t="s">
        <v>323</v>
      </c>
      <c r="F221" s="44" t="s">
        <v>11</v>
      </c>
      <c r="G221" s="45">
        <f t="shared" si="59"/>
        <v>14186.4</v>
      </c>
      <c r="H221" s="45"/>
      <c r="I221" s="45">
        <f t="shared" si="59"/>
        <v>14186.4</v>
      </c>
      <c r="J221" s="46">
        <f t="shared" si="59"/>
        <v>2299964.3000000003</v>
      </c>
      <c r="K221" s="45"/>
      <c r="L221" s="46">
        <f t="shared" si="59"/>
        <v>2299964.3000000003</v>
      </c>
      <c r="M221" s="45">
        <f t="shared" si="59"/>
        <v>2314150.7000000002</v>
      </c>
      <c r="N221" s="45">
        <f t="shared" si="59"/>
        <v>0</v>
      </c>
      <c r="O221" s="45">
        <f t="shared" si="59"/>
        <v>2314150.7000000002</v>
      </c>
      <c r="P221" s="16"/>
    </row>
    <row r="222" spans="1:16" ht="47.25" x14ac:dyDescent="0.2">
      <c r="A222" s="40"/>
      <c r="B222" s="41" t="s">
        <v>324</v>
      </c>
      <c r="C222" s="42" t="s">
        <v>51</v>
      </c>
      <c r="D222" s="43" t="s">
        <v>321</v>
      </c>
      <c r="E222" s="43" t="s">
        <v>325</v>
      </c>
      <c r="F222" s="44" t="s">
        <v>11</v>
      </c>
      <c r="G222" s="45">
        <f>G223+G225+G227+G229</f>
        <v>14186.4</v>
      </c>
      <c r="H222" s="45">
        <f>H223</f>
        <v>0</v>
      </c>
      <c r="I222" s="45">
        <f>I223+I225+I227+I229</f>
        <v>14186.4</v>
      </c>
      <c r="J222" s="46">
        <f>J223+J225+J227+J229</f>
        <v>2299964.3000000003</v>
      </c>
      <c r="K222" s="45">
        <f>K223</f>
        <v>0</v>
      </c>
      <c r="L222" s="46">
        <f>L223+L225+L227+L229</f>
        <v>2299964.3000000003</v>
      </c>
      <c r="M222" s="45">
        <f>M223+M225+M227+M229</f>
        <v>2314150.7000000002</v>
      </c>
      <c r="N222" s="45">
        <f>N223+N225+N227+N229</f>
        <v>0</v>
      </c>
      <c r="O222" s="45">
        <f>O223+O225+O227+O229</f>
        <v>2314150.7000000002</v>
      </c>
      <c r="P222" s="16"/>
    </row>
    <row r="223" spans="1:16" ht="15.75" x14ac:dyDescent="0.2">
      <c r="A223" s="40"/>
      <c r="B223" s="41" t="s">
        <v>326</v>
      </c>
      <c r="C223" s="42" t="s">
        <v>51</v>
      </c>
      <c r="D223" s="43" t="s">
        <v>321</v>
      </c>
      <c r="E223" s="43" t="s">
        <v>327</v>
      </c>
      <c r="F223" s="44" t="s">
        <v>11</v>
      </c>
      <c r="G223" s="45">
        <f>G224</f>
        <v>1530</v>
      </c>
      <c r="H223" s="45"/>
      <c r="I223" s="45">
        <f>I224</f>
        <v>1530</v>
      </c>
      <c r="J223" s="46">
        <f>J224</f>
        <v>0</v>
      </c>
      <c r="K223" s="45"/>
      <c r="L223" s="46">
        <f>L224</f>
        <v>0</v>
      </c>
      <c r="M223" s="45">
        <f>M224</f>
        <v>1530</v>
      </c>
      <c r="N223" s="45">
        <f>N224</f>
        <v>0</v>
      </c>
      <c r="O223" s="45">
        <f>O224</f>
        <v>1530</v>
      </c>
    </row>
    <row r="224" spans="1:16" ht="31.5" x14ac:dyDescent="0.2">
      <c r="A224" s="40"/>
      <c r="B224" s="41" t="s">
        <v>40</v>
      </c>
      <c r="C224" s="42" t="s">
        <v>51</v>
      </c>
      <c r="D224" s="43" t="s">
        <v>321</v>
      </c>
      <c r="E224" s="43" t="s">
        <v>327</v>
      </c>
      <c r="F224" s="44" t="s">
        <v>41</v>
      </c>
      <c r="G224" s="45">
        <v>1530</v>
      </c>
      <c r="H224" s="45"/>
      <c r="I224" s="45">
        <v>1530</v>
      </c>
      <c r="J224" s="47">
        <v>0</v>
      </c>
      <c r="K224" s="45"/>
      <c r="L224" s="47">
        <v>0</v>
      </c>
      <c r="M224" s="45">
        <v>1530</v>
      </c>
      <c r="N224" s="45"/>
      <c r="O224" s="45">
        <v>1530</v>
      </c>
    </row>
    <row r="225" spans="1:16" ht="31.5" x14ac:dyDescent="0.2">
      <c r="A225" s="40"/>
      <c r="B225" s="41" t="s">
        <v>328</v>
      </c>
      <c r="C225" s="42" t="s">
        <v>51</v>
      </c>
      <c r="D225" s="43" t="s">
        <v>321</v>
      </c>
      <c r="E225" s="43" t="s">
        <v>329</v>
      </c>
      <c r="F225" s="44" t="s">
        <v>11</v>
      </c>
      <c r="G225" s="45">
        <f>G226</f>
        <v>11457.5</v>
      </c>
      <c r="H225" s="45"/>
      <c r="I225" s="45">
        <f>I226</f>
        <v>11457.5</v>
      </c>
      <c r="J225" s="46">
        <f>J226</f>
        <v>2280029.1</v>
      </c>
      <c r="K225" s="45"/>
      <c r="L225" s="46">
        <f>L226</f>
        <v>2280029.1</v>
      </c>
      <c r="M225" s="45">
        <f>M226</f>
        <v>2291486.6</v>
      </c>
      <c r="N225" s="45">
        <f>N226</f>
        <v>0</v>
      </c>
      <c r="O225" s="45">
        <f>O226</f>
        <v>2291486.6</v>
      </c>
    </row>
    <row r="226" spans="1:16" ht="31.5" x14ac:dyDescent="0.2">
      <c r="A226" s="40"/>
      <c r="B226" s="41" t="s">
        <v>225</v>
      </c>
      <c r="C226" s="42" t="s">
        <v>51</v>
      </c>
      <c r="D226" s="43" t="s">
        <v>321</v>
      </c>
      <c r="E226" s="43" t="s">
        <v>329</v>
      </c>
      <c r="F226" s="44" t="s">
        <v>226</v>
      </c>
      <c r="G226" s="45">
        <v>11457.5</v>
      </c>
      <c r="H226" s="45"/>
      <c r="I226" s="45">
        <v>11457.5</v>
      </c>
      <c r="J226" s="47">
        <v>2280029.1</v>
      </c>
      <c r="K226" s="45"/>
      <c r="L226" s="47">
        <v>2280029.1</v>
      </c>
      <c r="M226" s="45">
        <f>11457.5+J226</f>
        <v>2291486.6</v>
      </c>
      <c r="N226" s="45"/>
      <c r="O226" s="45">
        <f>11457.5+L226</f>
        <v>2291486.6</v>
      </c>
    </row>
    <row r="227" spans="1:16" ht="15.75" x14ac:dyDescent="0.2">
      <c r="A227" s="40"/>
      <c r="B227" s="41" t="s">
        <v>330</v>
      </c>
      <c r="C227" s="42" t="s">
        <v>51</v>
      </c>
      <c r="D227" s="43" t="s">
        <v>321</v>
      </c>
      <c r="E227" s="43" t="s">
        <v>331</v>
      </c>
      <c r="F227" s="44" t="s">
        <v>11</v>
      </c>
      <c r="G227" s="45">
        <f>G228</f>
        <v>0</v>
      </c>
      <c r="H227" s="45">
        <v>0</v>
      </c>
      <c r="I227" s="45">
        <f>I228</f>
        <v>0</v>
      </c>
      <c r="J227" s="46">
        <f>J228</f>
        <v>7335.5</v>
      </c>
      <c r="K227" s="45">
        <v>0</v>
      </c>
      <c r="L227" s="46">
        <f>L228</f>
        <v>7335.5</v>
      </c>
      <c r="M227" s="45">
        <f>M228</f>
        <v>7335.5</v>
      </c>
      <c r="N227" s="45">
        <f>N228</f>
        <v>0</v>
      </c>
      <c r="O227" s="45">
        <f>O228</f>
        <v>7335.5</v>
      </c>
    </row>
    <row r="228" spans="1:16" ht="31.5" x14ac:dyDescent="0.2">
      <c r="A228" s="40"/>
      <c r="B228" s="41" t="s">
        <v>225</v>
      </c>
      <c r="C228" s="42" t="s">
        <v>51</v>
      </c>
      <c r="D228" s="43" t="s">
        <v>321</v>
      </c>
      <c r="E228" s="43" t="s">
        <v>331</v>
      </c>
      <c r="F228" s="44" t="s">
        <v>226</v>
      </c>
      <c r="G228" s="45">
        <v>0</v>
      </c>
      <c r="H228" s="45"/>
      <c r="I228" s="45">
        <v>0</v>
      </c>
      <c r="J228" s="47">
        <f>14200-6864.5</f>
        <v>7335.5</v>
      </c>
      <c r="K228" s="45"/>
      <c r="L228" s="47">
        <f>14200-6864.5</f>
        <v>7335.5</v>
      </c>
      <c r="M228" s="45">
        <f>SUM(J228)</f>
        <v>7335.5</v>
      </c>
      <c r="N228" s="45">
        <v>0</v>
      </c>
      <c r="O228" s="45">
        <f>SUM(L228)</f>
        <v>7335.5</v>
      </c>
    </row>
    <row r="229" spans="1:16" ht="15.75" x14ac:dyDescent="0.2">
      <c r="A229" s="40"/>
      <c r="B229" s="41" t="s">
        <v>332</v>
      </c>
      <c r="C229" s="42" t="s">
        <v>51</v>
      </c>
      <c r="D229" s="43" t="s">
        <v>321</v>
      </c>
      <c r="E229" s="43" t="s">
        <v>333</v>
      </c>
      <c r="F229" s="44" t="s">
        <v>11</v>
      </c>
      <c r="G229" s="45">
        <f>G230</f>
        <v>1198.9000000000001</v>
      </c>
      <c r="H229" s="45"/>
      <c r="I229" s="45">
        <f>I230</f>
        <v>1198.9000000000001</v>
      </c>
      <c r="J229" s="46">
        <f>J230</f>
        <v>12599.699999999999</v>
      </c>
      <c r="K229" s="45"/>
      <c r="L229" s="46">
        <f>L230</f>
        <v>12599.699999999999</v>
      </c>
      <c r="M229" s="45">
        <f>M230</f>
        <v>13798.599999999999</v>
      </c>
      <c r="N229" s="45">
        <f>N230</f>
        <v>0</v>
      </c>
      <c r="O229" s="45">
        <f>O230</f>
        <v>13798.599999999999</v>
      </c>
    </row>
    <row r="230" spans="1:16" ht="31.5" x14ac:dyDescent="0.2">
      <c r="A230" s="40"/>
      <c r="B230" s="41" t="s">
        <v>225</v>
      </c>
      <c r="C230" s="42" t="s">
        <v>51</v>
      </c>
      <c r="D230" s="43" t="s">
        <v>321</v>
      </c>
      <c r="E230" s="43" t="s">
        <v>333</v>
      </c>
      <c r="F230" s="44" t="s">
        <v>226</v>
      </c>
      <c r="G230" s="45">
        <v>1198.9000000000001</v>
      </c>
      <c r="H230" s="45"/>
      <c r="I230" s="45">
        <v>1198.9000000000001</v>
      </c>
      <c r="J230" s="47">
        <f>11689.4+910.3</f>
        <v>12599.699999999999</v>
      </c>
      <c r="K230" s="45"/>
      <c r="L230" s="47">
        <f>11689.4+910.3</f>
        <v>12599.699999999999</v>
      </c>
      <c r="M230" s="45">
        <f>1198.9+J230</f>
        <v>13798.599999999999</v>
      </c>
      <c r="N230" s="45"/>
      <c r="O230" s="45">
        <f>1198.9+L230</f>
        <v>13798.599999999999</v>
      </c>
    </row>
    <row r="231" spans="1:16" ht="31.5" x14ac:dyDescent="0.2">
      <c r="A231" s="40"/>
      <c r="B231" s="41" t="s">
        <v>339</v>
      </c>
      <c r="C231" s="42" t="s">
        <v>51</v>
      </c>
      <c r="D231" s="43" t="s">
        <v>321</v>
      </c>
      <c r="E231" s="43" t="s">
        <v>340</v>
      </c>
      <c r="F231" s="44" t="s">
        <v>11</v>
      </c>
      <c r="G231" s="45">
        <f>G232+G239</f>
        <v>15165.1</v>
      </c>
      <c r="H231" s="45">
        <f t="shared" ref="G231:O232" si="60">H232</f>
        <v>0</v>
      </c>
      <c r="I231" s="45">
        <f>I232+I239</f>
        <v>15165.1</v>
      </c>
      <c r="J231" s="46">
        <f t="shared" si="60"/>
        <v>72045</v>
      </c>
      <c r="K231" s="45">
        <f t="shared" si="60"/>
        <v>0</v>
      </c>
      <c r="L231" s="46">
        <f t="shared" si="60"/>
        <v>72045</v>
      </c>
      <c r="M231" s="45">
        <f>M232+M239</f>
        <v>87210.1</v>
      </c>
      <c r="N231" s="45">
        <f>N232+N239</f>
        <v>0</v>
      </c>
      <c r="O231" s="45">
        <f>O232+O239</f>
        <v>87210.1</v>
      </c>
      <c r="P231" s="16"/>
    </row>
    <row r="232" spans="1:16" ht="15.75" x14ac:dyDescent="0.2">
      <c r="A232" s="40"/>
      <c r="B232" s="41" t="s">
        <v>341</v>
      </c>
      <c r="C232" s="42" t="s">
        <v>51</v>
      </c>
      <c r="D232" s="43" t="s">
        <v>321</v>
      </c>
      <c r="E232" s="43" t="s">
        <v>342</v>
      </c>
      <c r="F232" s="44" t="s">
        <v>11</v>
      </c>
      <c r="G232" s="45">
        <f t="shared" si="60"/>
        <v>13201.1</v>
      </c>
      <c r="H232" s="45">
        <f>H233+H236</f>
        <v>0</v>
      </c>
      <c r="I232" s="45">
        <f t="shared" si="60"/>
        <v>13201.1</v>
      </c>
      <c r="J232" s="46">
        <f t="shared" si="60"/>
        <v>72045</v>
      </c>
      <c r="K232" s="45">
        <f>K233+K236</f>
        <v>0</v>
      </c>
      <c r="L232" s="46">
        <f t="shared" si="60"/>
        <v>72045</v>
      </c>
      <c r="M232" s="45">
        <f t="shared" si="60"/>
        <v>85246.1</v>
      </c>
      <c r="N232" s="45">
        <f t="shared" si="60"/>
        <v>0</v>
      </c>
      <c r="O232" s="45">
        <f t="shared" si="60"/>
        <v>85246.1</v>
      </c>
      <c r="P232" s="16"/>
    </row>
    <row r="233" spans="1:16" ht="47.25" x14ac:dyDescent="0.2">
      <c r="A233" s="40"/>
      <c r="B233" s="41" t="s">
        <v>343</v>
      </c>
      <c r="C233" s="42" t="s">
        <v>51</v>
      </c>
      <c r="D233" s="43" t="s">
        <v>321</v>
      </c>
      <c r="E233" s="43" t="s">
        <v>344</v>
      </c>
      <c r="F233" s="44" t="s">
        <v>11</v>
      </c>
      <c r="G233" s="45">
        <f>G234+G237</f>
        <v>13201.1</v>
      </c>
      <c r="H233" s="45">
        <f>H234+H235</f>
        <v>0</v>
      </c>
      <c r="I233" s="45">
        <f>I234+I237</f>
        <v>13201.1</v>
      </c>
      <c r="J233" s="46">
        <f>J234+J237</f>
        <v>72045</v>
      </c>
      <c r="K233" s="45">
        <f>K234+K235</f>
        <v>0</v>
      </c>
      <c r="L233" s="46">
        <f>L234+L237</f>
        <v>72045</v>
      </c>
      <c r="M233" s="45">
        <f>M234+M237</f>
        <v>85246.1</v>
      </c>
      <c r="N233" s="45">
        <f>N234+N237</f>
        <v>0</v>
      </c>
      <c r="O233" s="45">
        <f>O234+O237</f>
        <v>85246.1</v>
      </c>
      <c r="P233" s="16"/>
    </row>
    <row r="234" spans="1:16" ht="47.25" x14ac:dyDescent="0.2">
      <c r="A234" s="40"/>
      <c r="B234" s="41" t="s">
        <v>345</v>
      </c>
      <c r="C234" s="42" t="s">
        <v>51</v>
      </c>
      <c r="D234" s="43" t="s">
        <v>321</v>
      </c>
      <c r="E234" s="43" t="s">
        <v>346</v>
      </c>
      <c r="F234" s="44" t="s">
        <v>11</v>
      </c>
      <c r="G234" s="45">
        <f>G235+G236</f>
        <v>600</v>
      </c>
      <c r="H234" s="45"/>
      <c r="I234" s="45">
        <f>I235+I236</f>
        <v>600</v>
      </c>
      <c r="J234" s="46">
        <f>J235+J236</f>
        <v>0</v>
      </c>
      <c r="K234" s="45"/>
      <c r="L234" s="46">
        <f>L235+L236</f>
        <v>0</v>
      </c>
      <c r="M234" s="45">
        <f>M235+M236</f>
        <v>600</v>
      </c>
      <c r="N234" s="45">
        <f>N235+N236</f>
        <v>0</v>
      </c>
      <c r="O234" s="45">
        <f>O235+O236</f>
        <v>600</v>
      </c>
    </row>
    <row r="235" spans="1:16" ht="31.5" x14ac:dyDescent="0.2">
      <c r="A235" s="40"/>
      <c r="B235" s="41" t="s">
        <v>40</v>
      </c>
      <c r="C235" s="42" t="s">
        <v>51</v>
      </c>
      <c r="D235" s="43" t="s">
        <v>321</v>
      </c>
      <c r="E235" s="43" t="s">
        <v>346</v>
      </c>
      <c r="F235" s="44" t="s">
        <v>41</v>
      </c>
      <c r="G235" s="45">
        <v>600</v>
      </c>
      <c r="H235" s="60">
        <f>2803.6+840-1820-983.6-840</f>
        <v>0</v>
      </c>
      <c r="I235" s="45">
        <v>600</v>
      </c>
      <c r="J235" s="47">
        <v>0</v>
      </c>
      <c r="K235" s="60">
        <f>2803.6+840-1820-983.6-840</f>
        <v>0</v>
      </c>
      <c r="L235" s="47">
        <v>0</v>
      </c>
      <c r="M235" s="45">
        <v>600</v>
      </c>
      <c r="N235" s="45"/>
      <c r="O235" s="45">
        <v>600</v>
      </c>
    </row>
    <row r="236" spans="1:16" ht="31.5" x14ac:dyDescent="0.2">
      <c r="A236" s="40"/>
      <c r="B236" s="41" t="s">
        <v>225</v>
      </c>
      <c r="C236" s="42" t="s">
        <v>51</v>
      </c>
      <c r="D236" s="43" t="s">
        <v>321</v>
      </c>
      <c r="E236" s="43" t="s">
        <v>346</v>
      </c>
      <c r="F236" s="44" t="s">
        <v>226</v>
      </c>
      <c r="G236" s="60">
        <f>2803.6+840-1820-983.6-840</f>
        <v>0</v>
      </c>
      <c r="H236" s="45"/>
      <c r="I236" s="60">
        <f>2803.6+840-1820-983.6-840</f>
        <v>0</v>
      </c>
      <c r="J236" s="47">
        <v>0</v>
      </c>
      <c r="K236" s="45"/>
      <c r="L236" s="47">
        <v>0</v>
      </c>
      <c r="M236" s="60">
        <f>2803.6+840-1820-983.6-840</f>
        <v>0</v>
      </c>
      <c r="N236" s="60">
        <f>2803.6+840-1820-983.6-840</f>
        <v>0</v>
      </c>
      <c r="O236" s="60">
        <f>2803.6+840-1820-983.6-840</f>
        <v>0</v>
      </c>
    </row>
    <row r="237" spans="1:16" ht="15.75" x14ac:dyDescent="0.2">
      <c r="A237" s="40"/>
      <c r="B237" s="41" t="s">
        <v>347</v>
      </c>
      <c r="C237" s="42" t="s">
        <v>51</v>
      </c>
      <c r="D237" s="43" t="s">
        <v>321</v>
      </c>
      <c r="E237" s="43" t="s">
        <v>348</v>
      </c>
      <c r="F237" s="44" t="s">
        <v>11</v>
      </c>
      <c r="G237" s="45">
        <f>G238</f>
        <v>12601.1</v>
      </c>
      <c r="H237" s="45"/>
      <c r="I237" s="45">
        <f>I238</f>
        <v>12601.1</v>
      </c>
      <c r="J237" s="46">
        <f>J238</f>
        <v>72045</v>
      </c>
      <c r="K237" s="45"/>
      <c r="L237" s="46">
        <f>L238</f>
        <v>72045</v>
      </c>
      <c r="M237" s="45">
        <f>M238</f>
        <v>84646.1</v>
      </c>
      <c r="N237" s="45">
        <f>N238</f>
        <v>0</v>
      </c>
      <c r="O237" s="45">
        <f>O238</f>
        <v>84646.1</v>
      </c>
    </row>
    <row r="238" spans="1:16" ht="31.5" x14ac:dyDescent="0.2">
      <c r="A238" s="40"/>
      <c r="B238" s="41" t="s">
        <v>225</v>
      </c>
      <c r="C238" s="42" t="s">
        <v>51</v>
      </c>
      <c r="D238" s="43" t="s">
        <v>321</v>
      </c>
      <c r="E238" s="43" t="s">
        <v>348</v>
      </c>
      <c r="F238" s="44" t="s">
        <v>226</v>
      </c>
      <c r="G238" s="45">
        <f>10781.1-840+1820+840</f>
        <v>12601.1</v>
      </c>
      <c r="H238" s="45"/>
      <c r="I238" s="45">
        <f>10781.1-840+1820+840</f>
        <v>12601.1</v>
      </c>
      <c r="J238" s="47">
        <f>60865+11180</f>
        <v>72045</v>
      </c>
      <c r="K238" s="45"/>
      <c r="L238" s="47">
        <f>60865+11180</f>
        <v>72045</v>
      </c>
      <c r="M238" s="45">
        <f>10781.1-840+1820+840+J238</f>
        <v>84646.1</v>
      </c>
      <c r="N238" s="45"/>
      <c r="O238" s="45">
        <f>10781.1-840+1820+840+L238</f>
        <v>84646.1</v>
      </c>
    </row>
    <row r="239" spans="1:16" ht="15.75" x14ac:dyDescent="0.2">
      <c r="A239" s="40"/>
      <c r="B239" s="56" t="s">
        <v>350</v>
      </c>
      <c r="C239" s="42">
        <v>992</v>
      </c>
      <c r="D239" s="43" t="s">
        <v>321</v>
      </c>
      <c r="E239" s="43">
        <v>113000000</v>
      </c>
      <c r="F239" s="44"/>
      <c r="G239" s="45">
        <v>1964</v>
      </c>
      <c r="H239" s="45"/>
      <c r="I239" s="45">
        <v>1964</v>
      </c>
      <c r="J239" s="47"/>
      <c r="K239" s="45"/>
      <c r="L239" s="47"/>
      <c r="M239" s="45">
        <v>1964</v>
      </c>
      <c r="N239" s="45"/>
      <c r="O239" s="45">
        <v>1964</v>
      </c>
    </row>
    <row r="240" spans="1:16" ht="47.25" x14ac:dyDescent="0.2">
      <c r="A240" s="40"/>
      <c r="B240" s="56" t="s">
        <v>351</v>
      </c>
      <c r="C240" s="42">
        <v>992</v>
      </c>
      <c r="D240" s="43" t="s">
        <v>321</v>
      </c>
      <c r="E240" s="43">
        <v>113010000</v>
      </c>
      <c r="F240" s="44"/>
      <c r="G240" s="45">
        <v>1964</v>
      </c>
      <c r="H240" s="45"/>
      <c r="I240" s="45">
        <v>1964</v>
      </c>
      <c r="J240" s="47"/>
      <c r="K240" s="45"/>
      <c r="L240" s="47"/>
      <c r="M240" s="45">
        <v>1964</v>
      </c>
      <c r="N240" s="45"/>
      <c r="O240" s="45">
        <v>1964</v>
      </c>
    </row>
    <row r="241" spans="1:16" ht="15.75" x14ac:dyDescent="0.2">
      <c r="A241" s="40"/>
      <c r="B241" s="56" t="s">
        <v>350</v>
      </c>
      <c r="C241" s="42">
        <v>992</v>
      </c>
      <c r="D241" s="43" t="s">
        <v>321</v>
      </c>
      <c r="E241" s="43">
        <v>1130121070</v>
      </c>
      <c r="F241" s="44"/>
      <c r="G241" s="45">
        <v>1964</v>
      </c>
      <c r="H241" s="45"/>
      <c r="I241" s="45">
        <v>1964</v>
      </c>
      <c r="J241" s="47"/>
      <c r="K241" s="45"/>
      <c r="L241" s="47"/>
      <c r="M241" s="45">
        <v>1964</v>
      </c>
      <c r="N241" s="45"/>
      <c r="O241" s="45">
        <v>1964</v>
      </c>
    </row>
    <row r="242" spans="1:16" ht="31.5" x14ac:dyDescent="0.2">
      <c r="A242" s="40"/>
      <c r="B242" s="41" t="s">
        <v>225</v>
      </c>
      <c r="C242" s="42">
        <v>992</v>
      </c>
      <c r="D242" s="43" t="s">
        <v>321</v>
      </c>
      <c r="E242" s="57" t="s">
        <v>352</v>
      </c>
      <c r="F242" s="44">
        <v>400</v>
      </c>
      <c r="G242" s="45">
        <v>1964</v>
      </c>
      <c r="H242" s="38">
        <f>H243+H262+H267+H258</f>
        <v>0</v>
      </c>
      <c r="I242" s="45">
        <v>1964</v>
      </c>
      <c r="J242" s="47"/>
      <c r="K242" s="38">
        <f>K243+K262+K267+K258</f>
        <v>0</v>
      </c>
      <c r="L242" s="47"/>
      <c r="M242" s="45">
        <v>1964</v>
      </c>
      <c r="N242" s="45"/>
      <c r="O242" s="45">
        <v>1964</v>
      </c>
    </row>
    <row r="243" spans="1:16" ht="15.75" x14ac:dyDescent="0.2">
      <c r="A243" s="33" t="s">
        <v>353</v>
      </c>
      <c r="B243" s="34" t="s">
        <v>354</v>
      </c>
      <c r="C243" s="35" t="s">
        <v>51</v>
      </c>
      <c r="D243" s="36" t="s">
        <v>355</v>
      </c>
      <c r="E243" s="36" t="s">
        <v>11</v>
      </c>
      <c r="F243" s="37" t="s">
        <v>11</v>
      </c>
      <c r="G243" s="38">
        <f>G244+G263+G268+G259</f>
        <v>52763.8</v>
      </c>
      <c r="H243" s="45">
        <f t="shared" ref="G243:O245" si="61">H244</f>
        <v>0</v>
      </c>
      <c r="I243" s="38">
        <f>I244+I263+I268+I259</f>
        <v>52763.8</v>
      </c>
      <c r="J243" s="39">
        <f>J244+J263+J268</f>
        <v>0</v>
      </c>
      <c r="K243" s="45">
        <f t="shared" si="61"/>
        <v>0</v>
      </c>
      <c r="L243" s="39">
        <f>L244+L263+L268</f>
        <v>0</v>
      </c>
      <c r="M243" s="38">
        <f>M244+M263+M268+M259</f>
        <v>52763.8</v>
      </c>
      <c r="N243" s="38">
        <f>N244+N263+N268+N259</f>
        <v>0</v>
      </c>
      <c r="O243" s="38">
        <f>O244+O263+O268+O259</f>
        <v>52763.8</v>
      </c>
      <c r="P243" s="15"/>
    </row>
    <row r="244" spans="1:16" ht="31.5" x14ac:dyDescent="0.2">
      <c r="A244" s="40"/>
      <c r="B244" s="41" t="s">
        <v>245</v>
      </c>
      <c r="C244" s="42" t="s">
        <v>51</v>
      </c>
      <c r="D244" s="43" t="s">
        <v>355</v>
      </c>
      <c r="E244" s="43" t="s">
        <v>246</v>
      </c>
      <c r="F244" s="44" t="s">
        <v>11</v>
      </c>
      <c r="G244" s="45">
        <f t="shared" si="61"/>
        <v>51863.8</v>
      </c>
      <c r="H244" s="45">
        <f t="shared" si="61"/>
        <v>0</v>
      </c>
      <c r="I244" s="45">
        <f t="shared" si="61"/>
        <v>51863.8</v>
      </c>
      <c r="J244" s="46">
        <f t="shared" si="61"/>
        <v>0</v>
      </c>
      <c r="K244" s="45">
        <f t="shared" si="61"/>
        <v>0</v>
      </c>
      <c r="L244" s="46">
        <f t="shared" si="61"/>
        <v>0</v>
      </c>
      <c r="M244" s="45">
        <f t="shared" si="61"/>
        <v>51863.8</v>
      </c>
      <c r="N244" s="45">
        <f t="shared" si="61"/>
        <v>0</v>
      </c>
      <c r="O244" s="45">
        <f t="shared" si="61"/>
        <v>51863.8</v>
      </c>
    </row>
    <row r="245" spans="1:16" ht="15.75" x14ac:dyDescent="0.2">
      <c r="A245" s="40"/>
      <c r="B245" s="41" t="s">
        <v>356</v>
      </c>
      <c r="C245" s="42" t="s">
        <v>51</v>
      </c>
      <c r="D245" s="43" t="s">
        <v>355</v>
      </c>
      <c r="E245" s="43" t="s">
        <v>357</v>
      </c>
      <c r="F245" s="44" t="s">
        <v>11</v>
      </c>
      <c r="G245" s="45">
        <f t="shared" si="61"/>
        <v>51863.8</v>
      </c>
      <c r="H245" s="45">
        <f>H246+H248+H250+H252+H254+H256</f>
        <v>0</v>
      </c>
      <c r="I245" s="45">
        <f t="shared" si="61"/>
        <v>51863.8</v>
      </c>
      <c r="J245" s="46">
        <f t="shared" si="61"/>
        <v>0</v>
      </c>
      <c r="K245" s="45">
        <f>K246+K248+K250+K252+K254+K256</f>
        <v>0</v>
      </c>
      <c r="L245" s="46">
        <f t="shared" si="61"/>
        <v>0</v>
      </c>
      <c r="M245" s="45">
        <f t="shared" si="61"/>
        <v>51863.8</v>
      </c>
      <c r="N245" s="45">
        <f t="shared" si="61"/>
        <v>0</v>
      </c>
      <c r="O245" s="45">
        <f t="shared" si="61"/>
        <v>51863.8</v>
      </c>
    </row>
    <row r="246" spans="1:16" ht="47.25" x14ac:dyDescent="0.2">
      <c r="A246" s="40"/>
      <c r="B246" s="41" t="s">
        <v>358</v>
      </c>
      <c r="C246" s="42" t="s">
        <v>51</v>
      </c>
      <c r="D246" s="43" t="s">
        <v>355</v>
      </c>
      <c r="E246" s="43" t="s">
        <v>359</v>
      </c>
      <c r="F246" s="44" t="s">
        <v>11</v>
      </c>
      <c r="G246" s="45">
        <f>G247+G249+G251+G253+G255+G257</f>
        <v>51863.8</v>
      </c>
      <c r="H246" s="45">
        <f>H247</f>
        <v>0</v>
      </c>
      <c r="I246" s="45">
        <f>I247+I249+I251+I253+I255+I257</f>
        <v>51863.8</v>
      </c>
      <c r="J246" s="46">
        <f>J247+J249+J251+J253+J255+J257</f>
        <v>0</v>
      </c>
      <c r="K246" s="45">
        <f>K247</f>
        <v>0</v>
      </c>
      <c r="L246" s="46">
        <f>L247+L249+L251+L253+L255+L257</f>
        <v>0</v>
      </c>
      <c r="M246" s="45">
        <f>M247+M249+M251+M253+M255+M257</f>
        <v>51863.8</v>
      </c>
      <c r="N246" s="45">
        <f>N247+N249+N251+N253+N255+N257</f>
        <v>0</v>
      </c>
      <c r="O246" s="45">
        <f>O247+O249+O251+O253+O255+O257</f>
        <v>51863.8</v>
      </c>
      <c r="P246" s="16"/>
    </row>
    <row r="247" spans="1:16" ht="15.75" x14ac:dyDescent="0.2">
      <c r="A247" s="40"/>
      <c r="B247" s="41" t="s">
        <v>360</v>
      </c>
      <c r="C247" s="42" t="s">
        <v>51</v>
      </c>
      <c r="D247" s="43" t="s">
        <v>355</v>
      </c>
      <c r="E247" s="43" t="s">
        <v>361</v>
      </c>
      <c r="F247" s="44" t="s">
        <v>11</v>
      </c>
      <c r="G247" s="45">
        <f>G248</f>
        <v>28601.8</v>
      </c>
      <c r="H247" s="45"/>
      <c r="I247" s="45">
        <f>I248</f>
        <v>28601.8</v>
      </c>
      <c r="J247" s="46">
        <f>J248</f>
        <v>0</v>
      </c>
      <c r="K247" s="45"/>
      <c r="L247" s="46">
        <f>L248</f>
        <v>0</v>
      </c>
      <c r="M247" s="45">
        <f>M248</f>
        <v>28601.8</v>
      </c>
      <c r="N247" s="45">
        <f>N248</f>
        <v>0</v>
      </c>
      <c r="O247" s="45">
        <f>O248</f>
        <v>28601.8</v>
      </c>
    </row>
    <row r="248" spans="1:16" ht="31.5" x14ac:dyDescent="0.2">
      <c r="A248" s="40"/>
      <c r="B248" s="41" t="s">
        <v>40</v>
      </c>
      <c r="C248" s="42" t="s">
        <v>51</v>
      </c>
      <c r="D248" s="43" t="s">
        <v>355</v>
      </c>
      <c r="E248" s="43" t="s">
        <v>361</v>
      </c>
      <c r="F248" s="44" t="s">
        <v>41</v>
      </c>
      <c r="G248" s="45">
        <v>28601.8</v>
      </c>
      <c r="H248" s="45"/>
      <c r="I248" s="45">
        <v>28601.8</v>
      </c>
      <c r="J248" s="47"/>
      <c r="K248" s="45"/>
      <c r="L248" s="47"/>
      <c r="M248" s="45">
        <v>28601.8</v>
      </c>
      <c r="N248" s="45"/>
      <c r="O248" s="45">
        <v>28601.8</v>
      </c>
    </row>
    <row r="249" spans="1:16" ht="15.75" x14ac:dyDescent="0.2">
      <c r="A249" s="40"/>
      <c r="B249" s="41" t="s">
        <v>362</v>
      </c>
      <c r="C249" s="42" t="s">
        <v>51</v>
      </c>
      <c r="D249" s="43" t="s">
        <v>355</v>
      </c>
      <c r="E249" s="43" t="s">
        <v>363</v>
      </c>
      <c r="F249" s="44" t="s">
        <v>11</v>
      </c>
      <c r="G249" s="45">
        <f>G250</f>
        <v>3000</v>
      </c>
      <c r="H249" s="45"/>
      <c r="I249" s="45">
        <f>I250</f>
        <v>3000</v>
      </c>
      <c r="J249" s="46">
        <f>J250</f>
        <v>0</v>
      </c>
      <c r="K249" s="45"/>
      <c r="L249" s="46">
        <f>L250</f>
        <v>0</v>
      </c>
      <c r="M249" s="45">
        <f>M250</f>
        <v>3000</v>
      </c>
      <c r="N249" s="45">
        <f>N250</f>
        <v>0</v>
      </c>
      <c r="O249" s="45">
        <f>O250</f>
        <v>3000</v>
      </c>
    </row>
    <row r="250" spans="1:16" ht="31.5" x14ac:dyDescent="0.2">
      <c r="A250" s="40"/>
      <c r="B250" s="41" t="s">
        <v>40</v>
      </c>
      <c r="C250" s="42" t="s">
        <v>51</v>
      </c>
      <c r="D250" s="43" t="s">
        <v>355</v>
      </c>
      <c r="E250" s="43" t="s">
        <v>363</v>
      </c>
      <c r="F250" s="44" t="s">
        <v>41</v>
      </c>
      <c r="G250" s="45">
        <v>3000</v>
      </c>
      <c r="H250" s="45"/>
      <c r="I250" s="45">
        <v>3000</v>
      </c>
      <c r="J250" s="47"/>
      <c r="K250" s="45"/>
      <c r="L250" s="47"/>
      <c r="M250" s="45">
        <v>3000</v>
      </c>
      <c r="N250" s="45"/>
      <c r="O250" s="45">
        <v>3000</v>
      </c>
    </row>
    <row r="251" spans="1:16" ht="15.75" x14ac:dyDescent="0.2">
      <c r="A251" s="40"/>
      <c r="B251" s="41" t="s">
        <v>364</v>
      </c>
      <c r="C251" s="42" t="s">
        <v>51</v>
      </c>
      <c r="D251" s="43" t="s">
        <v>355</v>
      </c>
      <c r="E251" s="43" t="s">
        <v>365</v>
      </c>
      <c r="F251" s="44" t="s">
        <v>11</v>
      </c>
      <c r="G251" s="45">
        <f>G252</f>
        <v>2550</v>
      </c>
      <c r="H251" s="45"/>
      <c r="I251" s="45">
        <f>I252</f>
        <v>2550</v>
      </c>
      <c r="J251" s="46">
        <f>J252</f>
        <v>0</v>
      </c>
      <c r="K251" s="45"/>
      <c r="L251" s="46">
        <f>L252</f>
        <v>0</v>
      </c>
      <c r="M251" s="45">
        <f>M252</f>
        <v>2550</v>
      </c>
      <c r="N251" s="45">
        <f>N252</f>
        <v>0</v>
      </c>
      <c r="O251" s="45">
        <f>O252</f>
        <v>2550</v>
      </c>
    </row>
    <row r="252" spans="1:16" ht="31.5" x14ac:dyDescent="0.2">
      <c r="A252" s="40"/>
      <c r="B252" s="41" t="s">
        <v>40</v>
      </c>
      <c r="C252" s="42" t="s">
        <v>51</v>
      </c>
      <c r="D252" s="43" t="s">
        <v>355</v>
      </c>
      <c r="E252" s="43" t="s">
        <v>365</v>
      </c>
      <c r="F252" s="44" t="s">
        <v>41</v>
      </c>
      <c r="G252" s="45">
        <v>2550</v>
      </c>
      <c r="H252" s="45"/>
      <c r="I252" s="45">
        <v>2550</v>
      </c>
      <c r="J252" s="47"/>
      <c r="K252" s="45"/>
      <c r="L252" s="47"/>
      <c r="M252" s="45">
        <v>2550</v>
      </c>
      <c r="N252" s="45"/>
      <c r="O252" s="45">
        <v>2550</v>
      </c>
    </row>
    <row r="253" spans="1:16" ht="15.75" x14ac:dyDescent="0.2">
      <c r="A253" s="40"/>
      <c r="B253" s="41" t="s">
        <v>366</v>
      </c>
      <c r="C253" s="42" t="s">
        <v>51</v>
      </c>
      <c r="D253" s="43" t="s">
        <v>355</v>
      </c>
      <c r="E253" s="43" t="s">
        <v>367</v>
      </c>
      <c r="F253" s="44" t="s">
        <v>11</v>
      </c>
      <c r="G253" s="45">
        <f>G254</f>
        <v>50</v>
      </c>
      <c r="H253" s="45"/>
      <c r="I253" s="45">
        <f>I254</f>
        <v>50</v>
      </c>
      <c r="J253" s="46">
        <f>J254</f>
        <v>0</v>
      </c>
      <c r="K253" s="45"/>
      <c r="L253" s="46">
        <f>L254</f>
        <v>0</v>
      </c>
      <c r="M253" s="45">
        <f>M254</f>
        <v>50</v>
      </c>
      <c r="N253" s="45">
        <f>N254</f>
        <v>0</v>
      </c>
      <c r="O253" s="45">
        <f>O254</f>
        <v>50</v>
      </c>
    </row>
    <row r="254" spans="1:16" ht="31.5" x14ac:dyDescent="0.2">
      <c r="A254" s="40"/>
      <c r="B254" s="41" t="s">
        <v>40</v>
      </c>
      <c r="C254" s="42" t="s">
        <v>51</v>
      </c>
      <c r="D254" s="43" t="s">
        <v>355</v>
      </c>
      <c r="E254" s="43" t="s">
        <v>367</v>
      </c>
      <c r="F254" s="44" t="s">
        <v>41</v>
      </c>
      <c r="G254" s="45">
        <v>50</v>
      </c>
      <c r="H254" s="45"/>
      <c r="I254" s="45">
        <v>50</v>
      </c>
      <c r="J254" s="47"/>
      <c r="K254" s="45"/>
      <c r="L254" s="47"/>
      <c r="M254" s="45">
        <v>50</v>
      </c>
      <c r="N254" s="45"/>
      <c r="O254" s="45">
        <v>50</v>
      </c>
    </row>
    <row r="255" spans="1:16" ht="31.5" x14ac:dyDescent="0.2">
      <c r="A255" s="40"/>
      <c r="B255" s="41" t="s">
        <v>370</v>
      </c>
      <c r="C255" s="42" t="s">
        <v>51</v>
      </c>
      <c r="D255" s="43" t="s">
        <v>355</v>
      </c>
      <c r="E255" s="43" t="s">
        <v>371</v>
      </c>
      <c r="F255" s="44" t="s">
        <v>11</v>
      </c>
      <c r="G255" s="45">
        <f>G256</f>
        <v>4100</v>
      </c>
      <c r="H255" s="45"/>
      <c r="I255" s="45">
        <f>I256</f>
        <v>4100</v>
      </c>
      <c r="J255" s="46">
        <f>J256</f>
        <v>0</v>
      </c>
      <c r="K255" s="45"/>
      <c r="L255" s="46">
        <f>L256</f>
        <v>0</v>
      </c>
      <c r="M255" s="45">
        <f>M256</f>
        <v>4100</v>
      </c>
      <c r="N255" s="45">
        <f>N256</f>
        <v>0</v>
      </c>
      <c r="O255" s="45">
        <f>O256</f>
        <v>4100</v>
      </c>
    </row>
    <row r="256" spans="1:16" ht="31.5" x14ac:dyDescent="0.2">
      <c r="A256" s="40"/>
      <c r="B256" s="41" t="s">
        <v>40</v>
      </c>
      <c r="C256" s="42" t="s">
        <v>51</v>
      </c>
      <c r="D256" s="43" t="s">
        <v>355</v>
      </c>
      <c r="E256" s="43" t="s">
        <v>371</v>
      </c>
      <c r="F256" s="44" t="s">
        <v>41</v>
      </c>
      <c r="G256" s="45">
        <v>4100</v>
      </c>
      <c r="H256" s="45"/>
      <c r="I256" s="45">
        <v>4100</v>
      </c>
      <c r="J256" s="47"/>
      <c r="K256" s="45"/>
      <c r="L256" s="47"/>
      <c r="M256" s="45">
        <v>4100</v>
      </c>
      <c r="N256" s="45"/>
      <c r="O256" s="45">
        <v>4100</v>
      </c>
    </row>
    <row r="257" spans="1:15" ht="47.25" x14ac:dyDescent="0.2">
      <c r="A257" s="40"/>
      <c r="B257" s="41" t="s">
        <v>372</v>
      </c>
      <c r="C257" s="42" t="s">
        <v>51</v>
      </c>
      <c r="D257" s="43" t="s">
        <v>355</v>
      </c>
      <c r="E257" s="43" t="s">
        <v>373</v>
      </c>
      <c r="F257" s="44" t="s">
        <v>11</v>
      </c>
      <c r="G257" s="45">
        <f>G258</f>
        <v>13562</v>
      </c>
      <c r="H257" s="48"/>
      <c r="I257" s="45">
        <f>I258</f>
        <v>13562</v>
      </c>
      <c r="J257" s="46">
        <f>J258</f>
        <v>0</v>
      </c>
      <c r="K257" s="48"/>
      <c r="L257" s="46">
        <f>L258</f>
        <v>0</v>
      </c>
      <c r="M257" s="45">
        <f>M258</f>
        <v>13562</v>
      </c>
      <c r="N257" s="45">
        <f>N258</f>
        <v>0</v>
      </c>
      <c r="O257" s="45">
        <f>O258</f>
        <v>13562</v>
      </c>
    </row>
    <row r="258" spans="1:15" ht="31.5" x14ac:dyDescent="0.2">
      <c r="A258" s="40"/>
      <c r="B258" s="41" t="s">
        <v>40</v>
      </c>
      <c r="C258" s="42" t="s">
        <v>51</v>
      </c>
      <c r="D258" s="43" t="s">
        <v>355</v>
      </c>
      <c r="E258" s="43" t="s">
        <v>373</v>
      </c>
      <c r="F258" s="44" t="s">
        <v>41</v>
      </c>
      <c r="G258" s="48">
        <f>4350+9212</f>
        <v>13562</v>
      </c>
      <c r="H258" s="48"/>
      <c r="I258" s="48">
        <f>4350+9212</f>
        <v>13562</v>
      </c>
      <c r="J258" s="47">
        <v>0</v>
      </c>
      <c r="K258" s="48"/>
      <c r="L258" s="47">
        <v>0</v>
      </c>
      <c r="M258" s="48">
        <f>4350+9212</f>
        <v>13562</v>
      </c>
      <c r="N258" s="48"/>
      <c r="O258" s="48">
        <f>4350+9212</f>
        <v>13562</v>
      </c>
    </row>
    <row r="259" spans="1:15" ht="15.75" x14ac:dyDescent="0.2">
      <c r="A259" s="40"/>
      <c r="B259" s="56" t="s">
        <v>374</v>
      </c>
      <c r="C259" s="42">
        <v>992</v>
      </c>
      <c r="D259" s="43" t="s">
        <v>355</v>
      </c>
      <c r="E259" s="57" t="s">
        <v>375</v>
      </c>
      <c r="F259" s="44"/>
      <c r="G259" s="48">
        <f t="shared" ref="G259:O261" si="62">G260</f>
        <v>400</v>
      </c>
      <c r="H259" s="48">
        <f t="shared" si="62"/>
        <v>0</v>
      </c>
      <c r="I259" s="48">
        <f t="shared" si="62"/>
        <v>400</v>
      </c>
      <c r="J259" s="47">
        <f t="shared" si="62"/>
        <v>0</v>
      </c>
      <c r="K259" s="48">
        <f t="shared" si="62"/>
        <v>0</v>
      </c>
      <c r="L259" s="47">
        <f t="shared" si="62"/>
        <v>0</v>
      </c>
      <c r="M259" s="48">
        <f t="shared" si="62"/>
        <v>400</v>
      </c>
      <c r="N259" s="48">
        <f t="shared" si="62"/>
        <v>0</v>
      </c>
      <c r="O259" s="48">
        <f t="shared" si="62"/>
        <v>400</v>
      </c>
    </row>
    <row r="260" spans="1:15" ht="31.5" x14ac:dyDescent="0.2">
      <c r="A260" s="40"/>
      <c r="B260" s="56" t="s">
        <v>376</v>
      </c>
      <c r="C260" s="42">
        <v>992</v>
      </c>
      <c r="D260" s="43" t="s">
        <v>355</v>
      </c>
      <c r="E260" s="57" t="s">
        <v>377</v>
      </c>
      <c r="F260" s="44"/>
      <c r="G260" s="48">
        <f t="shared" si="62"/>
        <v>400</v>
      </c>
      <c r="H260" s="48">
        <f t="shared" si="62"/>
        <v>0</v>
      </c>
      <c r="I260" s="48">
        <f t="shared" si="62"/>
        <v>400</v>
      </c>
      <c r="J260" s="47">
        <f t="shared" si="62"/>
        <v>0</v>
      </c>
      <c r="K260" s="48">
        <f t="shared" si="62"/>
        <v>0</v>
      </c>
      <c r="L260" s="47">
        <f t="shared" si="62"/>
        <v>0</v>
      </c>
      <c r="M260" s="48">
        <f t="shared" si="62"/>
        <v>400</v>
      </c>
      <c r="N260" s="48">
        <f t="shared" si="62"/>
        <v>0</v>
      </c>
      <c r="O260" s="48">
        <f t="shared" si="62"/>
        <v>400</v>
      </c>
    </row>
    <row r="261" spans="1:15" ht="15.75" x14ac:dyDescent="0.2">
      <c r="A261" s="40"/>
      <c r="B261" s="56" t="s">
        <v>378</v>
      </c>
      <c r="C261" s="42">
        <v>992</v>
      </c>
      <c r="D261" s="43" t="s">
        <v>355</v>
      </c>
      <c r="E261" s="57" t="s">
        <v>379</v>
      </c>
      <c r="F261" s="44"/>
      <c r="G261" s="48">
        <f t="shared" si="62"/>
        <v>400</v>
      </c>
      <c r="H261" s="48"/>
      <c r="I261" s="48">
        <f t="shared" si="62"/>
        <v>400</v>
      </c>
      <c r="J261" s="47">
        <f t="shared" si="62"/>
        <v>0</v>
      </c>
      <c r="K261" s="48"/>
      <c r="L261" s="47">
        <f t="shared" si="62"/>
        <v>0</v>
      </c>
      <c r="M261" s="48">
        <f t="shared" si="62"/>
        <v>400</v>
      </c>
      <c r="N261" s="48">
        <f t="shared" si="62"/>
        <v>0</v>
      </c>
      <c r="O261" s="48">
        <f t="shared" si="62"/>
        <v>400</v>
      </c>
    </row>
    <row r="262" spans="1:15" ht="31.5" x14ac:dyDescent="0.2">
      <c r="A262" s="40"/>
      <c r="B262" s="41" t="s">
        <v>40</v>
      </c>
      <c r="C262" s="42">
        <v>992</v>
      </c>
      <c r="D262" s="43">
        <v>503</v>
      </c>
      <c r="E262" s="57" t="s">
        <v>379</v>
      </c>
      <c r="F262" s="44">
        <v>200</v>
      </c>
      <c r="G262" s="48">
        <v>400</v>
      </c>
      <c r="H262" s="45"/>
      <c r="I262" s="48">
        <v>400</v>
      </c>
      <c r="J262" s="47">
        <v>0</v>
      </c>
      <c r="K262" s="45"/>
      <c r="L262" s="47">
        <v>0</v>
      </c>
      <c r="M262" s="48">
        <v>400</v>
      </c>
      <c r="N262" s="48"/>
      <c r="O262" s="48">
        <v>400</v>
      </c>
    </row>
    <row r="263" spans="1:15" ht="47.25" x14ac:dyDescent="0.2">
      <c r="A263" s="40"/>
      <c r="B263" s="41" t="s">
        <v>105</v>
      </c>
      <c r="C263" s="42" t="s">
        <v>51</v>
      </c>
      <c r="D263" s="43" t="s">
        <v>355</v>
      </c>
      <c r="E263" s="43" t="s">
        <v>106</v>
      </c>
      <c r="F263" s="44" t="s">
        <v>11</v>
      </c>
      <c r="G263" s="45">
        <f t="shared" ref="G263:I265" si="63">G264</f>
        <v>300</v>
      </c>
      <c r="H263" s="45">
        <f t="shared" si="63"/>
        <v>0</v>
      </c>
      <c r="I263" s="45">
        <f t="shared" si="63"/>
        <v>300</v>
      </c>
      <c r="J263" s="46">
        <f t="shared" ref="J263:L266" si="64">J264</f>
        <v>0</v>
      </c>
      <c r="K263" s="45">
        <f>K264</f>
        <v>0</v>
      </c>
      <c r="L263" s="46">
        <f t="shared" si="64"/>
        <v>0</v>
      </c>
      <c r="M263" s="45">
        <f t="shared" ref="M263:O266" si="65">M264</f>
        <v>300</v>
      </c>
      <c r="N263" s="45">
        <f t="shared" si="65"/>
        <v>0</v>
      </c>
      <c r="O263" s="45">
        <f t="shared" si="65"/>
        <v>300</v>
      </c>
    </row>
    <row r="264" spans="1:15" ht="31.5" x14ac:dyDescent="0.2">
      <c r="A264" s="40"/>
      <c r="B264" s="41" t="s">
        <v>107</v>
      </c>
      <c r="C264" s="42" t="s">
        <v>51</v>
      </c>
      <c r="D264" s="43" t="s">
        <v>355</v>
      </c>
      <c r="E264" s="43" t="s">
        <v>108</v>
      </c>
      <c r="F264" s="44" t="s">
        <v>11</v>
      </c>
      <c r="G264" s="45">
        <f t="shared" si="63"/>
        <v>300</v>
      </c>
      <c r="H264" s="45">
        <f t="shared" si="63"/>
        <v>0</v>
      </c>
      <c r="I264" s="45">
        <f t="shared" si="63"/>
        <v>300</v>
      </c>
      <c r="J264" s="46">
        <f t="shared" si="64"/>
        <v>0</v>
      </c>
      <c r="K264" s="45">
        <f>K265</f>
        <v>0</v>
      </c>
      <c r="L264" s="46">
        <f t="shared" si="64"/>
        <v>0</v>
      </c>
      <c r="M264" s="45">
        <f t="shared" si="65"/>
        <v>300</v>
      </c>
      <c r="N264" s="45">
        <f t="shared" si="65"/>
        <v>0</v>
      </c>
      <c r="O264" s="45">
        <f t="shared" si="65"/>
        <v>300</v>
      </c>
    </row>
    <row r="265" spans="1:15" ht="31.5" x14ac:dyDescent="0.2">
      <c r="A265" s="40"/>
      <c r="B265" s="41" t="s">
        <v>109</v>
      </c>
      <c r="C265" s="42" t="s">
        <v>51</v>
      </c>
      <c r="D265" s="43" t="s">
        <v>355</v>
      </c>
      <c r="E265" s="43" t="s">
        <v>110</v>
      </c>
      <c r="F265" s="44" t="s">
        <v>11</v>
      </c>
      <c r="G265" s="45">
        <f t="shared" si="63"/>
        <v>300</v>
      </c>
      <c r="H265" s="45">
        <f t="shared" si="63"/>
        <v>0</v>
      </c>
      <c r="I265" s="45">
        <f t="shared" si="63"/>
        <v>300</v>
      </c>
      <c r="J265" s="46">
        <f t="shared" si="64"/>
        <v>0</v>
      </c>
      <c r="K265" s="45">
        <f>K266</f>
        <v>0</v>
      </c>
      <c r="L265" s="46">
        <f t="shared" si="64"/>
        <v>0</v>
      </c>
      <c r="M265" s="45">
        <f t="shared" si="65"/>
        <v>300</v>
      </c>
      <c r="N265" s="45">
        <f t="shared" si="65"/>
        <v>0</v>
      </c>
      <c r="O265" s="45">
        <f t="shared" si="65"/>
        <v>300</v>
      </c>
    </row>
    <row r="266" spans="1:15" ht="31.5" x14ac:dyDescent="0.2">
      <c r="A266" s="40"/>
      <c r="B266" s="41" t="s">
        <v>114</v>
      </c>
      <c r="C266" s="42" t="s">
        <v>51</v>
      </c>
      <c r="D266" s="43" t="s">
        <v>355</v>
      </c>
      <c r="E266" s="43" t="s">
        <v>115</v>
      </c>
      <c r="F266" s="44" t="s">
        <v>11</v>
      </c>
      <c r="G266" s="45">
        <f>G267</f>
        <v>300</v>
      </c>
      <c r="H266" s="45"/>
      <c r="I266" s="45">
        <f>I267</f>
        <v>300</v>
      </c>
      <c r="J266" s="46">
        <f t="shared" si="64"/>
        <v>0</v>
      </c>
      <c r="K266" s="45"/>
      <c r="L266" s="46">
        <f t="shared" si="64"/>
        <v>0</v>
      </c>
      <c r="M266" s="45">
        <f t="shared" si="65"/>
        <v>300</v>
      </c>
      <c r="N266" s="45">
        <f t="shared" si="65"/>
        <v>0</v>
      </c>
      <c r="O266" s="45">
        <f t="shared" si="65"/>
        <v>300</v>
      </c>
    </row>
    <row r="267" spans="1:15" ht="31.5" x14ac:dyDescent="0.2">
      <c r="A267" s="40"/>
      <c r="B267" s="41" t="s">
        <v>40</v>
      </c>
      <c r="C267" s="42" t="s">
        <v>51</v>
      </c>
      <c r="D267" s="43" t="s">
        <v>355</v>
      </c>
      <c r="E267" s="43" t="s">
        <v>115</v>
      </c>
      <c r="F267" s="44" t="s">
        <v>41</v>
      </c>
      <c r="G267" s="45">
        <v>300</v>
      </c>
      <c r="H267" s="45"/>
      <c r="I267" s="45">
        <v>300</v>
      </c>
      <c r="J267" s="47">
        <v>0</v>
      </c>
      <c r="K267" s="45"/>
      <c r="L267" s="47">
        <v>0</v>
      </c>
      <c r="M267" s="45">
        <v>300</v>
      </c>
      <c r="N267" s="45"/>
      <c r="O267" s="45">
        <v>300</v>
      </c>
    </row>
    <row r="268" spans="1:15" ht="63" x14ac:dyDescent="0.2">
      <c r="A268" s="40"/>
      <c r="B268" s="41" t="s">
        <v>380</v>
      </c>
      <c r="C268" s="42" t="s">
        <v>51</v>
      </c>
      <c r="D268" s="43" t="s">
        <v>355</v>
      </c>
      <c r="E268" s="43" t="s">
        <v>381</v>
      </c>
      <c r="F268" s="44" t="s">
        <v>11</v>
      </c>
      <c r="G268" s="45">
        <f t="shared" ref="G268:I269" si="66">G269</f>
        <v>200</v>
      </c>
      <c r="H268" s="45">
        <f t="shared" si="66"/>
        <v>0</v>
      </c>
      <c r="I268" s="45">
        <f t="shared" si="66"/>
        <v>200</v>
      </c>
      <c r="J268" s="46">
        <f t="shared" ref="J268:L270" si="67">J269</f>
        <v>0</v>
      </c>
      <c r="K268" s="45">
        <f>K269</f>
        <v>0</v>
      </c>
      <c r="L268" s="46">
        <f t="shared" si="67"/>
        <v>0</v>
      </c>
      <c r="M268" s="45">
        <f t="shared" ref="M268:O270" si="68">M269</f>
        <v>200</v>
      </c>
      <c r="N268" s="45">
        <f t="shared" si="68"/>
        <v>0</v>
      </c>
      <c r="O268" s="45">
        <f t="shared" si="68"/>
        <v>200</v>
      </c>
    </row>
    <row r="269" spans="1:15" ht="47.25" x14ac:dyDescent="0.2">
      <c r="A269" s="40"/>
      <c r="B269" s="41" t="s">
        <v>382</v>
      </c>
      <c r="C269" s="42" t="s">
        <v>51</v>
      </c>
      <c r="D269" s="43" t="s">
        <v>355</v>
      </c>
      <c r="E269" s="43" t="s">
        <v>383</v>
      </c>
      <c r="F269" s="44" t="s">
        <v>11</v>
      </c>
      <c r="G269" s="45">
        <f t="shared" si="66"/>
        <v>200</v>
      </c>
      <c r="H269" s="45">
        <f t="shared" si="66"/>
        <v>0</v>
      </c>
      <c r="I269" s="45">
        <f t="shared" si="66"/>
        <v>200</v>
      </c>
      <c r="J269" s="46">
        <f t="shared" si="67"/>
        <v>0</v>
      </c>
      <c r="K269" s="45">
        <f>K270</f>
        <v>0</v>
      </c>
      <c r="L269" s="46">
        <f t="shared" si="67"/>
        <v>0</v>
      </c>
      <c r="M269" s="45">
        <f t="shared" si="68"/>
        <v>200</v>
      </c>
      <c r="N269" s="45">
        <f t="shared" si="68"/>
        <v>0</v>
      </c>
      <c r="O269" s="45">
        <f t="shared" si="68"/>
        <v>200</v>
      </c>
    </row>
    <row r="270" spans="1:15" ht="63" x14ac:dyDescent="0.2">
      <c r="A270" s="40"/>
      <c r="B270" s="41" t="s">
        <v>384</v>
      </c>
      <c r="C270" s="42" t="s">
        <v>51</v>
      </c>
      <c r="D270" s="43" t="s">
        <v>355</v>
      </c>
      <c r="E270" s="43" t="s">
        <v>545</v>
      </c>
      <c r="F270" s="44" t="s">
        <v>11</v>
      </c>
      <c r="G270" s="45">
        <f>G271</f>
        <v>200</v>
      </c>
      <c r="H270" s="45"/>
      <c r="I270" s="45">
        <f>I271</f>
        <v>200</v>
      </c>
      <c r="J270" s="46">
        <f t="shared" si="67"/>
        <v>0</v>
      </c>
      <c r="K270" s="45"/>
      <c r="L270" s="46">
        <f t="shared" si="67"/>
        <v>0</v>
      </c>
      <c r="M270" s="45">
        <f t="shared" si="68"/>
        <v>200</v>
      </c>
      <c r="N270" s="45">
        <f t="shared" si="68"/>
        <v>0</v>
      </c>
      <c r="O270" s="45">
        <f t="shared" si="68"/>
        <v>200</v>
      </c>
    </row>
    <row r="271" spans="1:15" ht="31.5" x14ac:dyDescent="0.2">
      <c r="A271" s="40"/>
      <c r="B271" s="41" t="s">
        <v>40</v>
      </c>
      <c r="C271" s="42" t="s">
        <v>51</v>
      </c>
      <c r="D271" s="43" t="s">
        <v>355</v>
      </c>
      <c r="E271" s="43" t="s">
        <v>545</v>
      </c>
      <c r="F271" s="44" t="s">
        <v>41</v>
      </c>
      <c r="G271" s="45">
        <v>200</v>
      </c>
      <c r="H271" s="38"/>
      <c r="I271" s="45">
        <v>200</v>
      </c>
      <c r="J271" s="47">
        <v>0</v>
      </c>
      <c r="K271" s="38"/>
      <c r="L271" s="47">
        <v>0</v>
      </c>
      <c r="M271" s="45">
        <v>200</v>
      </c>
      <c r="N271" s="45"/>
      <c r="O271" s="45">
        <v>200</v>
      </c>
    </row>
    <row r="272" spans="1:15" ht="31.5" x14ac:dyDescent="0.2">
      <c r="A272" s="33" t="s">
        <v>386</v>
      </c>
      <c r="B272" s="34" t="s">
        <v>387</v>
      </c>
      <c r="C272" s="35" t="s">
        <v>51</v>
      </c>
      <c r="D272" s="36" t="s">
        <v>388</v>
      </c>
      <c r="E272" s="36" t="s">
        <v>11</v>
      </c>
      <c r="F272" s="37" t="s">
        <v>11</v>
      </c>
      <c r="G272" s="38">
        <f t="shared" ref="G272:O273" si="69">G273</f>
        <v>87594.599999999991</v>
      </c>
      <c r="H272" s="45">
        <f t="shared" si="69"/>
        <v>0</v>
      </c>
      <c r="I272" s="38">
        <f t="shared" si="69"/>
        <v>87594.599999999991</v>
      </c>
      <c r="J272" s="39">
        <f t="shared" si="69"/>
        <v>0</v>
      </c>
      <c r="K272" s="45">
        <f t="shared" si="69"/>
        <v>0</v>
      </c>
      <c r="L272" s="39">
        <f t="shared" si="69"/>
        <v>0</v>
      </c>
      <c r="M272" s="38">
        <f t="shared" si="69"/>
        <v>87594.599999999991</v>
      </c>
      <c r="N272" s="38">
        <f t="shared" si="69"/>
        <v>0</v>
      </c>
      <c r="O272" s="38">
        <f t="shared" si="69"/>
        <v>87594.599999999991</v>
      </c>
    </row>
    <row r="273" spans="1:16" ht="31.5" x14ac:dyDescent="0.2">
      <c r="A273" s="40"/>
      <c r="B273" s="41" t="s">
        <v>245</v>
      </c>
      <c r="C273" s="42" t="s">
        <v>51</v>
      </c>
      <c r="D273" s="43" t="s">
        <v>388</v>
      </c>
      <c r="E273" s="43" t="s">
        <v>246</v>
      </c>
      <c r="F273" s="44" t="s">
        <v>11</v>
      </c>
      <c r="G273" s="45">
        <f t="shared" si="69"/>
        <v>87594.599999999991</v>
      </c>
      <c r="H273" s="45">
        <f>H274+H277</f>
        <v>0</v>
      </c>
      <c r="I273" s="45">
        <f t="shared" si="69"/>
        <v>87594.599999999991</v>
      </c>
      <c r="J273" s="46">
        <f t="shared" si="69"/>
        <v>0</v>
      </c>
      <c r="K273" s="45">
        <f>K274+K277</f>
        <v>0</v>
      </c>
      <c r="L273" s="46">
        <f t="shared" si="69"/>
        <v>0</v>
      </c>
      <c r="M273" s="45">
        <f t="shared" si="69"/>
        <v>87594.599999999991</v>
      </c>
      <c r="N273" s="45">
        <f t="shared" si="69"/>
        <v>0</v>
      </c>
      <c r="O273" s="45">
        <f t="shared" si="69"/>
        <v>87594.599999999991</v>
      </c>
    </row>
    <row r="274" spans="1:16" ht="15.75" x14ac:dyDescent="0.2">
      <c r="A274" s="40"/>
      <c r="B274" s="41" t="s">
        <v>247</v>
      </c>
      <c r="C274" s="42" t="s">
        <v>51</v>
      </c>
      <c r="D274" s="43" t="s">
        <v>388</v>
      </c>
      <c r="E274" s="43" t="s">
        <v>248</v>
      </c>
      <c r="F274" s="44" t="s">
        <v>11</v>
      </c>
      <c r="G274" s="45">
        <f>G275+G278</f>
        <v>87594.599999999991</v>
      </c>
      <c r="H274" s="45">
        <f t="shared" ref="G274:O276" si="70">H275</f>
        <v>0</v>
      </c>
      <c r="I274" s="45">
        <f>I275+I278</f>
        <v>87594.599999999991</v>
      </c>
      <c r="J274" s="46">
        <f>J275+J278</f>
        <v>0</v>
      </c>
      <c r="K274" s="45">
        <f t="shared" si="70"/>
        <v>0</v>
      </c>
      <c r="L274" s="46">
        <f>L275+L278</f>
        <v>0</v>
      </c>
      <c r="M274" s="45">
        <f>M275+M278</f>
        <v>87594.599999999991</v>
      </c>
      <c r="N274" s="45">
        <f>N275+N278</f>
        <v>0</v>
      </c>
      <c r="O274" s="45">
        <f>O275+O278</f>
        <v>87594.599999999991</v>
      </c>
    </row>
    <row r="275" spans="1:16" ht="31.5" x14ac:dyDescent="0.2">
      <c r="A275" s="40"/>
      <c r="B275" s="41" t="s">
        <v>389</v>
      </c>
      <c r="C275" s="42" t="s">
        <v>51</v>
      </c>
      <c r="D275" s="43" t="s">
        <v>388</v>
      </c>
      <c r="E275" s="43" t="s">
        <v>390</v>
      </c>
      <c r="F275" s="44" t="s">
        <v>11</v>
      </c>
      <c r="G275" s="45">
        <f t="shared" si="70"/>
        <v>7768.7</v>
      </c>
      <c r="H275" s="45">
        <f t="shared" si="70"/>
        <v>0</v>
      </c>
      <c r="I275" s="45">
        <f t="shared" si="70"/>
        <v>7768.7</v>
      </c>
      <c r="J275" s="46">
        <f t="shared" si="70"/>
        <v>0</v>
      </c>
      <c r="K275" s="45">
        <f t="shared" si="70"/>
        <v>0</v>
      </c>
      <c r="L275" s="46">
        <f t="shared" si="70"/>
        <v>0</v>
      </c>
      <c r="M275" s="45">
        <f t="shared" si="70"/>
        <v>7768.7</v>
      </c>
      <c r="N275" s="45">
        <f t="shared" si="70"/>
        <v>0</v>
      </c>
      <c r="O275" s="45">
        <f t="shared" si="70"/>
        <v>7768.7</v>
      </c>
    </row>
    <row r="276" spans="1:16" ht="31.5" x14ac:dyDescent="0.2">
      <c r="A276" s="40"/>
      <c r="B276" s="41" t="s">
        <v>134</v>
      </c>
      <c r="C276" s="42" t="s">
        <v>51</v>
      </c>
      <c r="D276" s="43" t="s">
        <v>388</v>
      </c>
      <c r="E276" s="43" t="s">
        <v>391</v>
      </c>
      <c r="F276" s="44" t="s">
        <v>11</v>
      </c>
      <c r="G276" s="45">
        <f t="shared" si="70"/>
        <v>7768.7</v>
      </c>
      <c r="H276" s="45"/>
      <c r="I276" s="45">
        <f t="shared" si="70"/>
        <v>7768.7</v>
      </c>
      <c r="J276" s="46">
        <f t="shared" si="70"/>
        <v>0</v>
      </c>
      <c r="K276" s="45"/>
      <c r="L276" s="46">
        <f t="shared" si="70"/>
        <v>0</v>
      </c>
      <c r="M276" s="45">
        <f t="shared" si="70"/>
        <v>7768.7</v>
      </c>
      <c r="N276" s="45">
        <f t="shared" si="70"/>
        <v>0</v>
      </c>
      <c r="O276" s="45">
        <f t="shared" si="70"/>
        <v>7768.7</v>
      </c>
    </row>
    <row r="277" spans="1:16" ht="33.6" customHeight="1" x14ac:dyDescent="0.2">
      <c r="A277" s="40"/>
      <c r="B277" s="41" t="s">
        <v>95</v>
      </c>
      <c r="C277" s="42" t="s">
        <v>51</v>
      </c>
      <c r="D277" s="43" t="s">
        <v>388</v>
      </c>
      <c r="E277" s="43" t="s">
        <v>391</v>
      </c>
      <c r="F277" s="44" t="s">
        <v>96</v>
      </c>
      <c r="G277" s="45">
        <v>7768.7</v>
      </c>
      <c r="H277" s="45"/>
      <c r="I277" s="45">
        <v>7768.7</v>
      </c>
      <c r="J277" s="47">
        <v>0</v>
      </c>
      <c r="K277" s="45"/>
      <c r="L277" s="47">
        <v>0</v>
      </c>
      <c r="M277" s="45">
        <v>7768.7</v>
      </c>
      <c r="N277" s="45"/>
      <c r="O277" s="45">
        <v>7768.7</v>
      </c>
    </row>
    <row r="278" spans="1:16" ht="47.25" x14ac:dyDescent="0.2">
      <c r="A278" s="40"/>
      <c r="B278" s="41" t="s">
        <v>249</v>
      </c>
      <c r="C278" s="42" t="s">
        <v>51</v>
      </c>
      <c r="D278" s="43" t="s">
        <v>388</v>
      </c>
      <c r="E278" s="43" t="s">
        <v>250</v>
      </c>
      <c r="F278" s="44" t="s">
        <v>11</v>
      </c>
      <c r="G278" s="45">
        <f t="shared" ref="G278:O279" si="71">G279</f>
        <v>79825.899999999994</v>
      </c>
      <c r="H278" s="45">
        <f t="shared" si="71"/>
        <v>0</v>
      </c>
      <c r="I278" s="45">
        <f t="shared" si="71"/>
        <v>79825.899999999994</v>
      </c>
      <c r="J278" s="46">
        <f t="shared" si="71"/>
        <v>0</v>
      </c>
      <c r="K278" s="45">
        <f t="shared" si="71"/>
        <v>0</v>
      </c>
      <c r="L278" s="46">
        <f t="shared" si="71"/>
        <v>0</v>
      </c>
      <c r="M278" s="45">
        <f t="shared" si="71"/>
        <v>79825.899999999994</v>
      </c>
      <c r="N278" s="45">
        <f t="shared" si="71"/>
        <v>0</v>
      </c>
      <c r="O278" s="45">
        <f t="shared" si="71"/>
        <v>79825.899999999994</v>
      </c>
    </row>
    <row r="279" spans="1:16" ht="31.5" x14ac:dyDescent="0.2">
      <c r="A279" s="40"/>
      <c r="B279" s="41" t="s">
        <v>134</v>
      </c>
      <c r="C279" s="42" t="s">
        <v>51</v>
      </c>
      <c r="D279" s="43" t="s">
        <v>388</v>
      </c>
      <c r="E279" s="43" t="s">
        <v>251</v>
      </c>
      <c r="F279" s="44" t="s">
        <v>11</v>
      </c>
      <c r="G279" s="45">
        <f t="shared" si="71"/>
        <v>79825.899999999994</v>
      </c>
      <c r="H279" s="45"/>
      <c r="I279" s="45">
        <f t="shared" si="71"/>
        <v>79825.899999999994</v>
      </c>
      <c r="J279" s="46">
        <f t="shared" si="71"/>
        <v>0</v>
      </c>
      <c r="K279" s="45"/>
      <c r="L279" s="46">
        <f t="shared" si="71"/>
        <v>0</v>
      </c>
      <c r="M279" s="45">
        <f t="shared" si="71"/>
        <v>79825.899999999994</v>
      </c>
      <c r="N279" s="45">
        <f t="shared" si="71"/>
        <v>0</v>
      </c>
      <c r="O279" s="45">
        <f t="shared" si="71"/>
        <v>79825.899999999994</v>
      </c>
    </row>
    <row r="280" spans="1:16" ht="33.6" customHeight="1" x14ac:dyDescent="0.2">
      <c r="A280" s="40"/>
      <c r="B280" s="41" t="s">
        <v>95</v>
      </c>
      <c r="C280" s="42" t="s">
        <v>51</v>
      </c>
      <c r="D280" s="43" t="s">
        <v>388</v>
      </c>
      <c r="E280" s="43" t="s">
        <v>251</v>
      </c>
      <c r="F280" s="44" t="s">
        <v>96</v>
      </c>
      <c r="G280" s="45">
        <v>79825.899999999994</v>
      </c>
      <c r="H280" s="25"/>
      <c r="I280" s="45">
        <v>79825.899999999994</v>
      </c>
      <c r="J280" s="47">
        <v>0</v>
      </c>
      <c r="K280" s="25"/>
      <c r="L280" s="47">
        <v>0</v>
      </c>
      <c r="M280" s="45">
        <v>79825.899999999994</v>
      </c>
      <c r="N280" s="45"/>
      <c r="O280" s="45">
        <v>79825.899999999994</v>
      </c>
    </row>
    <row r="281" spans="1:16" ht="15.75" x14ac:dyDescent="0.2">
      <c r="A281" s="20" t="s">
        <v>394</v>
      </c>
      <c r="B281" s="21" t="s">
        <v>395</v>
      </c>
      <c r="C281" s="22" t="s">
        <v>51</v>
      </c>
      <c r="D281" s="23" t="s">
        <v>396</v>
      </c>
      <c r="E281" s="23" t="s">
        <v>11</v>
      </c>
      <c r="F281" s="24" t="s">
        <v>11</v>
      </c>
      <c r="G281" s="25">
        <f>G282</f>
        <v>13707.000000000002</v>
      </c>
      <c r="H281" s="38">
        <f>H282+H295</f>
        <v>0</v>
      </c>
      <c r="I281" s="25">
        <f>I282</f>
        <v>13707.000000000002</v>
      </c>
      <c r="J281" s="26">
        <f>J282</f>
        <v>0</v>
      </c>
      <c r="K281" s="38">
        <f>K282+K295</f>
        <v>0</v>
      </c>
      <c r="L281" s="26">
        <f>L282</f>
        <v>0</v>
      </c>
      <c r="M281" s="25">
        <f>M282</f>
        <v>13707.000000000002</v>
      </c>
      <c r="N281" s="25">
        <f>N282</f>
        <v>0</v>
      </c>
      <c r="O281" s="25">
        <f>O282</f>
        <v>13707.000000000002</v>
      </c>
      <c r="P281" s="17"/>
    </row>
    <row r="282" spans="1:16" ht="15.75" x14ac:dyDescent="0.2">
      <c r="A282" s="33" t="s">
        <v>397</v>
      </c>
      <c r="B282" s="34" t="s">
        <v>398</v>
      </c>
      <c r="C282" s="35" t="s">
        <v>51</v>
      </c>
      <c r="D282" s="36" t="s">
        <v>399</v>
      </c>
      <c r="E282" s="36" t="s">
        <v>11</v>
      </c>
      <c r="F282" s="37" t="s">
        <v>11</v>
      </c>
      <c r="G282" s="38">
        <f>G283+G296</f>
        <v>13707.000000000002</v>
      </c>
      <c r="H282" s="45">
        <f>H283+H288</f>
        <v>0</v>
      </c>
      <c r="I282" s="38">
        <f>I283+I296</f>
        <v>13707.000000000002</v>
      </c>
      <c r="J282" s="39">
        <f>J283+J296</f>
        <v>0</v>
      </c>
      <c r="K282" s="45">
        <f>K283+K288</f>
        <v>0</v>
      </c>
      <c r="L282" s="39">
        <f>L283+L296</f>
        <v>0</v>
      </c>
      <c r="M282" s="38">
        <f>M283+M296</f>
        <v>13707.000000000002</v>
      </c>
      <c r="N282" s="38">
        <f>N283+N296</f>
        <v>0</v>
      </c>
      <c r="O282" s="38">
        <f>O283+O296</f>
        <v>13707.000000000002</v>
      </c>
      <c r="P282" s="15"/>
    </row>
    <row r="283" spans="1:16" ht="31.5" x14ac:dyDescent="0.2">
      <c r="A283" s="40"/>
      <c r="B283" s="41" t="s">
        <v>400</v>
      </c>
      <c r="C283" s="42" t="s">
        <v>51</v>
      </c>
      <c r="D283" s="43" t="s">
        <v>399</v>
      </c>
      <c r="E283" s="43" t="s">
        <v>401</v>
      </c>
      <c r="F283" s="44" t="s">
        <v>11</v>
      </c>
      <c r="G283" s="45">
        <f>G284+G289</f>
        <v>13627.000000000002</v>
      </c>
      <c r="H283" s="45">
        <f>H284+H286</f>
        <v>0</v>
      </c>
      <c r="I283" s="45">
        <f>I284+I289</f>
        <v>13627.000000000002</v>
      </c>
      <c r="J283" s="46">
        <f>J284+J289</f>
        <v>0</v>
      </c>
      <c r="K283" s="45">
        <f>K284+K286</f>
        <v>0</v>
      </c>
      <c r="L283" s="46">
        <f>L284+L289</f>
        <v>0</v>
      </c>
      <c r="M283" s="45">
        <f>M284+M289</f>
        <v>13627.000000000002</v>
      </c>
      <c r="N283" s="45">
        <f>N284+N289</f>
        <v>0</v>
      </c>
      <c r="O283" s="45">
        <f>O284+O289</f>
        <v>13627.000000000002</v>
      </c>
    </row>
    <row r="284" spans="1:16" ht="47.25" x14ac:dyDescent="0.2">
      <c r="A284" s="40"/>
      <c r="B284" s="41" t="s">
        <v>402</v>
      </c>
      <c r="C284" s="42" t="s">
        <v>51</v>
      </c>
      <c r="D284" s="43" t="s">
        <v>399</v>
      </c>
      <c r="E284" s="43" t="s">
        <v>403</v>
      </c>
      <c r="F284" s="44" t="s">
        <v>11</v>
      </c>
      <c r="G284" s="45">
        <f>G285+G287</f>
        <v>2346.5</v>
      </c>
      <c r="H284" s="45">
        <f>H285</f>
        <v>0</v>
      </c>
      <c r="I284" s="45">
        <f>I285+I287</f>
        <v>2346.5</v>
      </c>
      <c r="J284" s="46">
        <f>J285+J287</f>
        <v>0</v>
      </c>
      <c r="K284" s="45">
        <f>K285</f>
        <v>0</v>
      </c>
      <c r="L284" s="46">
        <f>L285+L287</f>
        <v>0</v>
      </c>
      <c r="M284" s="45">
        <f>M285+M287</f>
        <v>2346.5</v>
      </c>
      <c r="N284" s="45">
        <f>N285+N287</f>
        <v>0</v>
      </c>
      <c r="O284" s="45">
        <f>O285+O287</f>
        <v>2346.5</v>
      </c>
    </row>
    <row r="285" spans="1:16" ht="47.25" x14ac:dyDescent="0.2">
      <c r="A285" s="40"/>
      <c r="B285" s="41" t="s">
        <v>404</v>
      </c>
      <c r="C285" s="42" t="s">
        <v>51</v>
      </c>
      <c r="D285" s="43" t="s">
        <v>399</v>
      </c>
      <c r="E285" s="43" t="s">
        <v>405</v>
      </c>
      <c r="F285" s="44" t="s">
        <v>11</v>
      </c>
      <c r="G285" s="45">
        <f>G286</f>
        <v>1500</v>
      </c>
      <c r="H285" s="45"/>
      <c r="I285" s="45">
        <f>I286</f>
        <v>1500</v>
      </c>
      <c r="J285" s="46">
        <f>J286</f>
        <v>0</v>
      </c>
      <c r="K285" s="45"/>
      <c r="L285" s="46">
        <f>L286</f>
        <v>0</v>
      </c>
      <c r="M285" s="45">
        <f>M286</f>
        <v>1500</v>
      </c>
      <c r="N285" s="45">
        <f>N286</f>
        <v>0</v>
      </c>
      <c r="O285" s="45">
        <f>O286</f>
        <v>1500</v>
      </c>
    </row>
    <row r="286" spans="1:16" ht="78.75" x14ac:dyDescent="0.2">
      <c r="A286" s="40"/>
      <c r="B286" s="41" t="s">
        <v>61</v>
      </c>
      <c r="C286" s="42" t="s">
        <v>51</v>
      </c>
      <c r="D286" s="43" t="s">
        <v>399</v>
      </c>
      <c r="E286" s="43" t="s">
        <v>405</v>
      </c>
      <c r="F286" s="44" t="s">
        <v>62</v>
      </c>
      <c r="G286" s="45">
        <v>1500</v>
      </c>
      <c r="H286" s="45"/>
      <c r="I286" s="45">
        <v>1500</v>
      </c>
      <c r="J286" s="47">
        <v>0</v>
      </c>
      <c r="K286" s="45"/>
      <c r="L286" s="47">
        <v>0</v>
      </c>
      <c r="M286" s="45">
        <v>1500</v>
      </c>
      <c r="N286" s="45"/>
      <c r="O286" s="45">
        <v>1500</v>
      </c>
    </row>
    <row r="287" spans="1:16" ht="47.25" x14ac:dyDescent="0.2">
      <c r="A287" s="40"/>
      <c r="B287" s="41" t="s">
        <v>406</v>
      </c>
      <c r="C287" s="42" t="s">
        <v>51</v>
      </c>
      <c r="D287" s="43" t="s">
        <v>399</v>
      </c>
      <c r="E287" s="43" t="s">
        <v>407</v>
      </c>
      <c r="F287" s="44" t="s">
        <v>11</v>
      </c>
      <c r="G287" s="45">
        <f>G288</f>
        <v>846.5</v>
      </c>
      <c r="H287" s="45"/>
      <c r="I287" s="45">
        <f>I288</f>
        <v>846.5</v>
      </c>
      <c r="J287" s="46">
        <f>J288</f>
        <v>0</v>
      </c>
      <c r="K287" s="45"/>
      <c r="L287" s="46">
        <f>L288</f>
        <v>0</v>
      </c>
      <c r="M287" s="45">
        <f>M288</f>
        <v>846.5</v>
      </c>
      <c r="N287" s="45">
        <f>N288</f>
        <v>0</v>
      </c>
      <c r="O287" s="45">
        <f>O288</f>
        <v>846.5</v>
      </c>
    </row>
    <row r="288" spans="1:16" ht="31.5" x14ac:dyDescent="0.2">
      <c r="A288" s="40"/>
      <c r="B288" s="41" t="s">
        <v>408</v>
      </c>
      <c r="C288" s="42" t="s">
        <v>51</v>
      </c>
      <c r="D288" s="43" t="s">
        <v>399</v>
      </c>
      <c r="E288" s="43" t="s">
        <v>407</v>
      </c>
      <c r="F288" s="44" t="s">
        <v>41</v>
      </c>
      <c r="G288" s="45">
        <v>846.5</v>
      </c>
      <c r="H288" s="45"/>
      <c r="I288" s="45">
        <v>846.5</v>
      </c>
      <c r="J288" s="47">
        <v>0</v>
      </c>
      <c r="K288" s="45"/>
      <c r="L288" s="47">
        <v>0</v>
      </c>
      <c r="M288" s="45">
        <v>846.5</v>
      </c>
      <c r="N288" s="45"/>
      <c r="O288" s="45">
        <v>846.5</v>
      </c>
    </row>
    <row r="289" spans="1:16" ht="49.15" customHeight="1" x14ac:dyDescent="0.2">
      <c r="A289" s="40"/>
      <c r="B289" s="41" t="s">
        <v>409</v>
      </c>
      <c r="C289" s="42" t="s">
        <v>51</v>
      </c>
      <c r="D289" s="43" t="s">
        <v>399</v>
      </c>
      <c r="E289" s="43" t="s">
        <v>410</v>
      </c>
      <c r="F289" s="44" t="s">
        <v>11</v>
      </c>
      <c r="G289" s="45">
        <f>G290+G294</f>
        <v>11280.500000000002</v>
      </c>
      <c r="H289" s="45">
        <f>H290+H291+H292</f>
        <v>0</v>
      </c>
      <c r="I289" s="45">
        <f>I290+I294</f>
        <v>11280.500000000002</v>
      </c>
      <c r="J289" s="46">
        <f>J290+J294</f>
        <v>0</v>
      </c>
      <c r="K289" s="45">
        <f>K290+K291+K292</f>
        <v>0</v>
      </c>
      <c r="L289" s="46">
        <f>L290+L294</f>
        <v>0</v>
      </c>
      <c r="M289" s="45">
        <f>M290+M294</f>
        <v>11280.500000000002</v>
      </c>
      <c r="N289" s="45">
        <f>N290+N294</f>
        <v>0</v>
      </c>
      <c r="O289" s="45">
        <f>O290+O294</f>
        <v>11280.500000000002</v>
      </c>
    </row>
    <row r="290" spans="1:16" ht="31.5" x14ac:dyDescent="0.2">
      <c r="A290" s="40"/>
      <c r="B290" s="41" t="s">
        <v>134</v>
      </c>
      <c r="C290" s="42" t="s">
        <v>51</v>
      </c>
      <c r="D290" s="43" t="s">
        <v>399</v>
      </c>
      <c r="E290" s="43" t="s">
        <v>411</v>
      </c>
      <c r="F290" s="44" t="s">
        <v>11</v>
      </c>
      <c r="G290" s="45">
        <f>G291+G292+G293</f>
        <v>10559.400000000001</v>
      </c>
      <c r="H290" s="45"/>
      <c r="I290" s="45">
        <f>I291+I292+I293</f>
        <v>10559.400000000001</v>
      </c>
      <c r="J290" s="46">
        <f>J291+J292+J293</f>
        <v>0</v>
      </c>
      <c r="K290" s="45"/>
      <c r="L290" s="46">
        <f>L291+L292+L293</f>
        <v>0</v>
      </c>
      <c r="M290" s="45">
        <f>M291+M292+M293</f>
        <v>10559.400000000001</v>
      </c>
      <c r="N290" s="45">
        <f>N291+N292+N293</f>
        <v>0</v>
      </c>
      <c r="O290" s="45">
        <f>O291+O292+O293</f>
        <v>10559.400000000001</v>
      </c>
    </row>
    <row r="291" spans="1:16" ht="78.75" x14ac:dyDescent="0.2">
      <c r="A291" s="40"/>
      <c r="B291" s="41" t="s">
        <v>61</v>
      </c>
      <c r="C291" s="42" t="s">
        <v>51</v>
      </c>
      <c r="D291" s="43" t="s">
        <v>399</v>
      </c>
      <c r="E291" s="43" t="s">
        <v>411</v>
      </c>
      <c r="F291" s="44" t="s">
        <v>62</v>
      </c>
      <c r="G291" s="45">
        <v>7992.2</v>
      </c>
      <c r="H291" s="45"/>
      <c r="I291" s="45">
        <v>7992.2</v>
      </c>
      <c r="J291" s="47">
        <v>0</v>
      </c>
      <c r="K291" s="45"/>
      <c r="L291" s="47">
        <v>0</v>
      </c>
      <c r="M291" s="45">
        <v>7992.2</v>
      </c>
      <c r="N291" s="45"/>
      <c r="O291" s="45">
        <v>7992.2</v>
      </c>
    </row>
    <row r="292" spans="1:16" ht="31.5" x14ac:dyDescent="0.2">
      <c r="A292" s="40"/>
      <c r="B292" s="41" t="s">
        <v>40</v>
      </c>
      <c r="C292" s="42" t="s">
        <v>51</v>
      </c>
      <c r="D292" s="43" t="s">
        <v>399</v>
      </c>
      <c r="E292" s="43" t="s">
        <v>411</v>
      </c>
      <c r="F292" s="44" t="s">
        <v>41</v>
      </c>
      <c r="G292" s="45">
        <v>2563.5</v>
      </c>
      <c r="H292" s="45"/>
      <c r="I292" s="45">
        <v>2563.5</v>
      </c>
      <c r="J292" s="47">
        <v>0</v>
      </c>
      <c r="K292" s="45"/>
      <c r="L292" s="47">
        <v>0</v>
      </c>
      <c r="M292" s="45">
        <v>2563.5</v>
      </c>
      <c r="N292" s="45"/>
      <c r="O292" s="45">
        <v>2563.5</v>
      </c>
    </row>
    <row r="293" spans="1:16" ht="15.75" x14ac:dyDescent="0.2">
      <c r="A293" s="40"/>
      <c r="B293" s="41" t="s">
        <v>338</v>
      </c>
      <c r="C293" s="42" t="s">
        <v>51</v>
      </c>
      <c r="D293" s="43" t="s">
        <v>399</v>
      </c>
      <c r="E293" s="43" t="s">
        <v>411</v>
      </c>
      <c r="F293" s="44" t="s">
        <v>71</v>
      </c>
      <c r="G293" s="45">
        <v>3.7</v>
      </c>
      <c r="H293" s="45"/>
      <c r="I293" s="45">
        <v>3.7</v>
      </c>
      <c r="J293" s="47">
        <v>0</v>
      </c>
      <c r="K293" s="45"/>
      <c r="L293" s="47">
        <v>0</v>
      </c>
      <c r="M293" s="45">
        <v>3.7</v>
      </c>
      <c r="N293" s="45"/>
      <c r="O293" s="45">
        <v>3.7</v>
      </c>
    </row>
    <row r="294" spans="1:16" ht="31.5" x14ac:dyDescent="0.2">
      <c r="A294" s="40"/>
      <c r="B294" s="41" t="s">
        <v>412</v>
      </c>
      <c r="C294" s="42" t="s">
        <v>51</v>
      </c>
      <c r="D294" s="43" t="s">
        <v>399</v>
      </c>
      <c r="E294" s="43" t="s">
        <v>413</v>
      </c>
      <c r="F294" s="44" t="s">
        <v>11</v>
      </c>
      <c r="G294" s="45">
        <f>G295</f>
        <v>721.1</v>
      </c>
      <c r="H294" s="45"/>
      <c r="I294" s="45">
        <f>I295</f>
        <v>721.1</v>
      </c>
      <c r="J294" s="46">
        <f>J295</f>
        <v>0</v>
      </c>
      <c r="K294" s="45"/>
      <c r="L294" s="46">
        <f>L295</f>
        <v>0</v>
      </c>
      <c r="M294" s="45">
        <f>M295</f>
        <v>721.1</v>
      </c>
      <c r="N294" s="45">
        <f>N295</f>
        <v>0</v>
      </c>
      <c r="O294" s="45">
        <f>O295</f>
        <v>721.1</v>
      </c>
    </row>
    <row r="295" spans="1:16" ht="31.5" x14ac:dyDescent="0.2">
      <c r="A295" s="40"/>
      <c r="B295" s="41" t="s">
        <v>40</v>
      </c>
      <c r="C295" s="42" t="s">
        <v>51</v>
      </c>
      <c r="D295" s="43" t="s">
        <v>399</v>
      </c>
      <c r="E295" s="43" t="s">
        <v>413</v>
      </c>
      <c r="F295" s="44" t="s">
        <v>41</v>
      </c>
      <c r="G295" s="45">
        <v>721.1</v>
      </c>
      <c r="H295" s="45"/>
      <c r="I295" s="45">
        <v>721.1</v>
      </c>
      <c r="J295" s="47">
        <v>0</v>
      </c>
      <c r="K295" s="45"/>
      <c r="L295" s="47">
        <v>0</v>
      </c>
      <c r="M295" s="45">
        <v>721.1</v>
      </c>
      <c r="N295" s="45"/>
      <c r="O295" s="45">
        <v>721.1</v>
      </c>
    </row>
    <row r="296" spans="1:16" ht="31.5" x14ac:dyDescent="0.2">
      <c r="A296" s="40"/>
      <c r="B296" s="41" t="s">
        <v>87</v>
      </c>
      <c r="C296" s="42" t="s">
        <v>51</v>
      </c>
      <c r="D296" s="43" t="s">
        <v>399</v>
      </c>
      <c r="E296" s="43" t="s">
        <v>88</v>
      </c>
      <c r="F296" s="44" t="s">
        <v>11</v>
      </c>
      <c r="G296" s="45">
        <f t="shared" ref="G296:I298" si="72">G297</f>
        <v>80</v>
      </c>
      <c r="H296" s="45">
        <f t="shared" si="72"/>
        <v>0</v>
      </c>
      <c r="I296" s="45">
        <f t="shared" si="72"/>
        <v>80</v>
      </c>
      <c r="J296" s="46">
        <f t="shared" ref="J296:L299" si="73">J297</f>
        <v>0</v>
      </c>
      <c r="K296" s="45">
        <f>K297</f>
        <v>0</v>
      </c>
      <c r="L296" s="46">
        <f t="shared" si="73"/>
        <v>0</v>
      </c>
      <c r="M296" s="45">
        <f t="shared" ref="M296:O299" si="74">M297</f>
        <v>80</v>
      </c>
      <c r="N296" s="45">
        <f t="shared" si="74"/>
        <v>0</v>
      </c>
      <c r="O296" s="45">
        <f t="shared" si="74"/>
        <v>80</v>
      </c>
    </row>
    <row r="297" spans="1:16" ht="47.25" x14ac:dyDescent="0.2">
      <c r="A297" s="40"/>
      <c r="B297" s="41" t="s">
        <v>89</v>
      </c>
      <c r="C297" s="42" t="s">
        <v>51</v>
      </c>
      <c r="D297" s="43" t="s">
        <v>399</v>
      </c>
      <c r="E297" s="43" t="s">
        <v>90</v>
      </c>
      <c r="F297" s="44" t="s">
        <v>11</v>
      </c>
      <c r="G297" s="45">
        <f t="shared" si="72"/>
        <v>80</v>
      </c>
      <c r="H297" s="45">
        <f t="shared" si="72"/>
        <v>0</v>
      </c>
      <c r="I297" s="45">
        <f t="shared" si="72"/>
        <v>80</v>
      </c>
      <c r="J297" s="46">
        <f t="shared" si="73"/>
        <v>0</v>
      </c>
      <c r="K297" s="45">
        <f>K298</f>
        <v>0</v>
      </c>
      <c r="L297" s="46">
        <f t="shared" si="73"/>
        <v>0</v>
      </c>
      <c r="M297" s="45">
        <f t="shared" si="74"/>
        <v>80</v>
      </c>
      <c r="N297" s="45">
        <f t="shared" si="74"/>
        <v>0</v>
      </c>
      <c r="O297" s="45">
        <f t="shared" si="74"/>
        <v>80</v>
      </c>
    </row>
    <row r="298" spans="1:16" ht="78.75" x14ac:dyDescent="0.2">
      <c r="A298" s="40"/>
      <c r="B298" s="41" t="s">
        <v>91</v>
      </c>
      <c r="C298" s="42" t="s">
        <v>51</v>
      </c>
      <c r="D298" s="43" t="s">
        <v>399</v>
      </c>
      <c r="E298" s="43" t="s">
        <v>92</v>
      </c>
      <c r="F298" s="44" t="s">
        <v>11</v>
      </c>
      <c r="G298" s="45">
        <f t="shared" si="72"/>
        <v>80</v>
      </c>
      <c r="H298" s="45">
        <f t="shared" si="72"/>
        <v>0</v>
      </c>
      <c r="I298" s="45">
        <f t="shared" si="72"/>
        <v>80</v>
      </c>
      <c r="J298" s="46">
        <f t="shared" si="73"/>
        <v>0</v>
      </c>
      <c r="K298" s="45">
        <f>K299</f>
        <v>0</v>
      </c>
      <c r="L298" s="46">
        <f t="shared" si="73"/>
        <v>0</v>
      </c>
      <c r="M298" s="45">
        <f t="shared" si="74"/>
        <v>80</v>
      </c>
      <c r="N298" s="45">
        <f t="shared" si="74"/>
        <v>0</v>
      </c>
      <c r="O298" s="45">
        <f t="shared" si="74"/>
        <v>80</v>
      </c>
    </row>
    <row r="299" spans="1:16" ht="47.25" x14ac:dyDescent="0.2">
      <c r="A299" s="40"/>
      <c r="B299" s="41" t="s">
        <v>93</v>
      </c>
      <c r="C299" s="42" t="s">
        <v>51</v>
      </c>
      <c r="D299" s="43" t="s">
        <v>399</v>
      </c>
      <c r="E299" s="43" t="s">
        <v>94</v>
      </c>
      <c r="F299" s="44" t="s">
        <v>11</v>
      </c>
      <c r="G299" s="45">
        <f>G300</f>
        <v>80</v>
      </c>
      <c r="H299" s="45"/>
      <c r="I299" s="45">
        <f>I300</f>
        <v>80</v>
      </c>
      <c r="J299" s="46">
        <f t="shared" si="73"/>
        <v>0</v>
      </c>
      <c r="K299" s="45"/>
      <c r="L299" s="46">
        <f t="shared" si="73"/>
        <v>0</v>
      </c>
      <c r="M299" s="45">
        <f t="shared" si="74"/>
        <v>80</v>
      </c>
      <c r="N299" s="45">
        <f t="shared" si="74"/>
        <v>0</v>
      </c>
      <c r="O299" s="45">
        <f t="shared" si="74"/>
        <v>80</v>
      </c>
    </row>
    <row r="300" spans="1:16" ht="30.6" customHeight="1" x14ac:dyDescent="0.2">
      <c r="A300" s="40"/>
      <c r="B300" s="41" t="s">
        <v>95</v>
      </c>
      <c r="C300" s="42" t="s">
        <v>51</v>
      </c>
      <c r="D300" s="43" t="s">
        <v>399</v>
      </c>
      <c r="E300" s="43" t="s">
        <v>94</v>
      </c>
      <c r="F300" s="44" t="s">
        <v>96</v>
      </c>
      <c r="G300" s="45">
        <v>80</v>
      </c>
      <c r="H300" s="25"/>
      <c r="I300" s="45">
        <v>80</v>
      </c>
      <c r="J300" s="47">
        <v>0</v>
      </c>
      <c r="K300" s="25"/>
      <c r="L300" s="47">
        <v>0</v>
      </c>
      <c r="M300" s="45">
        <v>80</v>
      </c>
      <c r="N300" s="45"/>
      <c r="O300" s="45">
        <v>80</v>
      </c>
    </row>
    <row r="301" spans="1:16" ht="15.75" x14ac:dyDescent="0.2">
      <c r="A301" s="20" t="s">
        <v>416</v>
      </c>
      <c r="B301" s="21" t="s">
        <v>417</v>
      </c>
      <c r="C301" s="22" t="s">
        <v>51</v>
      </c>
      <c r="D301" s="23" t="s">
        <v>418</v>
      </c>
      <c r="E301" s="23" t="s">
        <v>11</v>
      </c>
      <c r="F301" s="24" t="s">
        <v>11</v>
      </c>
      <c r="G301" s="25">
        <f>G302+G308+G314+G320</f>
        <v>11586.2</v>
      </c>
      <c r="H301" s="38">
        <f>H302</f>
        <v>0</v>
      </c>
      <c r="I301" s="25">
        <f>I302+I308+I314+I320</f>
        <v>11586.2</v>
      </c>
      <c r="J301" s="26">
        <f>J302+J308+J314+J320</f>
        <v>3074.2</v>
      </c>
      <c r="K301" s="38">
        <f>K302</f>
        <v>0</v>
      </c>
      <c r="L301" s="26">
        <f>L302+L308+L314+L320</f>
        <v>3074.2</v>
      </c>
      <c r="M301" s="25">
        <f>M302+M308+M314+M320</f>
        <v>14660.4</v>
      </c>
      <c r="N301" s="25">
        <f>N302+N308+N314+N320</f>
        <v>0</v>
      </c>
      <c r="O301" s="25">
        <f>O302+O308+O314+O320</f>
        <v>14660.4</v>
      </c>
      <c r="P301" s="17"/>
    </row>
    <row r="302" spans="1:16" ht="15.75" x14ac:dyDescent="0.2">
      <c r="A302" s="33" t="s">
        <v>419</v>
      </c>
      <c r="B302" s="34" t="s">
        <v>420</v>
      </c>
      <c r="C302" s="35" t="s">
        <v>51</v>
      </c>
      <c r="D302" s="36" t="s">
        <v>421</v>
      </c>
      <c r="E302" s="36" t="s">
        <v>11</v>
      </c>
      <c r="F302" s="37" t="s">
        <v>11</v>
      </c>
      <c r="G302" s="38">
        <f>G303</f>
        <v>4040</v>
      </c>
      <c r="H302" s="45">
        <f>H303</f>
        <v>0</v>
      </c>
      <c r="I302" s="38">
        <f>I303</f>
        <v>4040</v>
      </c>
      <c r="J302" s="39">
        <f t="shared" ref="J302:L306" si="75">J303</f>
        <v>0</v>
      </c>
      <c r="K302" s="45">
        <f>K303</f>
        <v>0</v>
      </c>
      <c r="L302" s="39">
        <f t="shared" si="75"/>
        <v>0</v>
      </c>
      <c r="M302" s="38">
        <f t="shared" ref="M302:O306" si="76">M303</f>
        <v>4040</v>
      </c>
      <c r="N302" s="38">
        <f t="shared" si="76"/>
        <v>0</v>
      </c>
      <c r="O302" s="38">
        <f t="shared" si="76"/>
        <v>4040</v>
      </c>
    </row>
    <row r="303" spans="1:16" ht="31.5" x14ac:dyDescent="0.2">
      <c r="A303" s="40"/>
      <c r="B303" s="41" t="s">
        <v>87</v>
      </c>
      <c r="C303" s="42" t="s">
        <v>51</v>
      </c>
      <c r="D303" s="43" t="s">
        <v>421</v>
      </c>
      <c r="E303" s="43" t="s">
        <v>88</v>
      </c>
      <c r="F303" s="44" t="s">
        <v>11</v>
      </c>
      <c r="G303" s="45">
        <f>G304</f>
        <v>4040</v>
      </c>
      <c r="H303" s="45">
        <f>H304</f>
        <v>0</v>
      </c>
      <c r="I303" s="45">
        <f>I304</f>
        <v>4040</v>
      </c>
      <c r="J303" s="46">
        <f t="shared" si="75"/>
        <v>0</v>
      </c>
      <c r="K303" s="45">
        <f>K304</f>
        <v>0</v>
      </c>
      <c r="L303" s="46">
        <f t="shared" si="75"/>
        <v>0</v>
      </c>
      <c r="M303" s="45">
        <f t="shared" si="76"/>
        <v>4040</v>
      </c>
      <c r="N303" s="45">
        <f t="shared" si="76"/>
        <v>0</v>
      </c>
      <c r="O303" s="45">
        <f t="shared" si="76"/>
        <v>4040</v>
      </c>
    </row>
    <row r="304" spans="1:16" ht="31.5" x14ac:dyDescent="0.2">
      <c r="A304" s="40"/>
      <c r="B304" s="41" t="s">
        <v>422</v>
      </c>
      <c r="C304" s="42" t="s">
        <v>51</v>
      </c>
      <c r="D304" s="43" t="s">
        <v>421</v>
      </c>
      <c r="E304" s="43" t="s">
        <v>423</v>
      </c>
      <c r="F304" s="44" t="s">
        <v>11</v>
      </c>
      <c r="G304" s="45">
        <f>G305</f>
        <v>4040</v>
      </c>
      <c r="H304" s="45">
        <f>H305</f>
        <v>0</v>
      </c>
      <c r="I304" s="45">
        <f>I305</f>
        <v>4040</v>
      </c>
      <c r="J304" s="46">
        <f t="shared" si="75"/>
        <v>0</v>
      </c>
      <c r="K304" s="45">
        <f>K305</f>
        <v>0</v>
      </c>
      <c r="L304" s="46">
        <f t="shared" si="75"/>
        <v>0</v>
      </c>
      <c r="M304" s="45">
        <f t="shared" si="76"/>
        <v>4040</v>
      </c>
      <c r="N304" s="45">
        <f t="shared" si="76"/>
        <v>0</v>
      </c>
      <c r="O304" s="45">
        <f t="shared" si="76"/>
        <v>4040</v>
      </c>
    </row>
    <row r="305" spans="1:15" ht="47.25" x14ac:dyDescent="0.2">
      <c r="A305" s="40"/>
      <c r="B305" s="41" t="s">
        <v>424</v>
      </c>
      <c r="C305" s="42" t="s">
        <v>51</v>
      </c>
      <c r="D305" s="43" t="s">
        <v>421</v>
      </c>
      <c r="E305" s="43" t="s">
        <v>425</v>
      </c>
      <c r="F305" s="44" t="s">
        <v>11</v>
      </c>
      <c r="G305" s="45">
        <f>G306</f>
        <v>4040</v>
      </c>
      <c r="H305" s="45">
        <f>H306</f>
        <v>0</v>
      </c>
      <c r="I305" s="45">
        <f>I306</f>
        <v>4040</v>
      </c>
      <c r="J305" s="46">
        <f t="shared" si="75"/>
        <v>0</v>
      </c>
      <c r="K305" s="45">
        <f>K306</f>
        <v>0</v>
      </c>
      <c r="L305" s="46">
        <f t="shared" si="75"/>
        <v>0</v>
      </c>
      <c r="M305" s="45">
        <f t="shared" si="76"/>
        <v>4040</v>
      </c>
      <c r="N305" s="45">
        <f t="shared" si="76"/>
        <v>0</v>
      </c>
      <c r="O305" s="45">
        <f t="shared" si="76"/>
        <v>4040</v>
      </c>
    </row>
    <row r="306" spans="1:15" ht="33" customHeight="1" x14ac:dyDescent="0.2">
      <c r="A306" s="40"/>
      <c r="B306" s="41" t="s">
        <v>426</v>
      </c>
      <c r="C306" s="42" t="s">
        <v>51</v>
      </c>
      <c r="D306" s="43" t="s">
        <v>421</v>
      </c>
      <c r="E306" s="43" t="s">
        <v>427</v>
      </c>
      <c r="F306" s="44" t="s">
        <v>11</v>
      </c>
      <c r="G306" s="45">
        <f>G307</f>
        <v>4040</v>
      </c>
      <c r="H306" s="45"/>
      <c r="I306" s="45">
        <f>I307</f>
        <v>4040</v>
      </c>
      <c r="J306" s="46">
        <f t="shared" si="75"/>
        <v>0</v>
      </c>
      <c r="K306" s="45"/>
      <c r="L306" s="46">
        <f t="shared" si="75"/>
        <v>0</v>
      </c>
      <c r="M306" s="45">
        <f t="shared" si="76"/>
        <v>4040</v>
      </c>
      <c r="N306" s="45">
        <f t="shared" si="76"/>
        <v>0</v>
      </c>
      <c r="O306" s="45">
        <f t="shared" si="76"/>
        <v>4040</v>
      </c>
    </row>
    <row r="307" spans="1:15" ht="31.5" x14ac:dyDescent="0.2">
      <c r="A307" s="40"/>
      <c r="B307" s="41" t="s">
        <v>112</v>
      </c>
      <c r="C307" s="42" t="s">
        <v>51</v>
      </c>
      <c r="D307" s="43" t="s">
        <v>421</v>
      </c>
      <c r="E307" s="43" t="s">
        <v>427</v>
      </c>
      <c r="F307" s="44" t="s">
        <v>113</v>
      </c>
      <c r="G307" s="45">
        <v>4040</v>
      </c>
      <c r="H307" s="38"/>
      <c r="I307" s="45">
        <v>4040</v>
      </c>
      <c r="J307" s="47">
        <v>0</v>
      </c>
      <c r="K307" s="38"/>
      <c r="L307" s="47">
        <v>0</v>
      </c>
      <c r="M307" s="45">
        <v>4040</v>
      </c>
      <c r="N307" s="45"/>
      <c r="O307" s="45">
        <v>4040</v>
      </c>
    </row>
    <row r="308" spans="1:15" ht="15.75" x14ac:dyDescent="0.2">
      <c r="A308" s="33" t="s">
        <v>428</v>
      </c>
      <c r="B308" s="34" t="s">
        <v>429</v>
      </c>
      <c r="C308" s="35" t="s">
        <v>51</v>
      </c>
      <c r="D308" s="36" t="s">
        <v>430</v>
      </c>
      <c r="E308" s="36" t="s">
        <v>11</v>
      </c>
      <c r="F308" s="37" t="s">
        <v>11</v>
      </c>
      <c r="G308" s="38">
        <f t="shared" ref="G308:I311" si="77">G309</f>
        <v>4496</v>
      </c>
      <c r="H308" s="45">
        <f t="shared" si="77"/>
        <v>0</v>
      </c>
      <c r="I308" s="38">
        <f t="shared" si="77"/>
        <v>4496</v>
      </c>
      <c r="J308" s="39">
        <f t="shared" ref="J308:L312" si="78">J309</f>
        <v>0</v>
      </c>
      <c r="K308" s="45">
        <f>K309</f>
        <v>0</v>
      </c>
      <c r="L308" s="39">
        <f t="shared" si="78"/>
        <v>0</v>
      </c>
      <c r="M308" s="38">
        <f t="shared" ref="M308:O312" si="79">M309</f>
        <v>4496</v>
      </c>
      <c r="N308" s="38">
        <f t="shared" si="79"/>
        <v>0</v>
      </c>
      <c r="O308" s="38">
        <f t="shared" si="79"/>
        <v>4496</v>
      </c>
    </row>
    <row r="309" spans="1:15" ht="31.5" x14ac:dyDescent="0.2">
      <c r="A309" s="40"/>
      <c r="B309" s="41" t="s">
        <v>87</v>
      </c>
      <c r="C309" s="42" t="s">
        <v>51</v>
      </c>
      <c r="D309" s="43" t="s">
        <v>430</v>
      </c>
      <c r="E309" s="43" t="s">
        <v>88</v>
      </c>
      <c r="F309" s="44" t="s">
        <v>11</v>
      </c>
      <c r="G309" s="45">
        <f t="shared" si="77"/>
        <v>4496</v>
      </c>
      <c r="H309" s="45">
        <f t="shared" si="77"/>
        <v>0</v>
      </c>
      <c r="I309" s="45">
        <f t="shared" si="77"/>
        <v>4496</v>
      </c>
      <c r="J309" s="46">
        <f t="shared" si="78"/>
        <v>0</v>
      </c>
      <c r="K309" s="45">
        <f>K310</f>
        <v>0</v>
      </c>
      <c r="L309" s="46">
        <f t="shared" si="78"/>
        <v>0</v>
      </c>
      <c r="M309" s="45">
        <f t="shared" si="79"/>
        <v>4496</v>
      </c>
      <c r="N309" s="45">
        <f t="shared" si="79"/>
        <v>0</v>
      </c>
      <c r="O309" s="45">
        <f t="shared" si="79"/>
        <v>4496</v>
      </c>
    </row>
    <row r="310" spans="1:15" ht="31.5" x14ac:dyDescent="0.2">
      <c r="A310" s="40"/>
      <c r="B310" s="41" t="s">
        <v>422</v>
      </c>
      <c r="C310" s="42" t="s">
        <v>51</v>
      </c>
      <c r="D310" s="43" t="s">
        <v>430</v>
      </c>
      <c r="E310" s="43" t="s">
        <v>423</v>
      </c>
      <c r="F310" s="44" t="s">
        <v>11</v>
      </c>
      <c r="G310" s="45">
        <f t="shared" si="77"/>
        <v>4496</v>
      </c>
      <c r="H310" s="45">
        <f t="shared" si="77"/>
        <v>0</v>
      </c>
      <c r="I310" s="45">
        <f t="shared" si="77"/>
        <v>4496</v>
      </c>
      <c r="J310" s="46">
        <f t="shared" si="78"/>
        <v>0</v>
      </c>
      <c r="K310" s="45">
        <f>K311</f>
        <v>0</v>
      </c>
      <c r="L310" s="46">
        <f t="shared" si="78"/>
        <v>0</v>
      </c>
      <c r="M310" s="45">
        <f t="shared" si="79"/>
        <v>4496</v>
      </c>
      <c r="N310" s="45">
        <f t="shared" si="79"/>
        <v>0</v>
      </c>
      <c r="O310" s="45">
        <f t="shared" si="79"/>
        <v>4496</v>
      </c>
    </row>
    <row r="311" spans="1:15" ht="31.5" x14ac:dyDescent="0.2">
      <c r="A311" s="40"/>
      <c r="B311" s="41" t="s">
        <v>431</v>
      </c>
      <c r="C311" s="42" t="s">
        <v>51</v>
      </c>
      <c r="D311" s="43" t="s">
        <v>430</v>
      </c>
      <c r="E311" s="43" t="s">
        <v>432</v>
      </c>
      <c r="F311" s="44" t="s">
        <v>11</v>
      </c>
      <c r="G311" s="45">
        <f t="shared" si="77"/>
        <v>4496</v>
      </c>
      <c r="H311" s="45">
        <f t="shared" si="77"/>
        <v>0</v>
      </c>
      <c r="I311" s="45">
        <f t="shared" si="77"/>
        <v>4496</v>
      </c>
      <c r="J311" s="46">
        <f t="shared" si="78"/>
        <v>0</v>
      </c>
      <c r="K311" s="45">
        <f>K312</f>
        <v>0</v>
      </c>
      <c r="L311" s="46">
        <f t="shared" si="78"/>
        <v>0</v>
      </c>
      <c r="M311" s="45">
        <f t="shared" si="79"/>
        <v>4496</v>
      </c>
      <c r="N311" s="45">
        <f t="shared" si="79"/>
        <v>0</v>
      </c>
      <c r="O311" s="45">
        <f t="shared" si="79"/>
        <v>4496</v>
      </c>
    </row>
    <row r="312" spans="1:15" ht="21" customHeight="1" x14ac:dyDescent="0.2">
      <c r="A312" s="40"/>
      <c r="B312" s="41" t="s">
        <v>433</v>
      </c>
      <c r="C312" s="42" t="s">
        <v>51</v>
      </c>
      <c r="D312" s="43" t="s">
        <v>430</v>
      </c>
      <c r="E312" s="43" t="s">
        <v>434</v>
      </c>
      <c r="F312" s="44" t="s">
        <v>11</v>
      </c>
      <c r="G312" s="45">
        <f>G313</f>
        <v>4496</v>
      </c>
      <c r="H312" s="45"/>
      <c r="I312" s="45">
        <f>I313</f>
        <v>4496</v>
      </c>
      <c r="J312" s="46">
        <f t="shared" si="78"/>
        <v>0</v>
      </c>
      <c r="K312" s="45"/>
      <c r="L312" s="46">
        <f t="shared" si="78"/>
        <v>0</v>
      </c>
      <c r="M312" s="45">
        <f t="shared" si="79"/>
        <v>4496</v>
      </c>
      <c r="N312" s="45">
        <f t="shared" si="79"/>
        <v>0</v>
      </c>
      <c r="O312" s="45">
        <f t="shared" si="79"/>
        <v>4496</v>
      </c>
    </row>
    <row r="313" spans="1:15" ht="31.5" x14ac:dyDescent="0.2">
      <c r="A313" s="40"/>
      <c r="B313" s="41" t="s">
        <v>112</v>
      </c>
      <c r="C313" s="42" t="s">
        <v>51</v>
      </c>
      <c r="D313" s="43" t="s">
        <v>430</v>
      </c>
      <c r="E313" s="43" t="s">
        <v>434</v>
      </c>
      <c r="F313" s="44" t="s">
        <v>113</v>
      </c>
      <c r="G313" s="45">
        <v>4496</v>
      </c>
      <c r="H313" s="38"/>
      <c r="I313" s="45">
        <v>4496</v>
      </c>
      <c r="J313" s="47">
        <v>0</v>
      </c>
      <c r="K313" s="38"/>
      <c r="L313" s="47">
        <v>0</v>
      </c>
      <c r="M313" s="45">
        <v>4496</v>
      </c>
      <c r="N313" s="45"/>
      <c r="O313" s="45">
        <v>4496</v>
      </c>
    </row>
    <row r="314" spans="1:15" ht="15.75" x14ac:dyDescent="0.2">
      <c r="A314" s="33" t="s">
        <v>435</v>
      </c>
      <c r="B314" s="34" t="s">
        <v>436</v>
      </c>
      <c r="C314" s="35" t="s">
        <v>51</v>
      </c>
      <c r="D314" s="36" t="s">
        <v>437</v>
      </c>
      <c r="E314" s="36" t="s">
        <v>11</v>
      </c>
      <c r="F314" s="37" t="s">
        <v>11</v>
      </c>
      <c r="G314" s="38">
        <f t="shared" ref="G314:I317" si="80">G315</f>
        <v>2930.2</v>
      </c>
      <c r="H314" s="45">
        <f t="shared" si="80"/>
        <v>0</v>
      </c>
      <c r="I314" s="38">
        <f t="shared" si="80"/>
        <v>2930.2</v>
      </c>
      <c r="J314" s="39">
        <f t="shared" ref="J314:L318" si="81">J315</f>
        <v>3074.2</v>
      </c>
      <c r="K314" s="45">
        <f>K315</f>
        <v>0</v>
      </c>
      <c r="L314" s="39">
        <f t="shared" si="81"/>
        <v>3074.2</v>
      </c>
      <c r="M314" s="38">
        <f t="shared" ref="M314:O318" si="82">M315</f>
        <v>6004.4</v>
      </c>
      <c r="N314" s="38">
        <f t="shared" si="82"/>
        <v>0</v>
      </c>
      <c r="O314" s="38">
        <f t="shared" si="82"/>
        <v>6004.4</v>
      </c>
    </row>
    <row r="315" spans="1:15" ht="31.5" x14ac:dyDescent="0.2">
      <c r="A315" s="40"/>
      <c r="B315" s="41" t="s">
        <v>245</v>
      </c>
      <c r="C315" s="42" t="s">
        <v>51</v>
      </c>
      <c r="D315" s="43" t="s">
        <v>437</v>
      </c>
      <c r="E315" s="43" t="s">
        <v>246</v>
      </c>
      <c r="F315" s="44" t="s">
        <v>11</v>
      </c>
      <c r="G315" s="45">
        <f t="shared" si="80"/>
        <v>2930.2</v>
      </c>
      <c r="H315" s="45">
        <f t="shared" si="80"/>
        <v>0</v>
      </c>
      <c r="I315" s="45">
        <f t="shared" si="80"/>
        <v>2930.2</v>
      </c>
      <c r="J315" s="46">
        <f t="shared" si="81"/>
        <v>3074.2</v>
      </c>
      <c r="K315" s="45">
        <f>K316</f>
        <v>0</v>
      </c>
      <c r="L315" s="46">
        <f t="shared" si="81"/>
        <v>3074.2</v>
      </c>
      <c r="M315" s="45">
        <f t="shared" si="82"/>
        <v>6004.4</v>
      </c>
      <c r="N315" s="45">
        <f t="shared" si="82"/>
        <v>0</v>
      </c>
      <c r="O315" s="45">
        <f t="shared" si="82"/>
        <v>6004.4</v>
      </c>
    </row>
    <row r="316" spans="1:15" ht="31.5" x14ac:dyDescent="0.2">
      <c r="A316" s="40"/>
      <c r="B316" s="41" t="s">
        <v>438</v>
      </c>
      <c r="C316" s="42" t="s">
        <v>51</v>
      </c>
      <c r="D316" s="43" t="s">
        <v>437</v>
      </c>
      <c r="E316" s="43" t="s">
        <v>439</v>
      </c>
      <c r="F316" s="44" t="s">
        <v>11</v>
      </c>
      <c r="G316" s="45">
        <f t="shared" si="80"/>
        <v>2930.2</v>
      </c>
      <c r="H316" s="45">
        <f t="shared" si="80"/>
        <v>0</v>
      </c>
      <c r="I316" s="45">
        <f t="shared" si="80"/>
        <v>2930.2</v>
      </c>
      <c r="J316" s="46">
        <f t="shared" si="81"/>
        <v>3074.2</v>
      </c>
      <c r="K316" s="45">
        <f>K317</f>
        <v>0</v>
      </c>
      <c r="L316" s="46">
        <f t="shared" si="81"/>
        <v>3074.2</v>
      </c>
      <c r="M316" s="45">
        <f t="shared" si="82"/>
        <v>6004.4</v>
      </c>
      <c r="N316" s="45">
        <f t="shared" si="82"/>
        <v>0</v>
      </c>
      <c r="O316" s="45">
        <f t="shared" si="82"/>
        <v>6004.4</v>
      </c>
    </row>
    <row r="317" spans="1:15" ht="31.5" x14ac:dyDescent="0.2">
      <c r="A317" s="40"/>
      <c r="B317" s="41" t="s">
        <v>440</v>
      </c>
      <c r="C317" s="42" t="s">
        <v>51</v>
      </c>
      <c r="D317" s="43" t="s">
        <v>437</v>
      </c>
      <c r="E317" s="43" t="s">
        <v>441</v>
      </c>
      <c r="F317" s="44" t="s">
        <v>11</v>
      </c>
      <c r="G317" s="45">
        <f t="shared" si="80"/>
        <v>2930.2</v>
      </c>
      <c r="H317" s="45">
        <f t="shared" si="80"/>
        <v>0</v>
      </c>
      <c r="I317" s="45">
        <f t="shared" si="80"/>
        <v>2930.2</v>
      </c>
      <c r="J317" s="46">
        <f t="shared" si="81"/>
        <v>3074.2</v>
      </c>
      <c r="K317" s="45">
        <f>K318</f>
        <v>0</v>
      </c>
      <c r="L317" s="46">
        <f t="shared" si="81"/>
        <v>3074.2</v>
      </c>
      <c r="M317" s="45">
        <f t="shared" si="82"/>
        <v>6004.4</v>
      </c>
      <c r="N317" s="45">
        <f t="shared" si="82"/>
        <v>0</v>
      </c>
      <c r="O317" s="45">
        <f t="shared" si="82"/>
        <v>6004.4</v>
      </c>
    </row>
    <row r="318" spans="1:15" ht="31.5" x14ac:dyDescent="0.2">
      <c r="A318" s="40"/>
      <c r="B318" s="41" t="s">
        <v>442</v>
      </c>
      <c r="C318" s="42" t="s">
        <v>51</v>
      </c>
      <c r="D318" s="43" t="s">
        <v>437</v>
      </c>
      <c r="E318" s="43" t="s">
        <v>443</v>
      </c>
      <c r="F318" s="44" t="s">
        <v>11</v>
      </c>
      <c r="G318" s="45">
        <f>G319</f>
        <v>2930.2</v>
      </c>
      <c r="H318" s="45"/>
      <c r="I318" s="45">
        <f>I319</f>
        <v>2930.2</v>
      </c>
      <c r="J318" s="46">
        <f t="shared" si="81"/>
        <v>3074.2</v>
      </c>
      <c r="K318" s="45"/>
      <c r="L318" s="46">
        <f t="shared" si="81"/>
        <v>3074.2</v>
      </c>
      <c r="M318" s="45">
        <f t="shared" si="82"/>
        <v>6004.4</v>
      </c>
      <c r="N318" s="45">
        <f t="shared" si="82"/>
        <v>0</v>
      </c>
      <c r="O318" s="45">
        <f t="shared" si="82"/>
        <v>6004.4</v>
      </c>
    </row>
    <row r="319" spans="1:15" ht="31.5" x14ac:dyDescent="0.2">
      <c r="A319" s="40"/>
      <c r="B319" s="41" t="s">
        <v>112</v>
      </c>
      <c r="C319" s="42" t="s">
        <v>51</v>
      </c>
      <c r="D319" s="43" t="s">
        <v>437</v>
      </c>
      <c r="E319" s="43" t="s">
        <v>443</v>
      </c>
      <c r="F319" s="44" t="s">
        <v>113</v>
      </c>
      <c r="G319" s="45">
        <v>2930.2</v>
      </c>
      <c r="H319" s="38"/>
      <c r="I319" s="45">
        <v>2930.2</v>
      </c>
      <c r="J319" s="47">
        <v>3074.2</v>
      </c>
      <c r="K319" s="38"/>
      <c r="L319" s="47">
        <v>3074.2</v>
      </c>
      <c r="M319" s="45">
        <f>2930.2+J319</f>
        <v>6004.4</v>
      </c>
      <c r="N319" s="45"/>
      <c r="O319" s="45">
        <f>2930.2+L319</f>
        <v>6004.4</v>
      </c>
    </row>
    <row r="320" spans="1:15" ht="15.75" x14ac:dyDescent="0.2">
      <c r="A320" s="33" t="s">
        <v>444</v>
      </c>
      <c r="B320" s="34" t="s">
        <v>445</v>
      </c>
      <c r="C320" s="35" t="s">
        <v>51</v>
      </c>
      <c r="D320" s="36" t="s">
        <v>446</v>
      </c>
      <c r="E320" s="36" t="s">
        <v>11</v>
      </c>
      <c r="F320" s="37" t="s">
        <v>11</v>
      </c>
      <c r="G320" s="38">
        <f t="shared" ref="G320:I323" si="83">G321</f>
        <v>120</v>
      </c>
      <c r="H320" s="45">
        <f t="shared" si="83"/>
        <v>0</v>
      </c>
      <c r="I320" s="38">
        <f t="shared" si="83"/>
        <v>120</v>
      </c>
      <c r="J320" s="39">
        <f t="shared" ref="J320:L324" si="84">J321</f>
        <v>0</v>
      </c>
      <c r="K320" s="45">
        <f>K321</f>
        <v>0</v>
      </c>
      <c r="L320" s="39">
        <f t="shared" si="84"/>
        <v>0</v>
      </c>
      <c r="M320" s="38">
        <f t="shared" ref="M320:O324" si="85">M321</f>
        <v>120</v>
      </c>
      <c r="N320" s="38">
        <f t="shared" si="85"/>
        <v>0</v>
      </c>
      <c r="O320" s="38">
        <f t="shared" si="85"/>
        <v>120</v>
      </c>
    </row>
    <row r="321" spans="1:15" ht="31.5" x14ac:dyDescent="0.2">
      <c r="A321" s="40"/>
      <c r="B321" s="41" t="s">
        <v>87</v>
      </c>
      <c r="C321" s="42" t="s">
        <v>51</v>
      </c>
      <c r="D321" s="43" t="s">
        <v>446</v>
      </c>
      <c r="E321" s="43" t="s">
        <v>88</v>
      </c>
      <c r="F321" s="44" t="s">
        <v>11</v>
      </c>
      <c r="G321" s="45">
        <f t="shared" si="83"/>
        <v>120</v>
      </c>
      <c r="H321" s="45">
        <f t="shared" si="83"/>
        <v>0</v>
      </c>
      <c r="I321" s="45">
        <f t="shared" si="83"/>
        <v>120</v>
      </c>
      <c r="J321" s="46">
        <f t="shared" si="84"/>
        <v>0</v>
      </c>
      <c r="K321" s="45">
        <f>K322</f>
        <v>0</v>
      </c>
      <c r="L321" s="46">
        <f t="shared" si="84"/>
        <v>0</v>
      </c>
      <c r="M321" s="45">
        <f t="shared" si="85"/>
        <v>120</v>
      </c>
      <c r="N321" s="45">
        <f t="shared" si="85"/>
        <v>0</v>
      </c>
      <c r="O321" s="45">
        <f t="shared" si="85"/>
        <v>120</v>
      </c>
    </row>
    <row r="322" spans="1:15" ht="47.25" x14ac:dyDescent="0.2">
      <c r="A322" s="40"/>
      <c r="B322" s="41" t="s">
        <v>89</v>
      </c>
      <c r="C322" s="42" t="s">
        <v>51</v>
      </c>
      <c r="D322" s="43" t="s">
        <v>446</v>
      </c>
      <c r="E322" s="43" t="s">
        <v>90</v>
      </c>
      <c r="F322" s="44" t="s">
        <v>11</v>
      </c>
      <c r="G322" s="45">
        <f t="shared" si="83"/>
        <v>120</v>
      </c>
      <c r="H322" s="45">
        <f t="shared" si="83"/>
        <v>0</v>
      </c>
      <c r="I322" s="45">
        <f t="shared" si="83"/>
        <v>120</v>
      </c>
      <c r="J322" s="46">
        <f t="shared" si="84"/>
        <v>0</v>
      </c>
      <c r="K322" s="45">
        <f>K323</f>
        <v>0</v>
      </c>
      <c r="L322" s="46">
        <f t="shared" si="84"/>
        <v>0</v>
      </c>
      <c r="M322" s="45">
        <f t="shared" si="85"/>
        <v>120</v>
      </c>
      <c r="N322" s="45">
        <f t="shared" si="85"/>
        <v>0</v>
      </c>
      <c r="O322" s="45">
        <f t="shared" si="85"/>
        <v>120</v>
      </c>
    </row>
    <row r="323" spans="1:15" ht="78.75" x14ac:dyDescent="0.2">
      <c r="A323" s="40"/>
      <c r="B323" s="41" t="s">
        <v>91</v>
      </c>
      <c r="C323" s="42" t="s">
        <v>51</v>
      </c>
      <c r="D323" s="43" t="s">
        <v>446</v>
      </c>
      <c r="E323" s="43" t="s">
        <v>92</v>
      </c>
      <c r="F323" s="44" t="s">
        <v>11</v>
      </c>
      <c r="G323" s="45">
        <f t="shared" si="83"/>
        <v>120</v>
      </c>
      <c r="H323" s="45">
        <f t="shared" si="83"/>
        <v>0</v>
      </c>
      <c r="I323" s="45">
        <f t="shared" si="83"/>
        <v>120</v>
      </c>
      <c r="J323" s="46">
        <f t="shared" si="84"/>
        <v>0</v>
      </c>
      <c r="K323" s="45">
        <f>K324</f>
        <v>0</v>
      </c>
      <c r="L323" s="46">
        <f t="shared" si="84"/>
        <v>0</v>
      </c>
      <c r="M323" s="45">
        <f t="shared" si="85"/>
        <v>120</v>
      </c>
      <c r="N323" s="45">
        <f t="shared" si="85"/>
        <v>0</v>
      </c>
      <c r="O323" s="45">
        <f t="shared" si="85"/>
        <v>120</v>
      </c>
    </row>
    <row r="324" spans="1:15" ht="47.25" x14ac:dyDescent="0.2">
      <c r="A324" s="40"/>
      <c r="B324" s="41" t="s">
        <v>93</v>
      </c>
      <c r="C324" s="42" t="s">
        <v>51</v>
      </c>
      <c r="D324" s="43" t="s">
        <v>446</v>
      </c>
      <c r="E324" s="43" t="s">
        <v>94</v>
      </c>
      <c r="F324" s="44" t="s">
        <v>11</v>
      </c>
      <c r="G324" s="45">
        <f>G325</f>
        <v>120</v>
      </c>
      <c r="H324" s="45"/>
      <c r="I324" s="45">
        <f>I325</f>
        <v>120</v>
      </c>
      <c r="J324" s="46">
        <f t="shared" si="84"/>
        <v>0</v>
      </c>
      <c r="K324" s="45"/>
      <c r="L324" s="46">
        <f t="shared" si="84"/>
        <v>0</v>
      </c>
      <c r="M324" s="45">
        <f t="shared" si="85"/>
        <v>120</v>
      </c>
      <c r="N324" s="45">
        <f t="shared" si="85"/>
        <v>0</v>
      </c>
      <c r="O324" s="45">
        <f t="shared" si="85"/>
        <v>120</v>
      </c>
    </row>
    <row r="325" spans="1:15" ht="33.6" customHeight="1" x14ac:dyDescent="0.2">
      <c r="A325" s="40"/>
      <c r="B325" s="41" t="s">
        <v>95</v>
      </c>
      <c r="C325" s="42" t="s">
        <v>51</v>
      </c>
      <c r="D325" s="43" t="s">
        <v>446</v>
      </c>
      <c r="E325" s="43" t="s">
        <v>94</v>
      </c>
      <c r="F325" s="44" t="s">
        <v>96</v>
      </c>
      <c r="G325" s="45">
        <v>120</v>
      </c>
      <c r="H325" s="25"/>
      <c r="I325" s="45">
        <v>120</v>
      </c>
      <c r="J325" s="47">
        <v>0</v>
      </c>
      <c r="K325" s="25"/>
      <c r="L325" s="47">
        <v>0</v>
      </c>
      <c r="M325" s="45">
        <v>120</v>
      </c>
      <c r="N325" s="45"/>
      <c r="O325" s="45">
        <v>120</v>
      </c>
    </row>
    <row r="326" spans="1:15" ht="15.75" x14ac:dyDescent="0.2">
      <c r="A326" s="20" t="s">
        <v>447</v>
      </c>
      <c r="B326" s="21" t="s">
        <v>448</v>
      </c>
      <c r="C326" s="22" t="s">
        <v>51</v>
      </c>
      <c r="D326" s="23" t="s">
        <v>449</v>
      </c>
      <c r="E326" s="23" t="s">
        <v>11</v>
      </c>
      <c r="F326" s="24" t="s">
        <v>11</v>
      </c>
      <c r="G326" s="25">
        <f>G327</f>
        <v>1863.8</v>
      </c>
      <c r="H326" s="38">
        <f>H327+H332</f>
        <v>300</v>
      </c>
      <c r="I326" s="25">
        <f>I327</f>
        <v>1863.8</v>
      </c>
      <c r="J326" s="26">
        <f>J327</f>
        <v>0</v>
      </c>
      <c r="K326" s="38">
        <f>K327+K332</f>
        <v>300</v>
      </c>
      <c r="L326" s="26">
        <f>L327</f>
        <v>0</v>
      </c>
      <c r="M326" s="25">
        <f>M327</f>
        <v>1863.8</v>
      </c>
      <c r="N326" s="25">
        <f>N327</f>
        <v>0</v>
      </c>
      <c r="O326" s="25">
        <f>O327</f>
        <v>1863.8</v>
      </c>
    </row>
    <row r="327" spans="1:15" ht="15.75" x14ac:dyDescent="0.2">
      <c r="A327" s="33" t="s">
        <v>450</v>
      </c>
      <c r="B327" s="34" t="s">
        <v>451</v>
      </c>
      <c r="C327" s="35" t="s">
        <v>51</v>
      </c>
      <c r="D327" s="36" t="s">
        <v>452</v>
      </c>
      <c r="E327" s="36" t="s">
        <v>11</v>
      </c>
      <c r="F327" s="37" t="s">
        <v>11</v>
      </c>
      <c r="G327" s="38">
        <f>G328+G333</f>
        <v>1863.8</v>
      </c>
      <c r="H327" s="45">
        <f t="shared" ref="G327:O329" si="86">H328</f>
        <v>300</v>
      </c>
      <c r="I327" s="38">
        <f>I328+I333</f>
        <v>1863.8</v>
      </c>
      <c r="J327" s="39">
        <f>J328+J333</f>
        <v>0</v>
      </c>
      <c r="K327" s="45">
        <f t="shared" si="86"/>
        <v>300</v>
      </c>
      <c r="L327" s="39">
        <f>L328+L333</f>
        <v>0</v>
      </c>
      <c r="M327" s="38">
        <f>M328+M333</f>
        <v>1863.8</v>
      </c>
      <c r="N327" s="38">
        <f>N328+N333</f>
        <v>0</v>
      </c>
      <c r="O327" s="38">
        <f>O328+O333</f>
        <v>1863.8</v>
      </c>
    </row>
    <row r="328" spans="1:15" ht="31.5" x14ac:dyDescent="0.2">
      <c r="A328" s="40"/>
      <c r="B328" s="41" t="s">
        <v>453</v>
      </c>
      <c r="C328" s="42" t="s">
        <v>51</v>
      </c>
      <c r="D328" s="43" t="s">
        <v>452</v>
      </c>
      <c r="E328" s="43" t="s">
        <v>454</v>
      </c>
      <c r="F328" s="44" t="s">
        <v>11</v>
      </c>
      <c r="G328" s="45">
        <f t="shared" si="86"/>
        <v>1813.8</v>
      </c>
      <c r="H328" s="45">
        <f t="shared" si="86"/>
        <v>300</v>
      </c>
      <c r="I328" s="45">
        <f t="shared" si="86"/>
        <v>1813.8</v>
      </c>
      <c r="J328" s="46">
        <f t="shared" si="86"/>
        <v>0</v>
      </c>
      <c r="K328" s="45">
        <f t="shared" si="86"/>
        <v>300</v>
      </c>
      <c r="L328" s="46">
        <f t="shared" si="86"/>
        <v>0</v>
      </c>
      <c r="M328" s="45">
        <f t="shared" si="86"/>
        <v>1813.8</v>
      </c>
      <c r="N328" s="45">
        <f t="shared" si="86"/>
        <v>0</v>
      </c>
      <c r="O328" s="45">
        <f t="shared" si="86"/>
        <v>1813.8</v>
      </c>
    </row>
    <row r="329" spans="1:15" ht="63" x14ac:dyDescent="0.2">
      <c r="A329" s="40"/>
      <c r="B329" s="41" t="s">
        <v>455</v>
      </c>
      <c r="C329" s="42" t="s">
        <v>51</v>
      </c>
      <c r="D329" s="43" t="s">
        <v>452</v>
      </c>
      <c r="E329" s="43" t="s">
        <v>456</v>
      </c>
      <c r="F329" s="44" t="s">
        <v>11</v>
      </c>
      <c r="G329" s="45">
        <f t="shared" si="86"/>
        <v>1813.8</v>
      </c>
      <c r="H329" s="45">
        <f>H330+H331</f>
        <v>300</v>
      </c>
      <c r="I329" s="45">
        <f t="shared" si="86"/>
        <v>1813.8</v>
      </c>
      <c r="J329" s="46">
        <f t="shared" si="86"/>
        <v>0</v>
      </c>
      <c r="K329" s="45">
        <f>K330+K331</f>
        <v>300</v>
      </c>
      <c r="L329" s="46">
        <f t="shared" si="86"/>
        <v>0</v>
      </c>
      <c r="M329" s="45">
        <f t="shared" si="86"/>
        <v>1813.8</v>
      </c>
      <c r="N329" s="45">
        <f t="shared" si="86"/>
        <v>0</v>
      </c>
      <c r="O329" s="45">
        <f t="shared" si="86"/>
        <v>1813.8</v>
      </c>
    </row>
    <row r="330" spans="1:15" ht="47.25" x14ac:dyDescent="0.2">
      <c r="A330" s="40"/>
      <c r="B330" s="41" t="s">
        <v>457</v>
      </c>
      <c r="C330" s="42" t="s">
        <v>51</v>
      </c>
      <c r="D330" s="43" t="s">
        <v>452</v>
      </c>
      <c r="E330" s="43" t="s">
        <v>458</v>
      </c>
      <c r="F330" s="44" t="s">
        <v>11</v>
      </c>
      <c r="G330" s="45">
        <f>G331+G332</f>
        <v>1813.8</v>
      </c>
      <c r="H330" s="45">
        <v>300</v>
      </c>
      <c r="I330" s="45">
        <f>I331+I332</f>
        <v>1813.8</v>
      </c>
      <c r="J330" s="46">
        <f>J331+J332</f>
        <v>0</v>
      </c>
      <c r="K330" s="45">
        <v>300</v>
      </c>
      <c r="L330" s="46">
        <f>L331+L332</f>
        <v>0</v>
      </c>
      <c r="M330" s="45">
        <f>M331+M332</f>
        <v>1813.8</v>
      </c>
      <c r="N330" s="45">
        <f>N331+N332</f>
        <v>0</v>
      </c>
      <c r="O330" s="45">
        <f>O331+O332</f>
        <v>1813.8</v>
      </c>
    </row>
    <row r="331" spans="1:15" ht="31.5" x14ac:dyDescent="0.2">
      <c r="A331" s="40"/>
      <c r="B331" s="41" t="s">
        <v>40</v>
      </c>
      <c r="C331" s="42" t="s">
        <v>51</v>
      </c>
      <c r="D331" s="43" t="s">
        <v>452</v>
      </c>
      <c r="E331" s="43" t="s">
        <v>458</v>
      </c>
      <c r="F331" s="44" t="s">
        <v>41</v>
      </c>
      <c r="G331" s="45">
        <v>300</v>
      </c>
      <c r="H331" s="45"/>
      <c r="I331" s="45">
        <v>300</v>
      </c>
      <c r="J331" s="47">
        <v>0</v>
      </c>
      <c r="K331" s="45"/>
      <c r="L331" s="47">
        <v>0</v>
      </c>
      <c r="M331" s="45">
        <v>300</v>
      </c>
      <c r="N331" s="45"/>
      <c r="O331" s="45">
        <v>300</v>
      </c>
    </row>
    <row r="332" spans="1:15" ht="31.5" x14ac:dyDescent="0.2">
      <c r="A332" s="40"/>
      <c r="B332" s="41" t="s">
        <v>112</v>
      </c>
      <c r="C332" s="42" t="s">
        <v>51</v>
      </c>
      <c r="D332" s="43" t="s">
        <v>452</v>
      </c>
      <c r="E332" s="43" t="s">
        <v>458</v>
      </c>
      <c r="F332" s="44" t="s">
        <v>113</v>
      </c>
      <c r="G332" s="45">
        <v>1513.8</v>
      </c>
      <c r="H332" s="45"/>
      <c r="I332" s="45">
        <v>1513.8</v>
      </c>
      <c r="J332" s="47">
        <v>0</v>
      </c>
      <c r="K332" s="45"/>
      <c r="L332" s="47">
        <v>0</v>
      </c>
      <c r="M332" s="45">
        <v>1513.8</v>
      </c>
      <c r="N332" s="45"/>
      <c r="O332" s="45">
        <v>1513.8</v>
      </c>
    </row>
    <row r="333" spans="1:15" ht="15.75" x14ac:dyDescent="0.2">
      <c r="A333" s="40"/>
      <c r="B333" s="41" t="s">
        <v>459</v>
      </c>
      <c r="C333" s="42" t="s">
        <v>51</v>
      </c>
      <c r="D333" s="43" t="s">
        <v>452</v>
      </c>
      <c r="E333" s="43" t="s">
        <v>460</v>
      </c>
      <c r="F333" s="44" t="s">
        <v>11</v>
      </c>
      <c r="G333" s="45">
        <f t="shared" ref="G333:I334" si="87">G334</f>
        <v>50</v>
      </c>
      <c r="H333" s="45">
        <f t="shared" si="87"/>
        <v>0</v>
      </c>
      <c r="I333" s="45">
        <f t="shared" si="87"/>
        <v>50</v>
      </c>
      <c r="J333" s="46">
        <f t="shared" ref="J333:L335" si="88">J334</f>
        <v>0</v>
      </c>
      <c r="K333" s="45">
        <f>K334</f>
        <v>0</v>
      </c>
      <c r="L333" s="46">
        <f t="shared" si="88"/>
        <v>0</v>
      </c>
      <c r="M333" s="45">
        <f t="shared" ref="M333:O335" si="89">M334</f>
        <v>50</v>
      </c>
      <c r="N333" s="45">
        <f t="shared" si="89"/>
        <v>0</v>
      </c>
      <c r="O333" s="45">
        <f t="shared" si="89"/>
        <v>50</v>
      </c>
    </row>
    <row r="334" spans="1:15" ht="63" x14ac:dyDescent="0.2">
      <c r="A334" s="40"/>
      <c r="B334" s="41" t="s">
        <v>461</v>
      </c>
      <c r="C334" s="42" t="s">
        <v>51</v>
      </c>
      <c r="D334" s="43" t="s">
        <v>452</v>
      </c>
      <c r="E334" s="43" t="s">
        <v>462</v>
      </c>
      <c r="F334" s="44" t="s">
        <v>11</v>
      </c>
      <c r="G334" s="45">
        <f t="shared" si="87"/>
        <v>50</v>
      </c>
      <c r="H334" s="45">
        <f t="shared" si="87"/>
        <v>0</v>
      </c>
      <c r="I334" s="45">
        <f t="shared" si="87"/>
        <v>50</v>
      </c>
      <c r="J334" s="46">
        <f t="shared" si="88"/>
        <v>0</v>
      </c>
      <c r="K334" s="45">
        <f>K335</f>
        <v>0</v>
      </c>
      <c r="L334" s="46">
        <f t="shared" si="88"/>
        <v>0</v>
      </c>
      <c r="M334" s="45">
        <f t="shared" si="89"/>
        <v>50</v>
      </c>
      <c r="N334" s="45">
        <f t="shared" si="89"/>
        <v>0</v>
      </c>
      <c r="O334" s="45">
        <f t="shared" si="89"/>
        <v>50</v>
      </c>
    </row>
    <row r="335" spans="1:15" ht="31.5" x14ac:dyDescent="0.2">
      <c r="A335" s="40"/>
      <c r="B335" s="41" t="s">
        <v>463</v>
      </c>
      <c r="C335" s="42" t="s">
        <v>51</v>
      </c>
      <c r="D335" s="43" t="s">
        <v>452</v>
      </c>
      <c r="E335" s="43" t="s">
        <v>464</v>
      </c>
      <c r="F335" s="44" t="s">
        <v>11</v>
      </c>
      <c r="G335" s="45">
        <f>G336</f>
        <v>50</v>
      </c>
      <c r="H335" s="45"/>
      <c r="I335" s="45">
        <f>I336</f>
        <v>50</v>
      </c>
      <c r="J335" s="46">
        <f t="shared" si="88"/>
        <v>0</v>
      </c>
      <c r="K335" s="45"/>
      <c r="L335" s="46">
        <f t="shared" si="88"/>
        <v>0</v>
      </c>
      <c r="M335" s="45">
        <f t="shared" si="89"/>
        <v>50</v>
      </c>
      <c r="N335" s="45">
        <f t="shared" si="89"/>
        <v>0</v>
      </c>
      <c r="O335" s="45">
        <f t="shared" si="89"/>
        <v>50</v>
      </c>
    </row>
    <row r="336" spans="1:15" ht="31.5" x14ac:dyDescent="0.2">
      <c r="A336" s="40"/>
      <c r="B336" s="41" t="s">
        <v>40</v>
      </c>
      <c r="C336" s="42" t="s">
        <v>51</v>
      </c>
      <c r="D336" s="43" t="s">
        <v>452</v>
      </c>
      <c r="E336" s="43" t="s">
        <v>464</v>
      </c>
      <c r="F336" s="44" t="s">
        <v>41</v>
      </c>
      <c r="G336" s="45">
        <v>50</v>
      </c>
      <c r="H336" s="25">
        <f t="shared" ref="G336:O342" si="90">H337</f>
        <v>0</v>
      </c>
      <c r="I336" s="45">
        <v>50</v>
      </c>
      <c r="J336" s="47"/>
      <c r="K336" s="25">
        <f t="shared" si="90"/>
        <v>0</v>
      </c>
      <c r="L336" s="47"/>
      <c r="M336" s="45">
        <v>50</v>
      </c>
      <c r="N336" s="45"/>
      <c r="O336" s="45">
        <v>50</v>
      </c>
    </row>
    <row r="337" spans="1:16" ht="31.5" x14ac:dyDescent="0.2">
      <c r="A337" s="20" t="s">
        <v>465</v>
      </c>
      <c r="B337" s="21" t="s">
        <v>466</v>
      </c>
      <c r="C337" s="22" t="s">
        <v>51</v>
      </c>
      <c r="D337" s="23" t="s">
        <v>467</v>
      </c>
      <c r="E337" s="23" t="s">
        <v>11</v>
      </c>
      <c r="F337" s="24" t="s">
        <v>11</v>
      </c>
      <c r="G337" s="25">
        <f t="shared" si="90"/>
        <v>6970.8</v>
      </c>
      <c r="H337" s="38">
        <f t="shared" si="90"/>
        <v>0</v>
      </c>
      <c r="I337" s="25">
        <f t="shared" si="90"/>
        <v>6970.8</v>
      </c>
      <c r="J337" s="26">
        <f t="shared" si="90"/>
        <v>0</v>
      </c>
      <c r="K337" s="38">
        <f t="shared" si="90"/>
        <v>0</v>
      </c>
      <c r="L337" s="26">
        <f t="shared" si="90"/>
        <v>0</v>
      </c>
      <c r="M337" s="25">
        <f t="shared" si="90"/>
        <v>6970.8</v>
      </c>
      <c r="N337" s="25">
        <f t="shared" si="90"/>
        <v>0</v>
      </c>
      <c r="O337" s="25">
        <f t="shared" si="90"/>
        <v>6970.8</v>
      </c>
    </row>
    <row r="338" spans="1:16" ht="31.5" x14ac:dyDescent="0.2">
      <c r="A338" s="33" t="s">
        <v>468</v>
      </c>
      <c r="B338" s="34" t="s">
        <v>469</v>
      </c>
      <c r="C338" s="35" t="s">
        <v>51</v>
      </c>
      <c r="D338" s="36" t="s">
        <v>470</v>
      </c>
      <c r="E338" s="36" t="s">
        <v>11</v>
      </c>
      <c r="F338" s="37" t="s">
        <v>11</v>
      </c>
      <c r="G338" s="38">
        <f t="shared" si="90"/>
        <v>6970.8</v>
      </c>
      <c r="H338" s="45">
        <f t="shared" si="90"/>
        <v>0</v>
      </c>
      <c r="I338" s="38">
        <f t="shared" si="90"/>
        <v>6970.8</v>
      </c>
      <c r="J338" s="39">
        <f t="shared" si="90"/>
        <v>0</v>
      </c>
      <c r="K338" s="45">
        <f t="shared" si="90"/>
        <v>0</v>
      </c>
      <c r="L338" s="39">
        <f t="shared" si="90"/>
        <v>0</v>
      </c>
      <c r="M338" s="38">
        <f t="shared" si="90"/>
        <v>6970.8</v>
      </c>
      <c r="N338" s="38">
        <f t="shared" si="90"/>
        <v>0</v>
      </c>
      <c r="O338" s="38">
        <f t="shared" si="90"/>
        <v>6970.8</v>
      </c>
    </row>
    <row r="339" spans="1:16" ht="31.5" x14ac:dyDescent="0.2">
      <c r="A339" s="40"/>
      <c r="B339" s="41" t="s">
        <v>128</v>
      </c>
      <c r="C339" s="42" t="s">
        <v>51</v>
      </c>
      <c r="D339" s="43" t="s">
        <v>470</v>
      </c>
      <c r="E339" s="43" t="s">
        <v>129</v>
      </c>
      <c r="F339" s="44" t="s">
        <v>11</v>
      </c>
      <c r="G339" s="45">
        <f t="shared" si="90"/>
        <v>6970.8</v>
      </c>
      <c r="H339" s="45">
        <f t="shared" si="90"/>
        <v>0</v>
      </c>
      <c r="I339" s="45">
        <f t="shared" si="90"/>
        <v>6970.8</v>
      </c>
      <c r="J339" s="46">
        <f t="shared" si="90"/>
        <v>0</v>
      </c>
      <c r="K339" s="45">
        <f t="shared" si="90"/>
        <v>0</v>
      </c>
      <c r="L339" s="46">
        <f t="shared" si="90"/>
        <v>0</v>
      </c>
      <c r="M339" s="45">
        <f t="shared" si="90"/>
        <v>6970.8</v>
      </c>
      <c r="N339" s="45">
        <f t="shared" si="90"/>
        <v>0</v>
      </c>
      <c r="O339" s="45">
        <f t="shared" si="90"/>
        <v>6970.8</v>
      </c>
    </row>
    <row r="340" spans="1:16" ht="15.75" x14ac:dyDescent="0.2">
      <c r="A340" s="40"/>
      <c r="B340" s="41" t="s">
        <v>141</v>
      </c>
      <c r="C340" s="42" t="s">
        <v>51</v>
      </c>
      <c r="D340" s="43" t="s">
        <v>470</v>
      </c>
      <c r="E340" s="43" t="s">
        <v>142</v>
      </c>
      <c r="F340" s="44" t="s">
        <v>11</v>
      </c>
      <c r="G340" s="45">
        <f t="shared" si="90"/>
        <v>6970.8</v>
      </c>
      <c r="H340" s="45">
        <f t="shared" si="90"/>
        <v>0</v>
      </c>
      <c r="I340" s="45">
        <f t="shared" si="90"/>
        <v>6970.8</v>
      </c>
      <c r="J340" s="46">
        <f t="shared" si="90"/>
        <v>0</v>
      </c>
      <c r="K340" s="45">
        <f t="shared" si="90"/>
        <v>0</v>
      </c>
      <c r="L340" s="46">
        <f t="shared" si="90"/>
        <v>0</v>
      </c>
      <c r="M340" s="45">
        <f t="shared" si="90"/>
        <v>6970.8</v>
      </c>
      <c r="N340" s="45">
        <f t="shared" si="90"/>
        <v>0</v>
      </c>
      <c r="O340" s="45">
        <f t="shared" si="90"/>
        <v>6970.8</v>
      </c>
    </row>
    <row r="341" spans="1:16" ht="47.25" x14ac:dyDescent="0.2">
      <c r="A341" s="40"/>
      <c r="B341" s="41" t="s">
        <v>143</v>
      </c>
      <c r="C341" s="42" t="s">
        <v>51</v>
      </c>
      <c r="D341" s="43" t="s">
        <v>470</v>
      </c>
      <c r="E341" s="43" t="s">
        <v>144</v>
      </c>
      <c r="F341" s="44" t="s">
        <v>11</v>
      </c>
      <c r="G341" s="45">
        <f t="shared" si="90"/>
        <v>6970.8</v>
      </c>
      <c r="H341" s="45">
        <f t="shared" si="90"/>
        <v>0</v>
      </c>
      <c r="I341" s="45">
        <f t="shared" si="90"/>
        <v>6970.8</v>
      </c>
      <c r="J341" s="46">
        <f t="shared" si="90"/>
        <v>0</v>
      </c>
      <c r="K341" s="45">
        <f t="shared" si="90"/>
        <v>0</v>
      </c>
      <c r="L341" s="46">
        <f t="shared" si="90"/>
        <v>0</v>
      </c>
      <c r="M341" s="45">
        <f t="shared" si="90"/>
        <v>6970.8</v>
      </c>
      <c r="N341" s="45">
        <f t="shared" si="90"/>
        <v>0</v>
      </c>
      <c r="O341" s="45">
        <f t="shared" si="90"/>
        <v>6970.8</v>
      </c>
    </row>
    <row r="342" spans="1:16" ht="15.75" x14ac:dyDescent="0.2">
      <c r="A342" s="40"/>
      <c r="B342" s="41" t="s">
        <v>471</v>
      </c>
      <c r="C342" s="42" t="s">
        <v>51</v>
      </c>
      <c r="D342" s="43" t="s">
        <v>470</v>
      </c>
      <c r="E342" s="43" t="s">
        <v>472</v>
      </c>
      <c r="F342" s="44" t="s">
        <v>11</v>
      </c>
      <c r="G342" s="45">
        <f t="shared" si="90"/>
        <v>6970.8</v>
      </c>
      <c r="H342" s="48"/>
      <c r="I342" s="45">
        <f t="shared" si="90"/>
        <v>6970.8</v>
      </c>
      <c r="J342" s="46">
        <f t="shared" si="90"/>
        <v>0</v>
      </c>
      <c r="K342" s="48"/>
      <c r="L342" s="46">
        <f t="shared" si="90"/>
        <v>0</v>
      </c>
      <c r="M342" s="45">
        <f t="shared" si="90"/>
        <v>6970.8</v>
      </c>
      <c r="N342" s="45">
        <f t="shared" si="90"/>
        <v>0</v>
      </c>
      <c r="O342" s="45">
        <f t="shared" si="90"/>
        <v>6970.8</v>
      </c>
    </row>
    <row r="343" spans="1:16" ht="31.5" x14ac:dyDescent="0.2">
      <c r="A343" s="40"/>
      <c r="B343" s="41" t="s">
        <v>473</v>
      </c>
      <c r="C343" s="42" t="s">
        <v>51</v>
      </c>
      <c r="D343" s="43" t="s">
        <v>470</v>
      </c>
      <c r="E343" s="43" t="s">
        <v>472</v>
      </c>
      <c r="F343" s="44" t="s">
        <v>474</v>
      </c>
      <c r="G343" s="48">
        <f>4650000/1000+2320.8</f>
        <v>6970.8</v>
      </c>
      <c r="H343" s="25"/>
      <c r="I343" s="48">
        <f>4650000/1000+2320.8</f>
        <v>6970.8</v>
      </c>
      <c r="J343" s="47">
        <v>0</v>
      </c>
      <c r="K343" s="25"/>
      <c r="L343" s="47">
        <v>0</v>
      </c>
      <c r="M343" s="48">
        <f>4650000/1000+2320.8</f>
        <v>6970.8</v>
      </c>
      <c r="N343" s="48"/>
      <c r="O343" s="48">
        <f>4650000/1000+2320.8</f>
        <v>6970.8</v>
      </c>
    </row>
    <row r="344" spans="1:16" ht="31.5" x14ac:dyDescent="0.2">
      <c r="A344" s="20" t="s">
        <v>475</v>
      </c>
      <c r="B344" s="21" t="s">
        <v>476</v>
      </c>
      <c r="C344" s="22" t="s">
        <v>477</v>
      </c>
      <c r="D344" s="23" t="s">
        <v>11</v>
      </c>
      <c r="E344" s="23" t="s">
        <v>11</v>
      </c>
      <c r="F344" s="24" t="s">
        <v>11</v>
      </c>
      <c r="G344" s="25">
        <f>G345</f>
        <v>133559.29999999999</v>
      </c>
      <c r="H344" s="25">
        <f>H345+H369+H375</f>
        <v>0</v>
      </c>
      <c r="I344" s="25">
        <f>I345</f>
        <v>133559.29999999999</v>
      </c>
      <c r="J344" s="26">
        <f>J345</f>
        <v>5408.7</v>
      </c>
      <c r="K344" s="25">
        <f>K345+K369+K375</f>
        <v>0</v>
      </c>
      <c r="L344" s="26">
        <f>L345</f>
        <v>5408.7</v>
      </c>
      <c r="M344" s="25">
        <f>M345</f>
        <v>138968</v>
      </c>
      <c r="N344" s="25">
        <f>N345</f>
        <v>0</v>
      </c>
      <c r="O344" s="25">
        <f>O345</f>
        <v>138968</v>
      </c>
      <c r="P344" s="18"/>
    </row>
    <row r="345" spans="1:16" ht="15.75" x14ac:dyDescent="0.2">
      <c r="A345" s="20" t="s">
        <v>478</v>
      </c>
      <c r="B345" s="21" t="s">
        <v>479</v>
      </c>
      <c r="C345" s="22" t="s">
        <v>477</v>
      </c>
      <c r="D345" s="23" t="s">
        <v>480</v>
      </c>
      <c r="E345" s="23" t="s">
        <v>11</v>
      </c>
      <c r="F345" s="24" t="s">
        <v>11</v>
      </c>
      <c r="G345" s="25">
        <f>G346+G370+G376</f>
        <v>133559.29999999999</v>
      </c>
      <c r="H345" s="38">
        <f>H346</f>
        <v>0</v>
      </c>
      <c r="I345" s="25">
        <f>I346+I370+I376</f>
        <v>133559.29999999999</v>
      </c>
      <c r="J345" s="26">
        <f>J346+J370+J376</f>
        <v>5408.7</v>
      </c>
      <c r="K345" s="38">
        <f>K346</f>
        <v>0</v>
      </c>
      <c r="L345" s="26">
        <f>L346+L370+L376</f>
        <v>5408.7</v>
      </c>
      <c r="M345" s="25">
        <f>M346+M370+M376</f>
        <v>138968</v>
      </c>
      <c r="N345" s="25">
        <f>N346+N370+N376</f>
        <v>0</v>
      </c>
      <c r="O345" s="25">
        <f>O346+O370+O376</f>
        <v>138968</v>
      </c>
      <c r="P345" s="17"/>
    </row>
    <row r="346" spans="1:16" ht="15.75" x14ac:dyDescent="0.2">
      <c r="A346" s="33" t="s">
        <v>481</v>
      </c>
      <c r="B346" s="34" t="s">
        <v>482</v>
      </c>
      <c r="C346" s="35" t="s">
        <v>477</v>
      </c>
      <c r="D346" s="36" t="s">
        <v>483</v>
      </c>
      <c r="E346" s="36" t="s">
        <v>11</v>
      </c>
      <c r="F346" s="37" t="s">
        <v>11</v>
      </c>
      <c r="G346" s="38">
        <f>G347</f>
        <v>106562.5</v>
      </c>
      <c r="H346" s="45">
        <f>H347+H355</f>
        <v>0</v>
      </c>
      <c r="I346" s="38">
        <f>I347</f>
        <v>106562.5</v>
      </c>
      <c r="J346" s="39">
        <f>J347</f>
        <v>5408.7</v>
      </c>
      <c r="K346" s="45">
        <f>K347+K355</f>
        <v>0</v>
      </c>
      <c r="L346" s="39">
        <f>L347</f>
        <v>5408.7</v>
      </c>
      <c r="M346" s="38">
        <f>M347</f>
        <v>111971.2</v>
      </c>
      <c r="N346" s="38">
        <f>N347</f>
        <v>0</v>
      </c>
      <c r="O346" s="38">
        <f>O347</f>
        <v>111971.2</v>
      </c>
      <c r="P346" s="15"/>
    </row>
    <row r="347" spans="1:16" ht="31.5" x14ac:dyDescent="0.2">
      <c r="A347" s="40"/>
      <c r="B347" s="41" t="s">
        <v>484</v>
      </c>
      <c r="C347" s="42" t="s">
        <v>477</v>
      </c>
      <c r="D347" s="43" t="s">
        <v>483</v>
      </c>
      <c r="E347" s="43" t="s">
        <v>485</v>
      </c>
      <c r="F347" s="44" t="s">
        <v>11</v>
      </c>
      <c r="G347" s="45">
        <f>G348+G356</f>
        <v>106562.5</v>
      </c>
      <c r="H347" s="45">
        <f>H348</f>
        <v>0</v>
      </c>
      <c r="I347" s="45">
        <f>I348+I356</f>
        <v>106562.5</v>
      </c>
      <c r="J347" s="46">
        <f>J348+J356</f>
        <v>5408.7</v>
      </c>
      <c r="K347" s="45">
        <f>K348</f>
        <v>0</v>
      </c>
      <c r="L347" s="46">
        <f>L348+L356</f>
        <v>5408.7</v>
      </c>
      <c r="M347" s="45">
        <f>M348+M356</f>
        <v>111971.2</v>
      </c>
      <c r="N347" s="45">
        <f>N348+N356</f>
        <v>0</v>
      </c>
      <c r="O347" s="45">
        <f>O348+O356</f>
        <v>111971.2</v>
      </c>
      <c r="P347" s="16"/>
    </row>
    <row r="348" spans="1:16" ht="15.75" x14ac:dyDescent="0.2">
      <c r="A348" s="40"/>
      <c r="B348" s="41" t="s">
        <v>486</v>
      </c>
      <c r="C348" s="42" t="s">
        <v>477</v>
      </c>
      <c r="D348" s="43" t="s">
        <v>483</v>
      </c>
      <c r="E348" s="43" t="s">
        <v>487</v>
      </c>
      <c r="F348" s="44" t="s">
        <v>11</v>
      </c>
      <c r="G348" s="45">
        <f>G349</f>
        <v>5600</v>
      </c>
      <c r="H348" s="45">
        <f>H349+H351+H353</f>
        <v>0</v>
      </c>
      <c r="I348" s="45">
        <f>I349</f>
        <v>5600</v>
      </c>
      <c r="J348" s="46">
        <f>J349</f>
        <v>0</v>
      </c>
      <c r="K348" s="45">
        <f>K349+K351+K353</f>
        <v>0</v>
      </c>
      <c r="L348" s="46">
        <f>L349</f>
        <v>0</v>
      </c>
      <c r="M348" s="45">
        <f>M349</f>
        <v>5600</v>
      </c>
      <c r="N348" s="45">
        <f>N349</f>
        <v>0</v>
      </c>
      <c r="O348" s="45">
        <f>O349</f>
        <v>5600</v>
      </c>
    </row>
    <row r="349" spans="1:16" ht="15.75" x14ac:dyDescent="0.2">
      <c r="A349" s="40"/>
      <c r="B349" s="41" t="s">
        <v>488</v>
      </c>
      <c r="C349" s="42" t="s">
        <v>477</v>
      </c>
      <c r="D349" s="43" t="s">
        <v>483</v>
      </c>
      <c r="E349" s="43" t="s">
        <v>489</v>
      </c>
      <c r="F349" s="44" t="s">
        <v>11</v>
      </c>
      <c r="G349" s="45">
        <f>G350+G352+G354</f>
        <v>5600</v>
      </c>
      <c r="H349" s="45">
        <f>H350</f>
        <v>0</v>
      </c>
      <c r="I349" s="45">
        <f>I350+I352+I354</f>
        <v>5600</v>
      </c>
      <c r="J349" s="46">
        <f>J350+J352+J354</f>
        <v>0</v>
      </c>
      <c r="K349" s="45">
        <f>K350</f>
        <v>0</v>
      </c>
      <c r="L349" s="46">
        <f>L350+L352+L354</f>
        <v>0</v>
      </c>
      <c r="M349" s="45">
        <f>M350+M352+M354</f>
        <v>5600</v>
      </c>
      <c r="N349" s="45">
        <f>N350+N352+N354</f>
        <v>0</v>
      </c>
      <c r="O349" s="45">
        <f>O350+O352+O354</f>
        <v>5600</v>
      </c>
    </row>
    <row r="350" spans="1:16" ht="15.75" x14ac:dyDescent="0.2">
      <c r="A350" s="40"/>
      <c r="B350" s="41" t="s">
        <v>490</v>
      </c>
      <c r="C350" s="42" t="s">
        <v>477</v>
      </c>
      <c r="D350" s="43" t="s">
        <v>483</v>
      </c>
      <c r="E350" s="43" t="s">
        <v>491</v>
      </c>
      <c r="F350" s="44" t="s">
        <v>11</v>
      </c>
      <c r="G350" s="45">
        <f>G351</f>
        <v>5300</v>
      </c>
      <c r="H350" s="45"/>
      <c r="I350" s="45">
        <f>I351</f>
        <v>5300</v>
      </c>
      <c r="J350" s="46">
        <f>J351</f>
        <v>0</v>
      </c>
      <c r="K350" s="45"/>
      <c r="L350" s="46">
        <f>L351</f>
        <v>0</v>
      </c>
      <c r="M350" s="45">
        <f>M351</f>
        <v>5300</v>
      </c>
      <c r="N350" s="45">
        <f>N351</f>
        <v>0</v>
      </c>
      <c r="O350" s="45">
        <f>O351</f>
        <v>5300</v>
      </c>
    </row>
    <row r="351" spans="1:16" ht="31.5" x14ac:dyDescent="0.2">
      <c r="A351" s="40"/>
      <c r="B351" s="41" t="s">
        <v>40</v>
      </c>
      <c r="C351" s="42" t="s">
        <v>477</v>
      </c>
      <c r="D351" s="43" t="s">
        <v>483</v>
      </c>
      <c r="E351" s="43" t="s">
        <v>491</v>
      </c>
      <c r="F351" s="44" t="s">
        <v>41</v>
      </c>
      <c r="G351" s="45">
        <f>5300000/1000</f>
        <v>5300</v>
      </c>
      <c r="H351" s="45"/>
      <c r="I351" s="45">
        <f>5300000/1000</f>
        <v>5300</v>
      </c>
      <c r="J351" s="47">
        <v>0</v>
      </c>
      <c r="K351" s="45"/>
      <c r="L351" s="47">
        <v>0</v>
      </c>
      <c r="M351" s="45">
        <f>5300000/1000</f>
        <v>5300</v>
      </c>
      <c r="N351" s="45"/>
      <c r="O351" s="45">
        <f>5300000/1000</f>
        <v>5300</v>
      </c>
    </row>
    <row r="352" spans="1:16" ht="15.75" x14ac:dyDescent="0.2">
      <c r="A352" s="40"/>
      <c r="B352" s="41" t="s">
        <v>492</v>
      </c>
      <c r="C352" s="42" t="s">
        <v>477</v>
      </c>
      <c r="D352" s="43" t="s">
        <v>483</v>
      </c>
      <c r="E352" s="43" t="s">
        <v>493</v>
      </c>
      <c r="F352" s="44" t="s">
        <v>11</v>
      </c>
      <c r="G352" s="45">
        <f>G353</f>
        <v>300</v>
      </c>
      <c r="H352" s="45"/>
      <c r="I352" s="45">
        <f>I353</f>
        <v>300</v>
      </c>
      <c r="J352" s="46">
        <f>J353</f>
        <v>0</v>
      </c>
      <c r="K352" s="45"/>
      <c r="L352" s="46">
        <f>L353</f>
        <v>0</v>
      </c>
      <c r="M352" s="45">
        <f>M353</f>
        <v>300</v>
      </c>
      <c r="N352" s="45">
        <f>N353</f>
        <v>0</v>
      </c>
      <c r="O352" s="45">
        <f>O353</f>
        <v>300</v>
      </c>
    </row>
    <row r="353" spans="1:16" ht="31.5" x14ac:dyDescent="0.2">
      <c r="A353" s="40"/>
      <c r="B353" s="41" t="s">
        <v>40</v>
      </c>
      <c r="C353" s="42" t="s">
        <v>477</v>
      </c>
      <c r="D353" s="43" t="s">
        <v>483</v>
      </c>
      <c r="E353" s="43" t="s">
        <v>493</v>
      </c>
      <c r="F353" s="44" t="s">
        <v>41</v>
      </c>
      <c r="G353" s="45">
        <f>300000/1000</f>
        <v>300</v>
      </c>
      <c r="H353" s="45"/>
      <c r="I353" s="45">
        <f>300000/1000</f>
        <v>300</v>
      </c>
      <c r="J353" s="47">
        <v>0</v>
      </c>
      <c r="K353" s="45"/>
      <c r="L353" s="47">
        <v>0</v>
      </c>
      <c r="M353" s="45">
        <f>300000/1000</f>
        <v>300</v>
      </c>
      <c r="N353" s="45"/>
      <c r="O353" s="45">
        <f>300000/1000</f>
        <v>300</v>
      </c>
    </row>
    <row r="354" spans="1:16" ht="15.75" x14ac:dyDescent="0.2">
      <c r="A354" s="40"/>
      <c r="B354" s="41" t="s">
        <v>378</v>
      </c>
      <c r="C354" s="42" t="s">
        <v>477</v>
      </c>
      <c r="D354" s="43" t="s">
        <v>483</v>
      </c>
      <c r="E354" s="43" t="s">
        <v>494</v>
      </c>
      <c r="F354" s="44" t="s">
        <v>11</v>
      </c>
      <c r="G354" s="45">
        <f>G355</f>
        <v>0</v>
      </c>
      <c r="H354" s="45"/>
      <c r="I354" s="45">
        <f>I355</f>
        <v>0</v>
      </c>
      <c r="J354" s="46">
        <f>J355</f>
        <v>0</v>
      </c>
      <c r="K354" s="45"/>
      <c r="L354" s="46">
        <f>L355</f>
        <v>0</v>
      </c>
      <c r="M354" s="45">
        <f>M355</f>
        <v>0</v>
      </c>
      <c r="N354" s="45">
        <f>N355</f>
        <v>0</v>
      </c>
      <c r="O354" s="45">
        <f>O355</f>
        <v>0</v>
      </c>
    </row>
    <row r="355" spans="1:16" ht="31.5" x14ac:dyDescent="0.2">
      <c r="A355" s="40"/>
      <c r="B355" s="41" t="s">
        <v>40</v>
      </c>
      <c r="C355" s="42" t="s">
        <v>477</v>
      </c>
      <c r="D355" s="43" t="s">
        <v>483</v>
      </c>
      <c r="E355" s="43" t="s">
        <v>494</v>
      </c>
      <c r="F355" s="44" t="s">
        <v>41</v>
      </c>
      <c r="G355" s="45"/>
      <c r="H355" s="45"/>
      <c r="I355" s="45"/>
      <c r="J355" s="47">
        <v>0</v>
      </c>
      <c r="K355" s="45"/>
      <c r="L355" s="47">
        <v>0</v>
      </c>
      <c r="M355" s="45"/>
      <c r="N355" s="45"/>
      <c r="O355" s="45"/>
    </row>
    <row r="356" spans="1:16" ht="47.25" x14ac:dyDescent="0.2">
      <c r="A356" s="40"/>
      <c r="B356" s="41" t="s">
        <v>495</v>
      </c>
      <c r="C356" s="42" t="s">
        <v>477</v>
      </c>
      <c r="D356" s="43" t="s">
        <v>483</v>
      </c>
      <c r="E356" s="43" t="s">
        <v>496</v>
      </c>
      <c r="F356" s="44" t="s">
        <v>11</v>
      </c>
      <c r="G356" s="45">
        <f>G357</f>
        <v>100962.5</v>
      </c>
      <c r="H356" s="45">
        <f>H357+H362+H364+H367</f>
        <v>0</v>
      </c>
      <c r="I356" s="45">
        <f>I357</f>
        <v>100962.5</v>
      </c>
      <c r="J356" s="46">
        <f>J357</f>
        <v>5408.7</v>
      </c>
      <c r="K356" s="45">
        <f>K357+K362+K364+K367</f>
        <v>0</v>
      </c>
      <c r="L356" s="46">
        <f>L357</f>
        <v>5408.7</v>
      </c>
      <c r="M356" s="45">
        <f>M357</f>
        <v>106371.2</v>
      </c>
      <c r="N356" s="45">
        <f>N357</f>
        <v>0</v>
      </c>
      <c r="O356" s="45">
        <f>O357</f>
        <v>106371.2</v>
      </c>
      <c r="P356" s="16"/>
    </row>
    <row r="357" spans="1:16" ht="47.25" x14ac:dyDescent="0.2">
      <c r="A357" s="40"/>
      <c r="B357" s="41" t="s">
        <v>497</v>
      </c>
      <c r="C357" s="42" t="s">
        <v>477</v>
      </c>
      <c r="D357" s="43" t="s">
        <v>483</v>
      </c>
      <c r="E357" s="43" t="s">
        <v>498</v>
      </c>
      <c r="F357" s="44" t="s">
        <v>11</v>
      </c>
      <c r="G357" s="45">
        <f>G358+G363+G365+G368</f>
        <v>100962.5</v>
      </c>
      <c r="H357" s="45">
        <f>H358+H359+H360+H361</f>
        <v>0</v>
      </c>
      <c r="I357" s="45">
        <f>I358+I363+I365+I368</f>
        <v>100962.5</v>
      </c>
      <c r="J357" s="46">
        <f>J358+J363+J365+J368</f>
        <v>5408.7</v>
      </c>
      <c r="K357" s="45">
        <f>K358+K359+K360+K361</f>
        <v>0</v>
      </c>
      <c r="L357" s="46">
        <f>L358+L363+L365+L368</f>
        <v>5408.7</v>
      </c>
      <c r="M357" s="45">
        <f>M358+M363+M365+M368</f>
        <v>106371.2</v>
      </c>
      <c r="N357" s="45">
        <f>N358+N363+N365+N368</f>
        <v>0</v>
      </c>
      <c r="O357" s="45">
        <f>O358+O363+O365+O368</f>
        <v>106371.2</v>
      </c>
      <c r="P357" s="16"/>
    </row>
    <row r="358" spans="1:16" ht="31.5" x14ac:dyDescent="0.2">
      <c r="A358" s="40"/>
      <c r="B358" s="41" t="s">
        <v>134</v>
      </c>
      <c r="C358" s="42" t="s">
        <v>477</v>
      </c>
      <c r="D358" s="43" t="s">
        <v>483</v>
      </c>
      <c r="E358" s="43" t="s">
        <v>499</v>
      </c>
      <c r="F358" s="44" t="s">
        <v>11</v>
      </c>
      <c r="G358" s="45">
        <f>G359+G360+G361+G362</f>
        <v>99826.900000000009</v>
      </c>
      <c r="H358" s="45"/>
      <c r="I358" s="45">
        <f>I359+I360+I361+I362</f>
        <v>99826.900000000009</v>
      </c>
      <c r="J358" s="46">
        <f>J359+J360+J361+J362</f>
        <v>0</v>
      </c>
      <c r="K358" s="45"/>
      <c r="L358" s="46">
        <f>L359+L360+L361+L362</f>
        <v>0</v>
      </c>
      <c r="M358" s="45">
        <f>M359+M360+M361+M362</f>
        <v>99826.900000000009</v>
      </c>
      <c r="N358" s="45">
        <f>N359+N360+N361+N362</f>
        <v>0</v>
      </c>
      <c r="O358" s="45">
        <f>O359+O360+O361+O362</f>
        <v>99826.900000000009</v>
      </c>
    </row>
    <row r="359" spans="1:16" ht="78.75" x14ac:dyDescent="0.2">
      <c r="A359" s="40"/>
      <c r="B359" s="41" t="s">
        <v>61</v>
      </c>
      <c r="C359" s="42" t="s">
        <v>477</v>
      </c>
      <c r="D359" s="43" t="s">
        <v>483</v>
      </c>
      <c r="E359" s="43" t="s">
        <v>499</v>
      </c>
      <c r="F359" s="44" t="s">
        <v>62</v>
      </c>
      <c r="G359" s="45">
        <f>16503800/1000</f>
        <v>16503.8</v>
      </c>
      <c r="H359" s="45"/>
      <c r="I359" s="45">
        <f>16503800/1000</f>
        <v>16503.8</v>
      </c>
      <c r="J359" s="47">
        <v>0</v>
      </c>
      <c r="K359" s="45"/>
      <c r="L359" s="47">
        <v>0</v>
      </c>
      <c r="M359" s="45">
        <f>16503800/1000</f>
        <v>16503.8</v>
      </c>
      <c r="N359" s="45"/>
      <c r="O359" s="45">
        <f>16503800/1000</f>
        <v>16503.8</v>
      </c>
    </row>
    <row r="360" spans="1:16" ht="31.5" x14ac:dyDescent="0.2">
      <c r="A360" s="40"/>
      <c r="B360" s="41" t="s">
        <v>40</v>
      </c>
      <c r="C360" s="42" t="s">
        <v>477</v>
      </c>
      <c r="D360" s="43" t="s">
        <v>483</v>
      </c>
      <c r="E360" s="43" t="s">
        <v>499</v>
      </c>
      <c r="F360" s="44" t="s">
        <v>41</v>
      </c>
      <c r="G360" s="45">
        <f>6166000/1000</f>
        <v>6166</v>
      </c>
      <c r="H360" s="48"/>
      <c r="I360" s="45">
        <f>6166000/1000</f>
        <v>6166</v>
      </c>
      <c r="J360" s="47">
        <v>0</v>
      </c>
      <c r="K360" s="48"/>
      <c r="L360" s="47">
        <v>0</v>
      </c>
      <c r="M360" s="45">
        <f>6166000/1000</f>
        <v>6166</v>
      </c>
      <c r="N360" s="45"/>
      <c r="O360" s="45">
        <f>6166000/1000</f>
        <v>6166</v>
      </c>
    </row>
    <row r="361" spans="1:16" ht="39" customHeight="1" x14ac:dyDescent="0.2">
      <c r="A361" s="40"/>
      <c r="B361" s="41" t="s">
        <v>95</v>
      </c>
      <c r="C361" s="42" t="s">
        <v>477</v>
      </c>
      <c r="D361" s="43" t="s">
        <v>483</v>
      </c>
      <c r="E361" s="43" t="s">
        <v>499</v>
      </c>
      <c r="F361" s="44" t="s">
        <v>96</v>
      </c>
      <c r="G361" s="48">
        <f>75925300/1000+1213.2</f>
        <v>77138.5</v>
      </c>
      <c r="H361" s="45"/>
      <c r="I361" s="48">
        <f>75925300/1000+1213.2</f>
        <v>77138.5</v>
      </c>
      <c r="J361" s="47">
        <v>0</v>
      </c>
      <c r="K361" s="45"/>
      <c r="L361" s="47">
        <v>0</v>
      </c>
      <c r="M361" s="48">
        <f>75925300/1000+1213.2</f>
        <v>77138.5</v>
      </c>
      <c r="N361" s="48"/>
      <c r="O361" s="48">
        <f>75925300/1000+1213.2</f>
        <v>77138.5</v>
      </c>
    </row>
    <row r="362" spans="1:16" ht="15.75" x14ac:dyDescent="0.2">
      <c r="A362" s="40"/>
      <c r="B362" s="41" t="s">
        <v>338</v>
      </c>
      <c r="C362" s="42" t="s">
        <v>477</v>
      </c>
      <c r="D362" s="43" t="s">
        <v>483</v>
      </c>
      <c r="E362" s="43" t="s">
        <v>499</v>
      </c>
      <c r="F362" s="44" t="s">
        <v>71</v>
      </c>
      <c r="G362" s="45">
        <f>18600/1000</f>
        <v>18.600000000000001</v>
      </c>
      <c r="H362" s="45"/>
      <c r="I362" s="45">
        <f>18600/1000</f>
        <v>18.600000000000001</v>
      </c>
      <c r="J362" s="47">
        <v>0</v>
      </c>
      <c r="K362" s="45"/>
      <c r="L362" s="47">
        <v>0</v>
      </c>
      <c r="M362" s="45">
        <f>18600/1000</f>
        <v>18.600000000000001</v>
      </c>
      <c r="N362" s="45"/>
      <c r="O362" s="45">
        <f>18600/1000</f>
        <v>18.600000000000001</v>
      </c>
    </row>
    <row r="363" spans="1:16" ht="47.25" x14ac:dyDescent="0.2">
      <c r="A363" s="40"/>
      <c r="B363" s="41" t="s">
        <v>283</v>
      </c>
      <c r="C363" s="42" t="s">
        <v>477</v>
      </c>
      <c r="D363" s="43" t="s">
        <v>483</v>
      </c>
      <c r="E363" s="43" t="s">
        <v>502</v>
      </c>
      <c r="F363" s="44" t="s">
        <v>11</v>
      </c>
      <c r="G363" s="45">
        <f>G364</f>
        <v>255</v>
      </c>
      <c r="H363" s="45"/>
      <c r="I363" s="45">
        <f>I364</f>
        <v>255</v>
      </c>
      <c r="J363" s="46">
        <f>J364</f>
        <v>0</v>
      </c>
      <c r="K363" s="45"/>
      <c r="L363" s="46">
        <f>L364</f>
        <v>0</v>
      </c>
      <c r="M363" s="45">
        <f>M364</f>
        <v>255</v>
      </c>
      <c r="N363" s="45">
        <f>N364</f>
        <v>0</v>
      </c>
      <c r="O363" s="45">
        <f>O364</f>
        <v>255</v>
      </c>
    </row>
    <row r="364" spans="1:16" ht="36" customHeight="1" x14ac:dyDescent="0.2">
      <c r="A364" s="40"/>
      <c r="B364" s="41" t="s">
        <v>95</v>
      </c>
      <c r="C364" s="42" t="s">
        <v>477</v>
      </c>
      <c r="D364" s="43" t="s">
        <v>483</v>
      </c>
      <c r="E364" s="43" t="s">
        <v>502</v>
      </c>
      <c r="F364" s="44" t="s">
        <v>96</v>
      </c>
      <c r="G364" s="45">
        <f>255000/1000</f>
        <v>255</v>
      </c>
      <c r="H364" s="45"/>
      <c r="I364" s="45">
        <f>255000/1000</f>
        <v>255</v>
      </c>
      <c r="J364" s="47"/>
      <c r="K364" s="45"/>
      <c r="L364" s="47"/>
      <c r="M364" s="45">
        <f>255000/1000</f>
        <v>255</v>
      </c>
      <c r="N364" s="45"/>
      <c r="O364" s="45">
        <f>255000/1000</f>
        <v>255</v>
      </c>
    </row>
    <row r="365" spans="1:16" ht="31.5" x14ac:dyDescent="0.2">
      <c r="A365" s="40"/>
      <c r="B365" s="41" t="s">
        <v>503</v>
      </c>
      <c r="C365" s="42" t="s">
        <v>477</v>
      </c>
      <c r="D365" s="43" t="s">
        <v>483</v>
      </c>
      <c r="E365" s="43" t="s">
        <v>504</v>
      </c>
      <c r="F365" s="44" t="s">
        <v>11</v>
      </c>
      <c r="G365" s="45">
        <f>G366</f>
        <v>626.20000000000005</v>
      </c>
      <c r="H365" s="45"/>
      <c r="I365" s="45">
        <f>I366</f>
        <v>626.20000000000005</v>
      </c>
      <c r="J365" s="46">
        <f>J366</f>
        <v>3846.2</v>
      </c>
      <c r="K365" s="45"/>
      <c r="L365" s="46">
        <f>L366</f>
        <v>3846.2</v>
      </c>
      <c r="M365" s="45">
        <f>M366</f>
        <v>4472.3999999999996</v>
      </c>
      <c r="N365" s="45">
        <f>N366</f>
        <v>0</v>
      </c>
      <c r="O365" s="45">
        <f>O366</f>
        <v>4472.3999999999996</v>
      </c>
    </row>
    <row r="366" spans="1:16" ht="36" customHeight="1" x14ac:dyDescent="0.2">
      <c r="A366" s="40"/>
      <c r="B366" s="41" t="s">
        <v>95</v>
      </c>
      <c r="C366" s="42" t="s">
        <v>477</v>
      </c>
      <c r="D366" s="43" t="s">
        <v>483</v>
      </c>
      <c r="E366" s="43" t="s">
        <v>504</v>
      </c>
      <c r="F366" s="44" t="s">
        <v>96</v>
      </c>
      <c r="G366" s="45">
        <v>626.20000000000005</v>
      </c>
      <c r="H366" s="45"/>
      <c r="I366" s="45">
        <v>626.20000000000005</v>
      </c>
      <c r="J366" s="47">
        <v>3846.2</v>
      </c>
      <c r="K366" s="45"/>
      <c r="L366" s="47">
        <v>3846.2</v>
      </c>
      <c r="M366" s="45">
        <f>626.2+J366</f>
        <v>4472.3999999999996</v>
      </c>
      <c r="N366" s="45"/>
      <c r="O366" s="45">
        <f>626.2+L366</f>
        <v>4472.3999999999996</v>
      </c>
    </row>
    <row r="367" spans="1:16" ht="36" customHeight="1" x14ac:dyDescent="0.2">
      <c r="A367" s="40"/>
      <c r="B367" s="56" t="s">
        <v>505</v>
      </c>
      <c r="C367" s="42">
        <v>993</v>
      </c>
      <c r="D367" s="43" t="s">
        <v>483</v>
      </c>
      <c r="E367" s="43" t="s">
        <v>506</v>
      </c>
      <c r="F367" s="44"/>
      <c r="G367" s="45">
        <v>254.4</v>
      </c>
      <c r="H367" s="45"/>
      <c r="I367" s="45">
        <v>254.4</v>
      </c>
      <c r="J367" s="47">
        <v>1562.5</v>
      </c>
      <c r="K367" s="45"/>
      <c r="L367" s="47">
        <v>1562.5</v>
      </c>
      <c r="M367" s="45">
        <f>254.4+J367</f>
        <v>1816.9</v>
      </c>
      <c r="N367" s="45">
        <v>254.4</v>
      </c>
      <c r="O367" s="45">
        <f>254.4+L367</f>
        <v>1816.9</v>
      </c>
    </row>
    <row r="368" spans="1:16" ht="36" customHeight="1" x14ac:dyDescent="0.2">
      <c r="A368" s="40"/>
      <c r="B368" s="56" t="s">
        <v>507</v>
      </c>
      <c r="C368" s="42">
        <v>993</v>
      </c>
      <c r="D368" s="43" t="s">
        <v>483</v>
      </c>
      <c r="E368" s="43" t="s">
        <v>508</v>
      </c>
      <c r="F368" s="44"/>
      <c r="G368" s="45">
        <v>254.4</v>
      </c>
      <c r="H368" s="45"/>
      <c r="I368" s="45">
        <v>254.4</v>
      </c>
      <c r="J368" s="47">
        <v>1562.5</v>
      </c>
      <c r="K368" s="45"/>
      <c r="L368" s="47">
        <v>1562.5</v>
      </c>
      <c r="M368" s="45">
        <f>254.4+J368</f>
        <v>1816.9</v>
      </c>
      <c r="N368" s="45"/>
      <c r="O368" s="45">
        <f>254.4+L368</f>
        <v>1816.9</v>
      </c>
    </row>
    <row r="369" spans="1:15" ht="36" customHeight="1" x14ac:dyDescent="0.2">
      <c r="A369" s="40"/>
      <c r="B369" s="41" t="s">
        <v>95</v>
      </c>
      <c r="C369" s="42">
        <v>993</v>
      </c>
      <c r="D369" s="43" t="s">
        <v>483</v>
      </c>
      <c r="E369" s="43" t="s">
        <v>508</v>
      </c>
      <c r="F369" s="44">
        <v>600</v>
      </c>
      <c r="G369" s="45">
        <v>254.4</v>
      </c>
      <c r="H369" s="38"/>
      <c r="I369" s="45">
        <v>254.4</v>
      </c>
      <c r="J369" s="47">
        <v>1562.5</v>
      </c>
      <c r="K369" s="38"/>
      <c r="L369" s="47">
        <v>1562.5</v>
      </c>
      <c r="M369" s="45">
        <f>254.4+J369</f>
        <v>1816.9</v>
      </c>
      <c r="N369" s="45"/>
      <c r="O369" s="45">
        <f>254.4+L369</f>
        <v>1816.9</v>
      </c>
    </row>
    <row r="370" spans="1:15" ht="15.75" x14ac:dyDescent="0.2">
      <c r="A370" s="33" t="s">
        <v>509</v>
      </c>
      <c r="B370" s="34" t="s">
        <v>510</v>
      </c>
      <c r="C370" s="35" t="s">
        <v>477</v>
      </c>
      <c r="D370" s="36" t="s">
        <v>511</v>
      </c>
      <c r="E370" s="36" t="s">
        <v>11</v>
      </c>
      <c r="F370" s="37" t="s">
        <v>11</v>
      </c>
      <c r="G370" s="38">
        <f t="shared" ref="G370:I373" si="91">G371</f>
        <v>10735.7</v>
      </c>
      <c r="H370" s="45">
        <f t="shared" si="91"/>
        <v>0</v>
      </c>
      <c r="I370" s="38">
        <f t="shared" si="91"/>
        <v>10735.7</v>
      </c>
      <c r="J370" s="39">
        <f t="shared" ref="J370:L374" si="92">J371</f>
        <v>0</v>
      </c>
      <c r="K370" s="45">
        <f>K371</f>
        <v>0</v>
      </c>
      <c r="L370" s="39">
        <f t="shared" si="92"/>
        <v>0</v>
      </c>
      <c r="M370" s="38">
        <f t="shared" ref="M370:O374" si="93">M371</f>
        <v>10735.7</v>
      </c>
      <c r="N370" s="38">
        <f t="shared" si="93"/>
        <v>0</v>
      </c>
      <c r="O370" s="38">
        <f t="shared" si="93"/>
        <v>10735.7</v>
      </c>
    </row>
    <row r="371" spans="1:15" ht="31.5" x14ac:dyDescent="0.2">
      <c r="A371" s="40"/>
      <c r="B371" s="41" t="s">
        <v>484</v>
      </c>
      <c r="C371" s="42" t="s">
        <v>477</v>
      </c>
      <c r="D371" s="43" t="s">
        <v>511</v>
      </c>
      <c r="E371" s="43" t="s">
        <v>485</v>
      </c>
      <c r="F371" s="44" t="s">
        <v>11</v>
      </c>
      <c r="G371" s="45">
        <f t="shared" si="91"/>
        <v>10735.7</v>
      </c>
      <c r="H371" s="45">
        <f t="shared" si="91"/>
        <v>0</v>
      </c>
      <c r="I371" s="45">
        <f t="shared" si="91"/>
        <v>10735.7</v>
      </c>
      <c r="J371" s="46">
        <f t="shared" si="92"/>
        <v>0</v>
      </c>
      <c r="K371" s="45">
        <f>K372</f>
        <v>0</v>
      </c>
      <c r="L371" s="46">
        <f t="shared" si="92"/>
        <v>0</v>
      </c>
      <c r="M371" s="45">
        <f t="shared" si="93"/>
        <v>10735.7</v>
      </c>
      <c r="N371" s="45">
        <f t="shared" si="93"/>
        <v>0</v>
      </c>
      <c r="O371" s="45">
        <f t="shared" si="93"/>
        <v>10735.7</v>
      </c>
    </row>
    <row r="372" spans="1:15" ht="47.25" x14ac:dyDescent="0.2">
      <c r="A372" s="40"/>
      <c r="B372" s="41" t="s">
        <v>495</v>
      </c>
      <c r="C372" s="42" t="s">
        <v>477</v>
      </c>
      <c r="D372" s="43" t="s">
        <v>511</v>
      </c>
      <c r="E372" s="43" t="s">
        <v>496</v>
      </c>
      <c r="F372" s="44" t="s">
        <v>11</v>
      </c>
      <c r="G372" s="45">
        <f t="shared" si="91"/>
        <v>10735.7</v>
      </c>
      <c r="H372" s="45">
        <f t="shared" si="91"/>
        <v>0</v>
      </c>
      <c r="I372" s="45">
        <f t="shared" si="91"/>
        <v>10735.7</v>
      </c>
      <c r="J372" s="46">
        <f t="shared" si="92"/>
        <v>0</v>
      </c>
      <c r="K372" s="45">
        <f>K373</f>
        <v>0</v>
      </c>
      <c r="L372" s="46">
        <f t="shared" si="92"/>
        <v>0</v>
      </c>
      <c r="M372" s="45">
        <f t="shared" si="93"/>
        <v>10735.7</v>
      </c>
      <c r="N372" s="45">
        <f t="shared" si="93"/>
        <v>0</v>
      </c>
      <c r="O372" s="45">
        <f t="shared" si="93"/>
        <v>10735.7</v>
      </c>
    </row>
    <row r="373" spans="1:15" ht="47.25" x14ac:dyDescent="0.2">
      <c r="A373" s="40"/>
      <c r="B373" s="41" t="s">
        <v>497</v>
      </c>
      <c r="C373" s="42" t="s">
        <v>477</v>
      </c>
      <c r="D373" s="43" t="s">
        <v>511</v>
      </c>
      <c r="E373" s="43" t="s">
        <v>498</v>
      </c>
      <c r="F373" s="44" t="s">
        <v>11</v>
      </c>
      <c r="G373" s="45">
        <f t="shared" si="91"/>
        <v>10735.7</v>
      </c>
      <c r="H373" s="45">
        <f t="shared" si="91"/>
        <v>0</v>
      </c>
      <c r="I373" s="45">
        <f t="shared" si="91"/>
        <v>10735.7</v>
      </c>
      <c r="J373" s="46">
        <f t="shared" si="92"/>
        <v>0</v>
      </c>
      <c r="K373" s="45">
        <f>K374</f>
        <v>0</v>
      </c>
      <c r="L373" s="46">
        <f t="shared" si="92"/>
        <v>0</v>
      </c>
      <c r="M373" s="45">
        <f t="shared" si="93"/>
        <v>10735.7</v>
      </c>
      <c r="N373" s="45">
        <f t="shared" si="93"/>
        <v>0</v>
      </c>
      <c r="O373" s="45">
        <f t="shared" si="93"/>
        <v>10735.7</v>
      </c>
    </row>
    <row r="374" spans="1:15" ht="31.5" x14ac:dyDescent="0.2">
      <c r="A374" s="40"/>
      <c r="B374" s="41" t="s">
        <v>134</v>
      </c>
      <c r="C374" s="42" t="s">
        <v>477</v>
      </c>
      <c r="D374" s="43" t="s">
        <v>511</v>
      </c>
      <c r="E374" s="43" t="s">
        <v>499</v>
      </c>
      <c r="F374" s="44" t="s">
        <v>11</v>
      </c>
      <c r="G374" s="45">
        <f>G375</f>
        <v>10735.7</v>
      </c>
      <c r="H374" s="45"/>
      <c r="I374" s="45">
        <f>I375</f>
        <v>10735.7</v>
      </c>
      <c r="J374" s="46">
        <f t="shared" si="92"/>
        <v>0</v>
      </c>
      <c r="K374" s="45"/>
      <c r="L374" s="46">
        <f t="shared" si="92"/>
        <v>0</v>
      </c>
      <c r="M374" s="45">
        <f t="shared" si="93"/>
        <v>10735.7</v>
      </c>
      <c r="N374" s="45">
        <f t="shared" si="93"/>
        <v>0</v>
      </c>
      <c r="O374" s="45">
        <f t="shared" si="93"/>
        <v>10735.7</v>
      </c>
    </row>
    <row r="375" spans="1:15" ht="36.6" customHeight="1" x14ac:dyDescent="0.2">
      <c r="A375" s="40"/>
      <c r="B375" s="41" t="s">
        <v>95</v>
      </c>
      <c r="C375" s="42" t="s">
        <v>477</v>
      </c>
      <c r="D375" s="43" t="s">
        <v>511</v>
      </c>
      <c r="E375" s="43" t="s">
        <v>499</v>
      </c>
      <c r="F375" s="44" t="s">
        <v>96</v>
      </c>
      <c r="G375" s="45">
        <f>10735700/1000</f>
        <v>10735.7</v>
      </c>
      <c r="H375" s="38"/>
      <c r="I375" s="45">
        <f>10735700/1000</f>
        <v>10735.7</v>
      </c>
      <c r="J375" s="47">
        <v>0</v>
      </c>
      <c r="K375" s="38"/>
      <c r="L375" s="47">
        <v>0</v>
      </c>
      <c r="M375" s="45">
        <f>10735700/1000</f>
        <v>10735.7</v>
      </c>
      <c r="N375" s="45"/>
      <c r="O375" s="45">
        <f>10735700/1000</f>
        <v>10735.7</v>
      </c>
    </row>
    <row r="376" spans="1:15" ht="31.5" x14ac:dyDescent="0.2">
      <c r="A376" s="33" t="s">
        <v>512</v>
      </c>
      <c r="B376" s="34" t="s">
        <v>513</v>
      </c>
      <c r="C376" s="35" t="s">
        <v>477</v>
      </c>
      <c r="D376" s="36" t="s">
        <v>514</v>
      </c>
      <c r="E376" s="36" t="s">
        <v>11</v>
      </c>
      <c r="F376" s="37" t="s">
        <v>11</v>
      </c>
      <c r="G376" s="38">
        <f>G377</f>
        <v>16261.099999999999</v>
      </c>
      <c r="H376" s="45">
        <f>H377+H387</f>
        <v>0</v>
      </c>
      <c r="I376" s="38">
        <f>I377</f>
        <v>16261.099999999999</v>
      </c>
      <c r="J376" s="39">
        <f>J377</f>
        <v>0</v>
      </c>
      <c r="K376" s="45">
        <f>K377+K387</f>
        <v>0</v>
      </c>
      <c r="L376" s="39">
        <f>L377</f>
        <v>0</v>
      </c>
      <c r="M376" s="38">
        <f>M377</f>
        <v>16261.099999999999</v>
      </c>
      <c r="N376" s="38">
        <f>N377</f>
        <v>0</v>
      </c>
      <c r="O376" s="38">
        <f>O377</f>
        <v>16261.099999999999</v>
      </c>
    </row>
    <row r="377" spans="1:15" ht="31.5" x14ac:dyDescent="0.2">
      <c r="A377" s="40"/>
      <c r="B377" s="41" t="s">
        <v>484</v>
      </c>
      <c r="C377" s="42" t="s">
        <v>477</v>
      </c>
      <c r="D377" s="43" t="s">
        <v>514</v>
      </c>
      <c r="E377" s="43" t="s">
        <v>485</v>
      </c>
      <c r="F377" s="44" t="s">
        <v>11</v>
      </c>
      <c r="G377" s="45">
        <f>G378+G388</f>
        <v>16261.099999999999</v>
      </c>
      <c r="H377" s="45">
        <f>H378+H382</f>
        <v>0</v>
      </c>
      <c r="I377" s="45">
        <f>I378+I388</f>
        <v>16261.099999999999</v>
      </c>
      <c r="J377" s="46">
        <f>J378+J388</f>
        <v>0</v>
      </c>
      <c r="K377" s="45">
        <f>K378+K382</f>
        <v>0</v>
      </c>
      <c r="L377" s="46">
        <f>L378+L388</f>
        <v>0</v>
      </c>
      <c r="M377" s="45">
        <f>M378+M388</f>
        <v>16261.099999999999</v>
      </c>
      <c r="N377" s="45">
        <f>N378+N388</f>
        <v>0</v>
      </c>
      <c r="O377" s="45">
        <f>O378+O388</f>
        <v>16261.099999999999</v>
      </c>
    </row>
    <row r="378" spans="1:15" ht="47.25" x14ac:dyDescent="0.2">
      <c r="A378" s="40"/>
      <c r="B378" s="41" t="s">
        <v>495</v>
      </c>
      <c r="C378" s="42" t="s">
        <v>477</v>
      </c>
      <c r="D378" s="43" t="s">
        <v>514</v>
      </c>
      <c r="E378" s="43" t="s">
        <v>496</v>
      </c>
      <c r="F378" s="44" t="s">
        <v>11</v>
      </c>
      <c r="G378" s="45">
        <f>G379+G383</f>
        <v>14395.199999999999</v>
      </c>
      <c r="H378" s="45">
        <f>H379</f>
        <v>0</v>
      </c>
      <c r="I378" s="45">
        <f>I379+I383</f>
        <v>14395.199999999999</v>
      </c>
      <c r="J378" s="46">
        <f>J379+J383</f>
        <v>0</v>
      </c>
      <c r="K378" s="45">
        <f>K379</f>
        <v>0</v>
      </c>
      <c r="L378" s="46">
        <f>L379+L383</f>
        <v>0</v>
      </c>
      <c r="M378" s="45">
        <f>M379+M383</f>
        <v>14395.199999999999</v>
      </c>
      <c r="N378" s="45">
        <f>N379+N383</f>
        <v>0</v>
      </c>
      <c r="O378" s="45">
        <f>O379+O383</f>
        <v>14395.199999999999</v>
      </c>
    </row>
    <row r="379" spans="1:15" ht="47.25" x14ac:dyDescent="0.2">
      <c r="A379" s="40"/>
      <c r="B379" s="41" t="s">
        <v>497</v>
      </c>
      <c r="C379" s="42" t="s">
        <v>477</v>
      </c>
      <c r="D379" s="43" t="s">
        <v>514</v>
      </c>
      <c r="E379" s="43" t="s">
        <v>498</v>
      </c>
      <c r="F379" s="44" t="s">
        <v>11</v>
      </c>
      <c r="G379" s="45">
        <f>G380</f>
        <v>4712</v>
      </c>
      <c r="H379" s="45">
        <f>H380+H381</f>
        <v>0</v>
      </c>
      <c r="I379" s="45">
        <f>I380</f>
        <v>4712</v>
      </c>
      <c r="J379" s="46">
        <f>J380</f>
        <v>0</v>
      </c>
      <c r="K379" s="45">
        <f>K380+K381</f>
        <v>0</v>
      </c>
      <c r="L379" s="46">
        <f>L380</f>
        <v>0</v>
      </c>
      <c r="M379" s="45">
        <f>M380</f>
        <v>4712</v>
      </c>
      <c r="N379" s="45">
        <f>N380</f>
        <v>0</v>
      </c>
      <c r="O379" s="45">
        <f>O380</f>
        <v>4712</v>
      </c>
    </row>
    <row r="380" spans="1:15" ht="31.5" x14ac:dyDescent="0.2">
      <c r="A380" s="40"/>
      <c r="B380" s="41" t="s">
        <v>134</v>
      </c>
      <c r="C380" s="42" t="s">
        <v>477</v>
      </c>
      <c r="D380" s="43" t="s">
        <v>514</v>
      </c>
      <c r="E380" s="43" t="s">
        <v>499</v>
      </c>
      <c r="F380" s="44" t="s">
        <v>11</v>
      </c>
      <c r="G380" s="45">
        <f>G381+G382</f>
        <v>4712</v>
      </c>
      <c r="H380" s="45"/>
      <c r="I380" s="45">
        <f>I381+I382</f>
        <v>4712</v>
      </c>
      <c r="J380" s="46">
        <f>J381+J382</f>
        <v>0</v>
      </c>
      <c r="K380" s="45"/>
      <c r="L380" s="46">
        <f>L381+L382</f>
        <v>0</v>
      </c>
      <c r="M380" s="45">
        <f>M381+M382</f>
        <v>4712</v>
      </c>
      <c r="N380" s="45">
        <f>N381+N382</f>
        <v>0</v>
      </c>
      <c r="O380" s="45">
        <f>O381+O382</f>
        <v>4712</v>
      </c>
    </row>
    <row r="381" spans="1:15" ht="78.75" x14ac:dyDescent="0.2">
      <c r="A381" s="40"/>
      <c r="B381" s="41" t="s">
        <v>61</v>
      </c>
      <c r="C381" s="42" t="s">
        <v>477</v>
      </c>
      <c r="D381" s="43" t="s">
        <v>514</v>
      </c>
      <c r="E381" s="43" t="s">
        <v>499</v>
      </c>
      <c r="F381" s="44" t="s">
        <v>62</v>
      </c>
      <c r="G381" s="45">
        <f>3786600/1000+351.1</f>
        <v>4137.7</v>
      </c>
      <c r="H381" s="45"/>
      <c r="I381" s="45">
        <f>3786600/1000+351.1</f>
        <v>4137.7</v>
      </c>
      <c r="J381" s="47"/>
      <c r="K381" s="45"/>
      <c r="L381" s="47"/>
      <c r="M381" s="45">
        <f>3786600/1000+351.1</f>
        <v>4137.7</v>
      </c>
      <c r="N381" s="45"/>
      <c r="O381" s="45">
        <f>3786600/1000+351.1</f>
        <v>4137.7</v>
      </c>
    </row>
    <row r="382" spans="1:15" ht="31.5" x14ac:dyDescent="0.2">
      <c r="A382" s="40"/>
      <c r="B382" s="41" t="s">
        <v>40</v>
      </c>
      <c r="C382" s="42" t="s">
        <v>477</v>
      </c>
      <c r="D382" s="43" t="s">
        <v>514</v>
      </c>
      <c r="E382" s="43" t="s">
        <v>499</v>
      </c>
      <c r="F382" s="44" t="s">
        <v>41</v>
      </c>
      <c r="G382" s="45">
        <f>574300/1000</f>
        <v>574.29999999999995</v>
      </c>
      <c r="H382" s="45"/>
      <c r="I382" s="45">
        <f>574300/1000</f>
        <v>574.29999999999995</v>
      </c>
      <c r="J382" s="47"/>
      <c r="K382" s="45"/>
      <c r="L382" s="47"/>
      <c r="M382" s="45">
        <f>574300/1000</f>
        <v>574.29999999999995</v>
      </c>
      <c r="N382" s="45"/>
      <c r="O382" s="45">
        <f>574300/1000</f>
        <v>574.29999999999995</v>
      </c>
    </row>
    <row r="383" spans="1:15" ht="47.25" x14ac:dyDescent="0.2">
      <c r="A383" s="40"/>
      <c r="B383" s="41" t="s">
        <v>515</v>
      </c>
      <c r="C383" s="42" t="s">
        <v>477</v>
      </c>
      <c r="D383" s="43" t="s">
        <v>514</v>
      </c>
      <c r="E383" s="43" t="s">
        <v>516</v>
      </c>
      <c r="F383" s="44" t="s">
        <v>11</v>
      </c>
      <c r="G383" s="45">
        <f>G384</f>
        <v>9683.1999999999989</v>
      </c>
      <c r="H383" s="45">
        <f>H384+H385+H386</f>
        <v>0</v>
      </c>
      <c r="I383" s="45">
        <f>I384</f>
        <v>9683.1999999999989</v>
      </c>
      <c r="J383" s="46">
        <f>J384</f>
        <v>0</v>
      </c>
      <c r="K383" s="45">
        <f>K384+K385+K386</f>
        <v>0</v>
      </c>
      <c r="L383" s="46">
        <f>L384</f>
        <v>0</v>
      </c>
      <c r="M383" s="45">
        <f>M384</f>
        <v>9683.1999999999989</v>
      </c>
      <c r="N383" s="45">
        <f>N384</f>
        <v>0</v>
      </c>
      <c r="O383" s="45">
        <f>O384</f>
        <v>9683.1999999999989</v>
      </c>
    </row>
    <row r="384" spans="1:15" ht="31.5" x14ac:dyDescent="0.2">
      <c r="A384" s="40"/>
      <c r="B384" s="41" t="s">
        <v>134</v>
      </c>
      <c r="C384" s="42" t="s">
        <v>477</v>
      </c>
      <c r="D384" s="43" t="s">
        <v>514</v>
      </c>
      <c r="E384" s="43" t="s">
        <v>517</v>
      </c>
      <c r="F384" s="44" t="s">
        <v>11</v>
      </c>
      <c r="G384" s="45">
        <f>G385+G386+G387</f>
        <v>9683.1999999999989</v>
      </c>
      <c r="H384" s="45"/>
      <c r="I384" s="45">
        <f>I385+I386+I387</f>
        <v>9683.1999999999989</v>
      </c>
      <c r="J384" s="46">
        <f>J385+J386+J387</f>
        <v>0</v>
      </c>
      <c r="K384" s="45"/>
      <c r="L384" s="46">
        <f>L385+L386+L387</f>
        <v>0</v>
      </c>
      <c r="M384" s="45">
        <f>M385+M386+M387</f>
        <v>9683.1999999999989</v>
      </c>
      <c r="N384" s="45">
        <f>N385+N386+N387</f>
        <v>0</v>
      </c>
      <c r="O384" s="45">
        <f>O385+O386+O387</f>
        <v>9683.1999999999989</v>
      </c>
    </row>
    <row r="385" spans="1:16" ht="78.75" x14ac:dyDescent="0.2">
      <c r="A385" s="40"/>
      <c r="B385" s="41" t="s">
        <v>61</v>
      </c>
      <c r="C385" s="42" t="s">
        <v>477</v>
      </c>
      <c r="D385" s="43" t="s">
        <v>514</v>
      </c>
      <c r="E385" s="43" t="s">
        <v>517</v>
      </c>
      <c r="F385" s="44" t="s">
        <v>62</v>
      </c>
      <c r="G385" s="45">
        <f>8275300/1000</f>
        <v>8275.2999999999993</v>
      </c>
      <c r="H385" s="45"/>
      <c r="I385" s="45">
        <f>8275300/1000</f>
        <v>8275.2999999999993</v>
      </c>
      <c r="J385" s="47">
        <v>0</v>
      </c>
      <c r="K385" s="45"/>
      <c r="L385" s="47">
        <v>0</v>
      </c>
      <c r="M385" s="45">
        <f>8275300/1000</f>
        <v>8275.2999999999993</v>
      </c>
      <c r="N385" s="45"/>
      <c r="O385" s="45">
        <f>8275300/1000</f>
        <v>8275.2999999999993</v>
      </c>
    </row>
    <row r="386" spans="1:16" ht="31.5" x14ac:dyDescent="0.2">
      <c r="A386" s="40"/>
      <c r="B386" s="41" t="s">
        <v>40</v>
      </c>
      <c r="C386" s="42" t="s">
        <v>477</v>
      </c>
      <c r="D386" s="43" t="s">
        <v>514</v>
      </c>
      <c r="E386" s="43" t="s">
        <v>517</v>
      </c>
      <c r="F386" s="44" t="s">
        <v>41</v>
      </c>
      <c r="G386" s="45">
        <f>1406800/1000</f>
        <v>1406.8</v>
      </c>
      <c r="H386" s="45"/>
      <c r="I386" s="45">
        <f>1406800/1000</f>
        <v>1406.8</v>
      </c>
      <c r="J386" s="47">
        <v>0</v>
      </c>
      <c r="K386" s="45"/>
      <c r="L386" s="47">
        <v>0</v>
      </c>
      <c r="M386" s="45">
        <f>1406800/1000</f>
        <v>1406.8</v>
      </c>
      <c r="N386" s="45"/>
      <c r="O386" s="45">
        <f>1406800/1000</f>
        <v>1406.8</v>
      </c>
    </row>
    <row r="387" spans="1:16" ht="15.75" x14ac:dyDescent="0.2">
      <c r="A387" s="40"/>
      <c r="B387" s="41" t="s">
        <v>70</v>
      </c>
      <c r="C387" s="42" t="s">
        <v>477</v>
      </c>
      <c r="D387" s="43" t="s">
        <v>514</v>
      </c>
      <c r="E387" s="43" t="s">
        <v>517</v>
      </c>
      <c r="F387" s="44" t="s">
        <v>71</v>
      </c>
      <c r="G387" s="45">
        <f>1100/1000</f>
        <v>1.1000000000000001</v>
      </c>
      <c r="H387" s="45"/>
      <c r="I387" s="45">
        <f>1100/1000</f>
        <v>1.1000000000000001</v>
      </c>
      <c r="J387" s="47">
        <v>0</v>
      </c>
      <c r="K387" s="45"/>
      <c r="L387" s="47">
        <v>0</v>
      </c>
      <c r="M387" s="45">
        <f>1100/1000</f>
        <v>1.1000000000000001</v>
      </c>
      <c r="N387" s="45"/>
      <c r="O387" s="45">
        <f>1100/1000</f>
        <v>1.1000000000000001</v>
      </c>
    </row>
    <row r="388" spans="1:16" ht="31.5" x14ac:dyDescent="0.2">
      <c r="A388" s="40"/>
      <c r="B388" s="41" t="s">
        <v>518</v>
      </c>
      <c r="C388" s="42" t="s">
        <v>477</v>
      </c>
      <c r="D388" s="43" t="s">
        <v>514</v>
      </c>
      <c r="E388" s="43" t="s">
        <v>519</v>
      </c>
      <c r="F388" s="44" t="s">
        <v>11</v>
      </c>
      <c r="G388" s="45">
        <f t="shared" ref="G388:O389" si="94">G389</f>
        <v>1865.9</v>
      </c>
      <c r="H388" s="45">
        <f t="shared" si="94"/>
        <v>0</v>
      </c>
      <c r="I388" s="45">
        <f t="shared" si="94"/>
        <v>1865.9</v>
      </c>
      <c r="J388" s="46">
        <f t="shared" si="94"/>
        <v>0</v>
      </c>
      <c r="K388" s="45">
        <f t="shared" si="94"/>
        <v>0</v>
      </c>
      <c r="L388" s="46">
        <f t="shared" si="94"/>
        <v>0</v>
      </c>
      <c r="M388" s="45">
        <f t="shared" si="94"/>
        <v>1865.9</v>
      </c>
      <c r="N388" s="45">
        <f t="shared" si="94"/>
        <v>0</v>
      </c>
      <c r="O388" s="45">
        <f t="shared" si="94"/>
        <v>1865.9</v>
      </c>
    </row>
    <row r="389" spans="1:16" ht="31.5" x14ac:dyDescent="0.2">
      <c r="A389" s="40"/>
      <c r="B389" s="41" t="s">
        <v>520</v>
      </c>
      <c r="C389" s="42" t="s">
        <v>477</v>
      </c>
      <c r="D389" s="43" t="s">
        <v>514</v>
      </c>
      <c r="E389" s="43" t="s">
        <v>521</v>
      </c>
      <c r="F389" s="44" t="s">
        <v>11</v>
      </c>
      <c r="G389" s="45">
        <f t="shared" si="94"/>
        <v>1865.9</v>
      </c>
      <c r="H389" s="45">
        <f>H390+H391</f>
        <v>0</v>
      </c>
      <c r="I389" s="45">
        <f t="shared" si="94"/>
        <v>1865.9</v>
      </c>
      <c r="J389" s="46">
        <f t="shared" si="94"/>
        <v>0</v>
      </c>
      <c r="K389" s="45">
        <f>K390+K391</f>
        <v>0</v>
      </c>
      <c r="L389" s="46">
        <f t="shared" si="94"/>
        <v>0</v>
      </c>
      <c r="M389" s="45">
        <f t="shared" si="94"/>
        <v>1865.9</v>
      </c>
      <c r="N389" s="45">
        <f t="shared" si="94"/>
        <v>0</v>
      </c>
      <c r="O389" s="45">
        <f t="shared" si="94"/>
        <v>1865.9</v>
      </c>
    </row>
    <row r="390" spans="1:16" ht="31.5" x14ac:dyDescent="0.2">
      <c r="A390" s="40"/>
      <c r="B390" s="41" t="s">
        <v>38</v>
      </c>
      <c r="C390" s="42" t="s">
        <v>477</v>
      </c>
      <c r="D390" s="43" t="s">
        <v>514</v>
      </c>
      <c r="E390" s="43" t="s">
        <v>522</v>
      </c>
      <c r="F390" s="44" t="s">
        <v>11</v>
      </c>
      <c r="G390" s="45">
        <f>G391+G392</f>
        <v>1865.9</v>
      </c>
      <c r="H390" s="45"/>
      <c r="I390" s="45">
        <f>I391+I392</f>
        <v>1865.9</v>
      </c>
      <c r="J390" s="46">
        <f>J391+J392</f>
        <v>0</v>
      </c>
      <c r="K390" s="45"/>
      <c r="L390" s="46">
        <f>L391+L392</f>
        <v>0</v>
      </c>
      <c r="M390" s="45">
        <f>M391+M392</f>
        <v>1865.9</v>
      </c>
      <c r="N390" s="45">
        <f>N391+N392</f>
        <v>0</v>
      </c>
      <c r="O390" s="45">
        <f>O391+O392</f>
        <v>1865.9</v>
      </c>
    </row>
    <row r="391" spans="1:16" ht="78.75" x14ac:dyDescent="0.2">
      <c r="A391" s="40"/>
      <c r="B391" s="41" t="s">
        <v>61</v>
      </c>
      <c r="C391" s="42" t="s">
        <v>477</v>
      </c>
      <c r="D391" s="43" t="s">
        <v>514</v>
      </c>
      <c r="E391" s="43" t="s">
        <v>522</v>
      </c>
      <c r="F391" s="44" t="s">
        <v>62</v>
      </c>
      <c r="G391" s="45">
        <f>1855900/1000</f>
        <v>1855.9</v>
      </c>
      <c r="H391" s="45"/>
      <c r="I391" s="45">
        <f>1855900/1000</f>
        <v>1855.9</v>
      </c>
      <c r="J391" s="47">
        <v>0</v>
      </c>
      <c r="K391" s="45"/>
      <c r="L391" s="47">
        <v>0</v>
      </c>
      <c r="M391" s="45">
        <f>1855900/1000</f>
        <v>1855.9</v>
      </c>
      <c r="N391" s="45"/>
      <c r="O391" s="45">
        <f>1855900/1000</f>
        <v>1855.9</v>
      </c>
    </row>
    <row r="392" spans="1:16" ht="31.5" x14ac:dyDescent="0.2">
      <c r="A392" s="40"/>
      <c r="B392" s="41" t="s">
        <v>40</v>
      </c>
      <c r="C392" s="42" t="s">
        <v>477</v>
      </c>
      <c r="D392" s="43" t="s">
        <v>514</v>
      </c>
      <c r="E392" s="43" t="s">
        <v>522</v>
      </c>
      <c r="F392" s="44" t="s">
        <v>41</v>
      </c>
      <c r="G392" s="45">
        <f>10000/1000</f>
        <v>10</v>
      </c>
      <c r="H392" s="25"/>
      <c r="I392" s="45">
        <f>10000/1000</f>
        <v>10</v>
      </c>
      <c r="J392" s="47">
        <v>0</v>
      </c>
      <c r="K392" s="25"/>
      <c r="L392" s="47">
        <v>0</v>
      </c>
      <c r="M392" s="45">
        <f>10000/1000</f>
        <v>10</v>
      </c>
      <c r="N392" s="45"/>
      <c r="O392" s="45">
        <f>10000/1000</f>
        <v>10</v>
      </c>
    </row>
    <row r="393" spans="1:16" ht="47.25" x14ac:dyDescent="0.2">
      <c r="A393" s="20" t="s">
        <v>523</v>
      </c>
      <c r="B393" s="21" t="s">
        <v>524</v>
      </c>
      <c r="C393" s="22" t="s">
        <v>525</v>
      </c>
      <c r="D393" s="23" t="s">
        <v>11</v>
      </c>
      <c r="E393" s="23" t="s">
        <v>11</v>
      </c>
      <c r="F393" s="24" t="s">
        <v>11</v>
      </c>
      <c r="G393" s="25">
        <f>G394+G406</f>
        <v>15410</v>
      </c>
      <c r="H393" s="25">
        <f>H394</f>
        <v>0</v>
      </c>
      <c r="I393" s="25">
        <f>I394+I406</f>
        <v>15410</v>
      </c>
      <c r="J393" s="26">
        <f>J394+J406</f>
        <v>0</v>
      </c>
      <c r="K393" s="25">
        <f>K394</f>
        <v>0</v>
      </c>
      <c r="L393" s="26">
        <f>L394+L406</f>
        <v>0</v>
      </c>
      <c r="M393" s="25">
        <f>M394+M406</f>
        <v>15410</v>
      </c>
      <c r="N393" s="25">
        <f>N394+N406</f>
        <v>0</v>
      </c>
      <c r="O393" s="25">
        <f>O394+O406</f>
        <v>15410</v>
      </c>
      <c r="P393" s="19"/>
    </row>
    <row r="394" spans="1:16" ht="15.75" x14ac:dyDescent="0.2">
      <c r="A394" s="20" t="s">
        <v>526</v>
      </c>
      <c r="B394" s="21" t="s">
        <v>30</v>
      </c>
      <c r="C394" s="22" t="s">
        <v>525</v>
      </c>
      <c r="D394" s="23" t="s">
        <v>31</v>
      </c>
      <c r="E394" s="23" t="s">
        <v>11</v>
      </c>
      <c r="F394" s="24" t="s">
        <v>11</v>
      </c>
      <c r="G394" s="25">
        <f>G395</f>
        <v>5065.8999999999996</v>
      </c>
      <c r="H394" s="38">
        <f>H395</f>
        <v>0</v>
      </c>
      <c r="I394" s="25">
        <f>I395</f>
        <v>5065.8999999999996</v>
      </c>
      <c r="J394" s="26">
        <f t="shared" ref="J394:L396" si="95">J395</f>
        <v>0</v>
      </c>
      <c r="K394" s="38">
        <f>K395</f>
        <v>0</v>
      </c>
      <c r="L394" s="26">
        <f t="shared" si="95"/>
        <v>0</v>
      </c>
      <c r="M394" s="25">
        <f t="shared" ref="M394:O396" si="96">M395</f>
        <v>5065.8999999999996</v>
      </c>
      <c r="N394" s="25">
        <f t="shared" si="96"/>
        <v>0</v>
      </c>
      <c r="O394" s="25">
        <f t="shared" si="96"/>
        <v>5065.8999999999996</v>
      </c>
    </row>
    <row r="395" spans="1:16" ht="15.75" x14ac:dyDescent="0.2">
      <c r="A395" s="33" t="s">
        <v>527</v>
      </c>
      <c r="B395" s="34" t="s">
        <v>85</v>
      </c>
      <c r="C395" s="35" t="s">
        <v>525</v>
      </c>
      <c r="D395" s="36" t="s">
        <v>86</v>
      </c>
      <c r="E395" s="36" t="s">
        <v>11</v>
      </c>
      <c r="F395" s="37" t="s">
        <v>11</v>
      </c>
      <c r="G395" s="38">
        <f>G396</f>
        <v>5065.8999999999996</v>
      </c>
      <c r="H395" s="45">
        <f>H396</f>
        <v>0</v>
      </c>
      <c r="I395" s="38">
        <f>I396</f>
        <v>5065.8999999999996</v>
      </c>
      <c r="J395" s="39">
        <f t="shared" si="95"/>
        <v>0</v>
      </c>
      <c r="K395" s="45">
        <f>K396</f>
        <v>0</v>
      </c>
      <c r="L395" s="39">
        <f t="shared" si="95"/>
        <v>0</v>
      </c>
      <c r="M395" s="38">
        <f t="shared" si="96"/>
        <v>5065.8999999999996</v>
      </c>
      <c r="N395" s="38">
        <f t="shared" si="96"/>
        <v>0</v>
      </c>
      <c r="O395" s="38">
        <f t="shared" si="96"/>
        <v>5065.8999999999996</v>
      </c>
    </row>
    <row r="396" spans="1:16" ht="31.5" x14ac:dyDescent="0.2">
      <c r="A396" s="40"/>
      <c r="B396" s="41" t="s">
        <v>128</v>
      </c>
      <c r="C396" s="42" t="s">
        <v>525</v>
      </c>
      <c r="D396" s="43" t="s">
        <v>86</v>
      </c>
      <c r="E396" s="43" t="s">
        <v>129</v>
      </c>
      <c r="F396" s="44" t="s">
        <v>11</v>
      </c>
      <c r="G396" s="45">
        <f>G397</f>
        <v>5065.8999999999996</v>
      </c>
      <c r="H396" s="45">
        <f>H397+H401</f>
        <v>0</v>
      </c>
      <c r="I396" s="45">
        <f>I397</f>
        <v>5065.8999999999996</v>
      </c>
      <c r="J396" s="46">
        <f t="shared" si="95"/>
        <v>0</v>
      </c>
      <c r="K396" s="45">
        <f>K397+K401</f>
        <v>0</v>
      </c>
      <c r="L396" s="46">
        <f t="shared" si="95"/>
        <v>0</v>
      </c>
      <c r="M396" s="45">
        <f t="shared" si="96"/>
        <v>5065.8999999999996</v>
      </c>
      <c r="N396" s="45">
        <f t="shared" si="96"/>
        <v>0</v>
      </c>
      <c r="O396" s="45">
        <f t="shared" si="96"/>
        <v>5065.8999999999996</v>
      </c>
    </row>
    <row r="397" spans="1:16" ht="31.5" x14ac:dyDescent="0.2">
      <c r="A397" s="40"/>
      <c r="B397" s="41" t="s">
        <v>528</v>
      </c>
      <c r="C397" s="42" t="s">
        <v>525</v>
      </c>
      <c r="D397" s="43" t="s">
        <v>86</v>
      </c>
      <c r="E397" s="43" t="s">
        <v>529</v>
      </c>
      <c r="F397" s="44" t="s">
        <v>11</v>
      </c>
      <c r="G397" s="45">
        <f>G398+G402</f>
        <v>5065.8999999999996</v>
      </c>
      <c r="H397" s="45">
        <f>H398</f>
        <v>0</v>
      </c>
      <c r="I397" s="45">
        <f>I398+I402</f>
        <v>5065.8999999999996</v>
      </c>
      <c r="J397" s="46">
        <f>J398+J402</f>
        <v>0</v>
      </c>
      <c r="K397" s="45">
        <f>K398</f>
        <v>0</v>
      </c>
      <c r="L397" s="46">
        <f>L398+L402</f>
        <v>0</v>
      </c>
      <c r="M397" s="45">
        <f>M398+M402</f>
        <v>5065.8999999999996</v>
      </c>
      <c r="N397" s="45">
        <f>N398+N402</f>
        <v>0</v>
      </c>
      <c r="O397" s="45">
        <f>O398+O402</f>
        <v>5065.8999999999996</v>
      </c>
    </row>
    <row r="398" spans="1:16" ht="47.25" x14ac:dyDescent="0.2">
      <c r="A398" s="40"/>
      <c r="B398" s="41" t="s">
        <v>530</v>
      </c>
      <c r="C398" s="42" t="s">
        <v>525</v>
      </c>
      <c r="D398" s="43" t="s">
        <v>86</v>
      </c>
      <c r="E398" s="43" t="s">
        <v>531</v>
      </c>
      <c r="F398" s="44" t="s">
        <v>11</v>
      </c>
      <c r="G398" s="45">
        <f>G399</f>
        <v>4150.8999999999996</v>
      </c>
      <c r="H398" s="45"/>
      <c r="I398" s="45">
        <f>I399</f>
        <v>4150.8999999999996</v>
      </c>
      <c r="J398" s="46">
        <f>J399</f>
        <v>0</v>
      </c>
      <c r="K398" s="45"/>
      <c r="L398" s="46">
        <f>L399</f>
        <v>0</v>
      </c>
      <c r="M398" s="45">
        <f>M399</f>
        <v>4150.8999999999996</v>
      </c>
      <c r="N398" s="45">
        <f>N399</f>
        <v>0</v>
      </c>
      <c r="O398" s="45">
        <f>O399</f>
        <v>4150.8999999999996</v>
      </c>
    </row>
    <row r="399" spans="1:16" ht="31.5" x14ac:dyDescent="0.2">
      <c r="A399" s="40"/>
      <c r="B399" s="41" t="s">
        <v>38</v>
      </c>
      <c r="C399" s="42" t="s">
        <v>525</v>
      </c>
      <c r="D399" s="43" t="s">
        <v>86</v>
      </c>
      <c r="E399" s="43" t="s">
        <v>532</v>
      </c>
      <c r="F399" s="44" t="s">
        <v>11</v>
      </c>
      <c r="G399" s="45">
        <f>G400+G401</f>
        <v>4150.8999999999996</v>
      </c>
      <c r="H399" s="45"/>
      <c r="I399" s="45">
        <f>I400+I401</f>
        <v>4150.8999999999996</v>
      </c>
      <c r="J399" s="46">
        <f>J400+J401</f>
        <v>0</v>
      </c>
      <c r="K399" s="45"/>
      <c r="L399" s="46">
        <f>L400+L401</f>
        <v>0</v>
      </c>
      <c r="M399" s="45">
        <f>M400+M401</f>
        <v>4150.8999999999996</v>
      </c>
      <c r="N399" s="45">
        <f>N400+N401</f>
        <v>0</v>
      </c>
      <c r="O399" s="45">
        <f>O400+O401</f>
        <v>4150.8999999999996</v>
      </c>
    </row>
    <row r="400" spans="1:16" ht="78.75" x14ac:dyDescent="0.2">
      <c r="A400" s="40"/>
      <c r="B400" s="41" t="s">
        <v>61</v>
      </c>
      <c r="C400" s="42" t="s">
        <v>525</v>
      </c>
      <c r="D400" s="43" t="s">
        <v>86</v>
      </c>
      <c r="E400" s="43" t="s">
        <v>532</v>
      </c>
      <c r="F400" s="44" t="s">
        <v>62</v>
      </c>
      <c r="G400" s="45">
        <v>4140.8999999999996</v>
      </c>
      <c r="H400" s="45">
        <v>10</v>
      </c>
      <c r="I400" s="45">
        <v>4140.8999999999996</v>
      </c>
      <c r="J400" s="47">
        <v>0</v>
      </c>
      <c r="K400" s="45">
        <v>10</v>
      </c>
      <c r="L400" s="47">
        <v>0</v>
      </c>
      <c r="M400" s="45">
        <v>4140.8999999999996</v>
      </c>
      <c r="N400" s="45"/>
      <c r="O400" s="45">
        <v>4140.8999999999996</v>
      </c>
    </row>
    <row r="401" spans="1:15" ht="31.5" x14ac:dyDescent="0.2">
      <c r="A401" s="40"/>
      <c r="B401" s="41" t="s">
        <v>40</v>
      </c>
      <c r="C401" s="42" t="s">
        <v>525</v>
      </c>
      <c r="D401" s="43" t="s">
        <v>86</v>
      </c>
      <c r="E401" s="43" t="s">
        <v>532</v>
      </c>
      <c r="F401" s="44" t="s">
        <v>41</v>
      </c>
      <c r="G401" s="45">
        <v>10</v>
      </c>
      <c r="H401" s="45">
        <f>H402</f>
        <v>0</v>
      </c>
      <c r="I401" s="45">
        <v>10</v>
      </c>
      <c r="J401" s="47">
        <v>0</v>
      </c>
      <c r="K401" s="45">
        <f>K402</f>
        <v>0</v>
      </c>
      <c r="L401" s="47">
        <v>0</v>
      </c>
      <c r="M401" s="45">
        <v>10</v>
      </c>
      <c r="N401" s="45"/>
      <c r="O401" s="45">
        <v>10</v>
      </c>
    </row>
    <row r="402" spans="1:15" ht="47.25" x14ac:dyDescent="0.2">
      <c r="A402" s="40"/>
      <c r="B402" s="41" t="s">
        <v>533</v>
      </c>
      <c r="C402" s="42" t="s">
        <v>525</v>
      </c>
      <c r="D402" s="43" t="s">
        <v>86</v>
      </c>
      <c r="E402" s="43" t="s">
        <v>534</v>
      </c>
      <c r="F402" s="44" t="s">
        <v>11</v>
      </c>
      <c r="G402" s="45">
        <f>G403</f>
        <v>915</v>
      </c>
      <c r="H402" s="45">
        <f>H403+H404</f>
        <v>0</v>
      </c>
      <c r="I402" s="45">
        <f>I403</f>
        <v>915</v>
      </c>
      <c r="J402" s="46">
        <f>J403</f>
        <v>0</v>
      </c>
      <c r="K402" s="45">
        <f>K403+K404</f>
        <v>0</v>
      </c>
      <c r="L402" s="46">
        <f>L403</f>
        <v>0</v>
      </c>
      <c r="M402" s="45">
        <f>M403</f>
        <v>915</v>
      </c>
      <c r="N402" s="45">
        <f>N403</f>
        <v>0</v>
      </c>
      <c r="O402" s="45">
        <f>O403</f>
        <v>915</v>
      </c>
    </row>
    <row r="403" spans="1:15" ht="47.25" x14ac:dyDescent="0.2">
      <c r="A403" s="40"/>
      <c r="B403" s="41" t="s">
        <v>535</v>
      </c>
      <c r="C403" s="42" t="s">
        <v>525</v>
      </c>
      <c r="D403" s="43" t="s">
        <v>86</v>
      </c>
      <c r="E403" s="43" t="s">
        <v>536</v>
      </c>
      <c r="F403" s="44" t="s">
        <v>11</v>
      </c>
      <c r="G403" s="45">
        <f>G404+G405</f>
        <v>915</v>
      </c>
      <c r="H403" s="45"/>
      <c r="I403" s="45">
        <f>I404+I405</f>
        <v>915</v>
      </c>
      <c r="J403" s="46">
        <f>J404+J405</f>
        <v>0</v>
      </c>
      <c r="K403" s="45"/>
      <c r="L403" s="46">
        <f>L404+L405</f>
        <v>0</v>
      </c>
      <c r="M403" s="45">
        <f>M404+M405</f>
        <v>915</v>
      </c>
      <c r="N403" s="45">
        <f>N404+N405</f>
        <v>0</v>
      </c>
      <c r="O403" s="45">
        <f>O404+O405</f>
        <v>915</v>
      </c>
    </row>
    <row r="404" spans="1:15" ht="31.5" x14ac:dyDescent="0.2">
      <c r="A404" s="40"/>
      <c r="B404" s="41" t="s">
        <v>40</v>
      </c>
      <c r="C404" s="42" t="s">
        <v>525</v>
      </c>
      <c r="D404" s="43" t="s">
        <v>86</v>
      </c>
      <c r="E404" s="43" t="s">
        <v>536</v>
      </c>
      <c r="F404" s="44" t="s">
        <v>41</v>
      </c>
      <c r="G404" s="45">
        <f>900000/1000</f>
        <v>900</v>
      </c>
      <c r="H404" s="45"/>
      <c r="I404" s="45">
        <f>900000/1000</f>
        <v>900</v>
      </c>
      <c r="J404" s="47">
        <v>0</v>
      </c>
      <c r="K404" s="45"/>
      <c r="L404" s="47">
        <v>0</v>
      </c>
      <c r="M404" s="45">
        <f>900000/1000</f>
        <v>900</v>
      </c>
      <c r="N404" s="45"/>
      <c r="O404" s="45">
        <f>900000/1000</f>
        <v>900</v>
      </c>
    </row>
    <row r="405" spans="1:15" ht="15.75" x14ac:dyDescent="0.2">
      <c r="A405" s="40"/>
      <c r="B405" s="41" t="s">
        <v>70</v>
      </c>
      <c r="C405" s="42" t="s">
        <v>525</v>
      </c>
      <c r="D405" s="43" t="s">
        <v>86</v>
      </c>
      <c r="E405" s="43" t="s">
        <v>536</v>
      </c>
      <c r="F405" s="44" t="s">
        <v>71</v>
      </c>
      <c r="G405" s="45">
        <f>15000/1000</f>
        <v>15</v>
      </c>
      <c r="H405" s="25">
        <f t="shared" ref="G405:O411" si="97">H406</f>
        <v>0</v>
      </c>
      <c r="I405" s="45">
        <f>15000/1000</f>
        <v>15</v>
      </c>
      <c r="J405" s="47">
        <v>0</v>
      </c>
      <c r="K405" s="25">
        <f t="shared" si="97"/>
        <v>0</v>
      </c>
      <c r="L405" s="47">
        <v>0</v>
      </c>
      <c r="M405" s="45">
        <f>15000/1000</f>
        <v>15</v>
      </c>
      <c r="N405" s="45"/>
      <c r="O405" s="45">
        <f>15000/1000</f>
        <v>15</v>
      </c>
    </row>
    <row r="406" spans="1:15" ht="15.75" x14ac:dyDescent="0.2">
      <c r="A406" s="20" t="s">
        <v>537</v>
      </c>
      <c r="B406" s="21" t="s">
        <v>213</v>
      </c>
      <c r="C406" s="22" t="s">
        <v>525</v>
      </c>
      <c r="D406" s="23" t="s">
        <v>214</v>
      </c>
      <c r="E406" s="23" t="s">
        <v>11</v>
      </c>
      <c r="F406" s="24" t="s">
        <v>11</v>
      </c>
      <c r="G406" s="25">
        <f t="shared" si="97"/>
        <v>10344.1</v>
      </c>
      <c r="H406" s="38">
        <f t="shared" si="97"/>
        <v>0</v>
      </c>
      <c r="I406" s="25">
        <f t="shared" si="97"/>
        <v>10344.1</v>
      </c>
      <c r="J406" s="26">
        <f t="shared" si="97"/>
        <v>0</v>
      </c>
      <c r="K406" s="38">
        <f t="shared" si="97"/>
        <v>0</v>
      </c>
      <c r="L406" s="26">
        <f t="shared" si="97"/>
        <v>0</v>
      </c>
      <c r="M406" s="25">
        <f t="shared" si="97"/>
        <v>10344.1</v>
      </c>
      <c r="N406" s="25">
        <f t="shared" si="97"/>
        <v>0</v>
      </c>
      <c r="O406" s="25">
        <f t="shared" si="97"/>
        <v>10344.1</v>
      </c>
    </row>
    <row r="407" spans="1:15" ht="26.45" customHeight="1" x14ac:dyDescent="0.2">
      <c r="A407" s="33" t="s">
        <v>538</v>
      </c>
      <c r="B407" s="34" t="s">
        <v>261</v>
      </c>
      <c r="C407" s="35" t="s">
        <v>525</v>
      </c>
      <c r="D407" s="36" t="s">
        <v>262</v>
      </c>
      <c r="E407" s="36" t="s">
        <v>11</v>
      </c>
      <c r="F407" s="37" t="s">
        <v>11</v>
      </c>
      <c r="G407" s="38">
        <f t="shared" si="97"/>
        <v>10344.1</v>
      </c>
      <c r="H407" s="45">
        <f t="shared" si="97"/>
        <v>0</v>
      </c>
      <c r="I407" s="38">
        <f t="shared" si="97"/>
        <v>10344.1</v>
      </c>
      <c r="J407" s="39">
        <f t="shared" si="97"/>
        <v>0</v>
      </c>
      <c r="K407" s="45">
        <f t="shared" si="97"/>
        <v>0</v>
      </c>
      <c r="L407" s="39">
        <f t="shared" si="97"/>
        <v>0</v>
      </c>
      <c r="M407" s="38">
        <f t="shared" si="97"/>
        <v>10344.1</v>
      </c>
      <c r="N407" s="38">
        <f t="shared" si="97"/>
        <v>0</v>
      </c>
      <c r="O407" s="38">
        <f t="shared" si="97"/>
        <v>10344.1</v>
      </c>
    </row>
    <row r="408" spans="1:15" ht="31.5" x14ac:dyDescent="0.2">
      <c r="A408" s="40"/>
      <c r="B408" s="41" t="s">
        <v>128</v>
      </c>
      <c r="C408" s="42" t="s">
        <v>525</v>
      </c>
      <c r="D408" s="43" t="s">
        <v>262</v>
      </c>
      <c r="E408" s="43" t="s">
        <v>129</v>
      </c>
      <c r="F408" s="44" t="s">
        <v>11</v>
      </c>
      <c r="G408" s="45">
        <f t="shared" si="97"/>
        <v>10344.1</v>
      </c>
      <c r="H408" s="45">
        <f t="shared" si="97"/>
        <v>0</v>
      </c>
      <c r="I408" s="45">
        <f t="shared" si="97"/>
        <v>10344.1</v>
      </c>
      <c r="J408" s="46">
        <f t="shared" si="97"/>
        <v>0</v>
      </c>
      <c r="K408" s="45">
        <f t="shared" si="97"/>
        <v>0</v>
      </c>
      <c r="L408" s="46">
        <f t="shared" si="97"/>
        <v>0</v>
      </c>
      <c r="M408" s="45">
        <f t="shared" si="97"/>
        <v>10344.1</v>
      </c>
      <c r="N408" s="45">
        <f t="shared" si="97"/>
        <v>0</v>
      </c>
      <c r="O408" s="45">
        <f t="shared" si="97"/>
        <v>10344.1</v>
      </c>
    </row>
    <row r="409" spans="1:15" ht="31.5" x14ac:dyDescent="0.2">
      <c r="A409" s="40"/>
      <c r="B409" s="41" t="s">
        <v>528</v>
      </c>
      <c r="C409" s="42" t="s">
        <v>525</v>
      </c>
      <c r="D409" s="43" t="s">
        <v>262</v>
      </c>
      <c r="E409" s="43" t="s">
        <v>529</v>
      </c>
      <c r="F409" s="44" t="s">
        <v>11</v>
      </c>
      <c r="G409" s="45">
        <f t="shared" si="97"/>
        <v>10344.1</v>
      </c>
      <c r="H409" s="45">
        <f t="shared" si="97"/>
        <v>0</v>
      </c>
      <c r="I409" s="45">
        <f t="shared" si="97"/>
        <v>10344.1</v>
      </c>
      <c r="J409" s="46">
        <f t="shared" si="97"/>
        <v>0</v>
      </c>
      <c r="K409" s="45">
        <f t="shared" si="97"/>
        <v>0</v>
      </c>
      <c r="L409" s="46">
        <f t="shared" si="97"/>
        <v>0</v>
      </c>
      <c r="M409" s="45">
        <f t="shared" si="97"/>
        <v>10344.1</v>
      </c>
      <c r="N409" s="45">
        <f t="shared" si="97"/>
        <v>0</v>
      </c>
      <c r="O409" s="45">
        <f t="shared" si="97"/>
        <v>10344.1</v>
      </c>
    </row>
    <row r="410" spans="1:15" ht="47.25" x14ac:dyDescent="0.2">
      <c r="A410" s="40"/>
      <c r="B410" s="41" t="s">
        <v>539</v>
      </c>
      <c r="C410" s="42" t="s">
        <v>525</v>
      </c>
      <c r="D410" s="43" t="s">
        <v>262</v>
      </c>
      <c r="E410" s="43" t="s">
        <v>540</v>
      </c>
      <c r="F410" s="44" t="s">
        <v>11</v>
      </c>
      <c r="G410" s="45">
        <f t="shared" si="97"/>
        <v>10344.1</v>
      </c>
      <c r="H410" s="45">
        <f t="shared" si="97"/>
        <v>0</v>
      </c>
      <c r="I410" s="45">
        <f t="shared" si="97"/>
        <v>10344.1</v>
      </c>
      <c r="J410" s="46">
        <f t="shared" si="97"/>
        <v>0</v>
      </c>
      <c r="K410" s="45">
        <f t="shared" si="97"/>
        <v>0</v>
      </c>
      <c r="L410" s="46">
        <f t="shared" si="97"/>
        <v>0</v>
      </c>
      <c r="M410" s="45">
        <f t="shared" si="97"/>
        <v>10344.1</v>
      </c>
      <c r="N410" s="45">
        <f t="shared" si="97"/>
        <v>0</v>
      </c>
      <c r="O410" s="45">
        <f t="shared" si="97"/>
        <v>10344.1</v>
      </c>
    </row>
    <row r="411" spans="1:15" ht="32.25" thickBot="1" x14ac:dyDescent="0.25">
      <c r="A411" s="40"/>
      <c r="B411" s="41" t="s">
        <v>134</v>
      </c>
      <c r="C411" s="42" t="s">
        <v>525</v>
      </c>
      <c r="D411" s="43" t="s">
        <v>262</v>
      </c>
      <c r="E411" s="43" t="s">
        <v>541</v>
      </c>
      <c r="F411" s="44" t="s">
        <v>11</v>
      </c>
      <c r="G411" s="45">
        <f t="shared" si="97"/>
        <v>10344.1</v>
      </c>
      <c r="H411" s="54"/>
      <c r="I411" s="45">
        <f t="shared" si="97"/>
        <v>10344.1</v>
      </c>
      <c r="J411" s="46">
        <f t="shared" si="97"/>
        <v>0</v>
      </c>
      <c r="K411" s="54"/>
      <c r="L411" s="46">
        <f t="shared" si="97"/>
        <v>0</v>
      </c>
      <c r="M411" s="45">
        <f t="shared" si="97"/>
        <v>10344.1</v>
      </c>
      <c r="N411" s="45">
        <f t="shared" si="97"/>
        <v>0</v>
      </c>
      <c r="O411" s="45">
        <f t="shared" si="97"/>
        <v>10344.1</v>
      </c>
    </row>
    <row r="412" spans="1:15" ht="48" thickBot="1" x14ac:dyDescent="0.25">
      <c r="A412" s="49"/>
      <c r="B412" s="50" t="s">
        <v>95</v>
      </c>
      <c r="C412" s="51" t="s">
        <v>525</v>
      </c>
      <c r="D412" s="52" t="s">
        <v>262</v>
      </c>
      <c r="E412" s="52" t="s">
        <v>541</v>
      </c>
      <c r="F412" s="53" t="s">
        <v>96</v>
      </c>
      <c r="G412" s="54">
        <v>10344.1</v>
      </c>
      <c r="H412" s="63"/>
      <c r="I412" s="54">
        <v>10344.1</v>
      </c>
      <c r="J412" s="55">
        <v>0</v>
      </c>
      <c r="K412" s="63"/>
      <c r="L412" s="55">
        <v>0</v>
      </c>
      <c r="M412" s="54">
        <v>10344.1</v>
      </c>
      <c r="N412" s="54"/>
      <c r="O412" s="54">
        <v>10344.1</v>
      </c>
    </row>
    <row r="414" spans="1:15" x14ac:dyDescent="0.2">
      <c r="B414" s="302" t="s">
        <v>546</v>
      </c>
      <c r="C414" s="266"/>
      <c r="D414" s="266"/>
      <c r="E414" s="266"/>
      <c r="F414" s="266"/>
      <c r="G414" s="266"/>
      <c r="H414" s="266"/>
      <c r="I414" s="266"/>
      <c r="J414" s="266"/>
      <c r="K414" s="266"/>
      <c r="L414" s="266"/>
      <c r="M414" s="266"/>
      <c r="N414" s="266"/>
      <c r="O414" s="266"/>
    </row>
    <row r="415" spans="1:15" x14ac:dyDescent="0.2">
      <c r="B415" s="266"/>
      <c r="C415" s="266"/>
      <c r="D415" s="266"/>
      <c r="E415" s="266"/>
      <c r="F415" s="266"/>
      <c r="G415" s="266"/>
      <c r="H415" s="266"/>
      <c r="I415" s="266"/>
      <c r="J415" s="266"/>
      <c r="K415" s="266"/>
      <c r="L415" s="266"/>
      <c r="M415" s="266"/>
      <c r="N415" s="266"/>
      <c r="O415" s="266"/>
    </row>
    <row r="416" spans="1:15" x14ac:dyDescent="0.2">
      <c r="B416" s="266"/>
      <c r="C416" s="266"/>
      <c r="D416" s="266"/>
      <c r="E416" s="266"/>
      <c r="F416" s="266"/>
      <c r="G416" s="266"/>
      <c r="H416" s="266"/>
      <c r="I416" s="266"/>
      <c r="J416" s="266"/>
      <c r="K416" s="266"/>
      <c r="L416" s="266"/>
      <c r="M416" s="266"/>
      <c r="N416" s="266"/>
      <c r="O416" s="266"/>
    </row>
  </sheetData>
  <mergeCells count="21">
    <mergeCell ref="B414:O416"/>
    <mergeCell ref="C19:F19"/>
    <mergeCell ref="G19:O19"/>
    <mergeCell ref="B15:G15"/>
    <mergeCell ref="B16:G16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J6:O6"/>
    <mergeCell ref="J1:O1"/>
    <mergeCell ref="J2:O2"/>
    <mergeCell ref="J3:O3"/>
    <mergeCell ref="J4:O4"/>
    <mergeCell ref="J5:O5"/>
  </mergeCells>
  <pageMargins left="0.59055118110236227" right="0.31496062992125984" top="0.31496062992125984" bottom="0.39370078740157483" header="0.51181102362204722" footer="0.19685039370078741"/>
  <pageSetup paperSize="9" scale="55" firstPageNumber="4294967295" orientation="portrait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69"/>
  <sheetViews>
    <sheetView view="pageBreakPreview" topLeftCell="A478" zoomScale="60" zoomScaleNormal="60" workbookViewId="0">
      <selection activeCell="K497" sqref="K497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6.855468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" customWidth="1"/>
    <col min="11" max="11" width="16.5703125" customWidth="1"/>
    <col min="12" max="12" width="20.42578125" customWidth="1"/>
    <col min="13" max="13" width="22.28515625" customWidth="1"/>
    <col min="14" max="14" width="20" customWidth="1"/>
    <col min="15" max="16" width="18.28515625" customWidth="1"/>
    <col min="17" max="17" width="11.7109375" customWidth="1"/>
    <col min="18" max="18" width="10" bestFit="1" customWidth="1"/>
  </cols>
  <sheetData>
    <row r="1" spans="1:15" ht="43.5" customHeight="1" x14ac:dyDescent="0.25">
      <c r="B1" s="5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</row>
    <row r="2" spans="1:15" ht="43.5" customHeight="1" x14ac:dyDescent="0.25">
      <c r="B2" s="5"/>
      <c r="C2" s="5"/>
      <c r="D2" s="5"/>
      <c r="E2" s="5"/>
      <c r="F2" s="5"/>
      <c r="G2" s="5"/>
      <c r="H2" s="5"/>
      <c r="I2" s="5"/>
      <c r="J2" s="179" t="s">
        <v>601</v>
      </c>
      <c r="K2" s="179"/>
      <c r="L2" s="179"/>
      <c r="M2" s="179"/>
      <c r="N2" s="179"/>
      <c r="O2" s="1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1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2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3</v>
      </c>
      <c r="K5" s="279"/>
      <c r="L5" s="279"/>
      <c r="M5" s="279"/>
      <c r="N5" s="279"/>
      <c r="O5" s="279"/>
    </row>
    <row r="6" spans="1:15" ht="15" customHeight="1" x14ac:dyDescent="0.25">
      <c r="B6" s="1"/>
      <c r="C6" s="1"/>
      <c r="D6" s="1"/>
      <c r="E6" s="1"/>
      <c r="F6" s="1"/>
      <c r="G6" s="1"/>
      <c r="H6" s="1"/>
      <c r="I6" s="1"/>
      <c r="J6" s="279" t="s">
        <v>605</v>
      </c>
      <c r="K6" s="279"/>
      <c r="L6" s="279"/>
      <c r="M6" s="279"/>
      <c r="N6" s="279"/>
      <c r="O6" s="279"/>
    </row>
    <row r="7" spans="1:15" ht="15.6" customHeight="1" x14ac:dyDescent="0.25">
      <c r="B7" s="6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</row>
    <row r="8" spans="1:15" ht="15" customHeight="1" x14ac:dyDescent="0.2">
      <c r="B8" s="6"/>
      <c r="C8" s="6"/>
      <c r="D8" s="6"/>
      <c r="E8" s="6"/>
      <c r="F8" s="6"/>
      <c r="G8" s="3"/>
      <c r="H8" s="3"/>
      <c r="I8" s="3"/>
    </row>
    <row r="9" spans="1:15" ht="15.6" customHeight="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" customHeight="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ht="15.6" hidden="1" customHeight="1" x14ac:dyDescent="0.2">
      <c r="B12" s="6"/>
      <c r="C12" s="6"/>
      <c r="D12" s="6"/>
      <c r="E12" s="6"/>
      <c r="F12" s="6"/>
      <c r="G12" s="3"/>
      <c r="H12" s="3"/>
      <c r="I12" s="3"/>
    </row>
    <row r="13" spans="1:15" ht="18.600000000000001" customHeight="1" thickBot="1" x14ac:dyDescent="0.25">
      <c r="B13" s="6"/>
      <c r="C13" s="6"/>
      <c r="D13" s="7"/>
      <c r="E13" s="7"/>
      <c r="F13" s="7"/>
      <c r="G13" s="3"/>
      <c r="H13" s="3"/>
      <c r="I13" s="3"/>
      <c r="O13" s="8" t="s">
        <v>8</v>
      </c>
    </row>
    <row r="14" spans="1:15" ht="15" hidden="1" customHeight="1" x14ac:dyDescent="0.2">
      <c r="B14" s="176" t="s">
        <v>9</v>
      </c>
      <c r="C14" s="278"/>
      <c r="D14" s="278"/>
      <c r="E14" s="278"/>
      <c r="F14" s="278"/>
      <c r="G14" s="3"/>
      <c r="H14" s="3"/>
      <c r="I14" s="3"/>
    </row>
    <row r="15" spans="1:15" ht="6.6" hidden="1" customHeight="1" x14ac:dyDescent="0.2">
      <c r="B15" s="261" t="s">
        <v>10</v>
      </c>
      <c r="C15" s="261"/>
      <c r="D15" s="261"/>
      <c r="E15" s="261"/>
      <c r="F15" s="261"/>
      <c r="G15" s="3"/>
      <c r="H15" s="3"/>
      <c r="I15" s="3"/>
    </row>
    <row r="16" spans="1:15" ht="7.15" hidden="1" customHeight="1" thickBot="1" x14ac:dyDescent="0.25">
      <c r="B16" s="261" t="s">
        <v>11</v>
      </c>
      <c r="C16" s="261"/>
      <c r="D16" s="261"/>
      <c r="E16" s="261"/>
      <c r="F16" s="261"/>
      <c r="G16" s="261"/>
      <c r="H16" s="176"/>
      <c r="I16" s="176"/>
    </row>
    <row r="17" spans="1:17" ht="13.9" hidden="1" customHeight="1" thickBot="1" x14ac:dyDescent="0.25">
      <c r="B17" s="262" t="s">
        <v>11</v>
      </c>
      <c r="C17" s="262"/>
      <c r="D17" s="262"/>
      <c r="E17" s="262"/>
      <c r="F17" s="262"/>
      <c r="G17" s="262"/>
      <c r="H17" s="177"/>
      <c r="I17" s="177"/>
    </row>
    <row r="18" spans="1:17" ht="13.9" customHeight="1" x14ac:dyDescent="0.2">
      <c r="A18" s="289" t="s">
        <v>12</v>
      </c>
      <c r="B18" s="291" t="s">
        <v>13</v>
      </c>
      <c r="C18" s="291" t="s">
        <v>14</v>
      </c>
      <c r="D18" s="291"/>
      <c r="E18" s="291"/>
      <c r="F18" s="293"/>
      <c r="G18" s="294" t="s">
        <v>15</v>
      </c>
      <c r="H18" s="295"/>
      <c r="I18" s="295"/>
      <c r="J18" s="291"/>
      <c r="K18" s="293"/>
      <c r="L18" s="293"/>
      <c r="M18" s="293"/>
      <c r="N18" s="293"/>
      <c r="O18" s="296"/>
    </row>
    <row r="19" spans="1:17" ht="30" customHeight="1" x14ac:dyDescent="0.2">
      <c r="A19" s="290"/>
      <c r="B19" s="292"/>
      <c r="C19" s="178" t="s">
        <v>16</v>
      </c>
      <c r="D19" s="178" t="s">
        <v>17</v>
      </c>
      <c r="E19" s="178" t="s">
        <v>18</v>
      </c>
      <c r="F19" s="12" t="s">
        <v>19</v>
      </c>
      <c r="G19" s="13" t="s">
        <v>20</v>
      </c>
      <c r="H19" s="62" t="s">
        <v>21</v>
      </c>
      <c r="I19" s="62" t="s">
        <v>15</v>
      </c>
      <c r="J19" s="165" t="s">
        <v>22</v>
      </c>
      <c r="K19" s="103" t="s">
        <v>21</v>
      </c>
      <c r="L19" s="103" t="s">
        <v>15</v>
      </c>
      <c r="M19" s="13" t="s">
        <v>20</v>
      </c>
      <c r="N19" s="62" t="s">
        <v>21</v>
      </c>
      <c r="O19" s="166" t="s">
        <v>23</v>
      </c>
      <c r="P19" s="164">
        <v>20027.900000000001</v>
      </c>
    </row>
    <row r="20" spans="1:17" ht="13.9" customHeight="1" thickBot="1" x14ac:dyDescent="0.25">
      <c r="A20" s="10" t="s">
        <v>24</v>
      </c>
      <c r="B20" s="11">
        <v>2</v>
      </c>
      <c r="C20" s="298">
        <v>3</v>
      </c>
      <c r="D20" s="299"/>
      <c r="E20" s="299"/>
      <c r="F20" s="299"/>
      <c r="G20" s="300">
        <v>4</v>
      </c>
      <c r="H20" s="299"/>
      <c r="I20" s="299"/>
      <c r="J20" s="299"/>
      <c r="K20" s="299"/>
      <c r="L20" s="299"/>
      <c r="M20" s="299"/>
      <c r="N20" s="299"/>
      <c r="O20" s="301"/>
    </row>
    <row r="21" spans="1:17" ht="20.45" customHeight="1" x14ac:dyDescent="0.2">
      <c r="A21" s="27"/>
      <c r="B21" s="126" t="s">
        <v>25</v>
      </c>
      <c r="C21" s="127"/>
      <c r="D21" s="127"/>
      <c r="E21" s="127"/>
      <c r="F21" s="128"/>
      <c r="G21" s="104">
        <f>G22+G34+G472+G539</f>
        <v>751492.30000000016</v>
      </c>
      <c r="H21" s="104">
        <f>H22+H34+H472+H539</f>
        <v>5935.5999999999995</v>
      </c>
      <c r="I21" s="104">
        <f>I22+I34+I472+I539</f>
        <v>757427.90000000026</v>
      </c>
      <c r="J21" s="105">
        <f>J22+J34+J472+J539</f>
        <v>2017779.5999999999</v>
      </c>
      <c r="K21" s="106">
        <f>SUM(K34+K22+K472+K539)</f>
        <v>0</v>
      </c>
      <c r="L21" s="105">
        <f>L22+L34+L472+L539</f>
        <v>2017779.5999999999</v>
      </c>
      <c r="M21" s="104">
        <f>M22+M34+M472+M539</f>
        <v>2768983.6999999993</v>
      </c>
      <c r="N21" s="104">
        <f>N22+N34+N472+N539+N29</f>
        <v>5935.5999999999995</v>
      </c>
      <c r="O21" s="104">
        <f>O22+O34+O472+O539</f>
        <v>2774919.3</v>
      </c>
      <c r="P21" s="97">
        <f>G21+H21</f>
        <v>757427.90000000014</v>
      </c>
      <c r="Q21" s="97">
        <f>I21-P21</f>
        <v>0</v>
      </c>
    </row>
    <row r="22" spans="1:17" ht="31.5" x14ac:dyDescent="0.2">
      <c r="A22" s="20" t="s">
        <v>26</v>
      </c>
      <c r="B22" s="107" t="s">
        <v>27</v>
      </c>
      <c r="C22" s="107" t="s">
        <v>28</v>
      </c>
      <c r="D22" s="129" t="s">
        <v>11</v>
      </c>
      <c r="E22" s="129" t="s">
        <v>11</v>
      </c>
      <c r="F22" s="130" t="s">
        <v>11</v>
      </c>
      <c r="G22" s="106">
        <f>G23</f>
        <v>1601.8999999999999</v>
      </c>
      <c r="H22" s="106">
        <f>H23+H29</f>
        <v>0</v>
      </c>
      <c r="I22" s="106">
        <f>I23</f>
        <v>1601.8999999999999</v>
      </c>
      <c r="J22" s="108">
        <f>J23</f>
        <v>0</v>
      </c>
      <c r="K22" s="106">
        <f>K23+K28</f>
        <v>0</v>
      </c>
      <c r="L22" s="108">
        <f>L23</f>
        <v>0</v>
      </c>
      <c r="M22" s="106">
        <f>M23</f>
        <v>1601.8999999999999</v>
      </c>
      <c r="N22" s="106">
        <f>N23</f>
        <v>0</v>
      </c>
      <c r="O22" s="106">
        <f>O23</f>
        <v>1601.8999999999999</v>
      </c>
      <c r="P22" s="97">
        <f t="shared" ref="P22:P91" si="0">G22+H22</f>
        <v>1601.8999999999999</v>
      </c>
      <c r="Q22" s="97">
        <f t="shared" ref="Q22:Q91" si="1">I22-P22</f>
        <v>0</v>
      </c>
    </row>
    <row r="23" spans="1:17" ht="15.75" x14ac:dyDescent="0.2">
      <c r="A23" s="20" t="s">
        <v>29</v>
      </c>
      <c r="B23" s="107" t="s">
        <v>30</v>
      </c>
      <c r="C23" s="107" t="s">
        <v>28</v>
      </c>
      <c r="D23" s="129" t="s">
        <v>31</v>
      </c>
      <c r="E23" s="129" t="s">
        <v>11</v>
      </c>
      <c r="F23" s="130" t="s">
        <v>11</v>
      </c>
      <c r="G23" s="106">
        <f>G24+G29</f>
        <v>1601.8999999999999</v>
      </c>
      <c r="H23" s="109">
        <f>H24</f>
        <v>0</v>
      </c>
      <c r="I23" s="106">
        <f>I24+I29</f>
        <v>1601.8999999999999</v>
      </c>
      <c r="J23" s="108">
        <f>J24+J29</f>
        <v>0</v>
      </c>
      <c r="K23" s="109">
        <f>K24</f>
        <v>0</v>
      </c>
      <c r="L23" s="108">
        <f>L24+L29</f>
        <v>0</v>
      </c>
      <c r="M23" s="106">
        <f>M24+M29</f>
        <v>1601.8999999999999</v>
      </c>
      <c r="N23" s="106">
        <f>N24+N29</f>
        <v>0</v>
      </c>
      <c r="O23" s="106">
        <f>O24+O29</f>
        <v>1601.8999999999999</v>
      </c>
      <c r="P23" s="97">
        <f t="shared" si="0"/>
        <v>1601.8999999999999</v>
      </c>
      <c r="Q23" s="97">
        <f t="shared" si="1"/>
        <v>0</v>
      </c>
    </row>
    <row r="24" spans="1:17" ht="63" x14ac:dyDescent="0.2">
      <c r="A24" s="33" t="s">
        <v>32</v>
      </c>
      <c r="B24" s="110" t="s">
        <v>33</v>
      </c>
      <c r="C24" s="110" t="s">
        <v>28</v>
      </c>
      <c r="D24" s="131" t="s">
        <v>34</v>
      </c>
      <c r="E24" s="131" t="s">
        <v>11</v>
      </c>
      <c r="F24" s="132" t="s">
        <v>11</v>
      </c>
      <c r="G24" s="109">
        <f>G25</f>
        <v>8.1</v>
      </c>
      <c r="H24" s="111">
        <f>H25</f>
        <v>0</v>
      </c>
      <c r="I24" s="109">
        <f>I25</f>
        <v>8.1</v>
      </c>
      <c r="J24" s="112">
        <f t="shared" ref="J24:O27" si="2">J25</f>
        <v>0</v>
      </c>
      <c r="K24" s="111">
        <f>K25</f>
        <v>0</v>
      </c>
      <c r="L24" s="112">
        <f t="shared" si="2"/>
        <v>0</v>
      </c>
      <c r="M24" s="109">
        <f t="shared" si="2"/>
        <v>8.1</v>
      </c>
      <c r="N24" s="109">
        <f t="shared" si="2"/>
        <v>0</v>
      </c>
      <c r="O24" s="109">
        <f t="shared" si="2"/>
        <v>8.1</v>
      </c>
      <c r="P24" s="97">
        <f t="shared" si="0"/>
        <v>8.1</v>
      </c>
      <c r="Q24" s="97">
        <f t="shared" si="1"/>
        <v>0</v>
      </c>
    </row>
    <row r="25" spans="1:17" ht="31.5" x14ac:dyDescent="0.2">
      <c r="A25" s="40"/>
      <c r="B25" s="113" t="s">
        <v>35</v>
      </c>
      <c r="C25" s="113" t="s">
        <v>28</v>
      </c>
      <c r="D25" s="133" t="s">
        <v>34</v>
      </c>
      <c r="E25" s="133" t="s">
        <v>36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2"/>
        <v>0</v>
      </c>
      <c r="K25" s="111">
        <f>K26</f>
        <v>0</v>
      </c>
      <c r="L25" s="114">
        <f t="shared" si="2"/>
        <v>0</v>
      </c>
      <c r="M25" s="111">
        <f t="shared" si="2"/>
        <v>8.1</v>
      </c>
      <c r="N25" s="111">
        <f t="shared" si="2"/>
        <v>0</v>
      </c>
      <c r="O25" s="111">
        <f t="shared" si="2"/>
        <v>8.1</v>
      </c>
      <c r="P25" s="97">
        <f t="shared" si="0"/>
        <v>8.1</v>
      </c>
      <c r="Q25" s="97">
        <f t="shared" si="1"/>
        <v>0</v>
      </c>
    </row>
    <row r="26" spans="1:17" ht="31.5" x14ac:dyDescent="0.2">
      <c r="A26" s="40"/>
      <c r="B26" s="113" t="s">
        <v>27</v>
      </c>
      <c r="C26" s="113" t="s">
        <v>28</v>
      </c>
      <c r="D26" s="133" t="s">
        <v>34</v>
      </c>
      <c r="E26" s="133" t="s">
        <v>37</v>
      </c>
      <c r="F26" s="134" t="s">
        <v>11</v>
      </c>
      <c r="G26" s="111">
        <f>G27</f>
        <v>8.1</v>
      </c>
      <c r="H26" s="111">
        <f>H27</f>
        <v>0</v>
      </c>
      <c r="I26" s="111">
        <f>I27</f>
        <v>8.1</v>
      </c>
      <c r="J26" s="114">
        <f t="shared" si="2"/>
        <v>0</v>
      </c>
      <c r="K26" s="111">
        <f>K27</f>
        <v>0</v>
      </c>
      <c r="L26" s="114">
        <f t="shared" si="2"/>
        <v>0</v>
      </c>
      <c r="M26" s="111">
        <f t="shared" si="2"/>
        <v>8.1</v>
      </c>
      <c r="N26" s="111">
        <f t="shared" si="2"/>
        <v>0</v>
      </c>
      <c r="O26" s="111">
        <f t="shared" si="2"/>
        <v>8.1</v>
      </c>
      <c r="P26" s="97">
        <f t="shared" si="0"/>
        <v>8.1</v>
      </c>
      <c r="Q26" s="97">
        <f t="shared" si="1"/>
        <v>0</v>
      </c>
    </row>
    <row r="27" spans="1:17" ht="31.5" x14ac:dyDescent="0.2">
      <c r="A27" s="40"/>
      <c r="B27" s="113" t="s">
        <v>38</v>
      </c>
      <c r="C27" s="113" t="s">
        <v>28</v>
      </c>
      <c r="D27" s="133" t="s">
        <v>34</v>
      </c>
      <c r="E27" s="133" t="s">
        <v>39</v>
      </c>
      <c r="F27" s="134" t="s">
        <v>11</v>
      </c>
      <c r="G27" s="111">
        <f>G28</f>
        <v>8.1</v>
      </c>
      <c r="H27" s="111"/>
      <c r="I27" s="111">
        <f>I28</f>
        <v>8.1</v>
      </c>
      <c r="J27" s="114">
        <f t="shared" si="2"/>
        <v>0</v>
      </c>
      <c r="K27" s="111"/>
      <c r="L27" s="114">
        <f t="shared" si="2"/>
        <v>0</v>
      </c>
      <c r="M27" s="111">
        <f t="shared" si="2"/>
        <v>8.1</v>
      </c>
      <c r="N27" s="111">
        <f t="shared" si="2"/>
        <v>0</v>
      </c>
      <c r="O27" s="111">
        <f t="shared" si="2"/>
        <v>8.1</v>
      </c>
      <c r="P27" s="97">
        <f t="shared" si="0"/>
        <v>8.1</v>
      </c>
      <c r="Q27" s="97">
        <f t="shared" si="1"/>
        <v>0</v>
      </c>
    </row>
    <row r="28" spans="1:17" ht="31.5" x14ac:dyDescent="0.2">
      <c r="A28" s="40"/>
      <c r="B28" s="113" t="s">
        <v>40</v>
      </c>
      <c r="C28" s="113" t="s">
        <v>28</v>
      </c>
      <c r="D28" s="133" t="s">
        <v>34</v>
      </c>
      <c r="E28" s="133" t="s">
        <v>39</v>
      </c>
      <c r="F28" s="134" t="s">
        <v>41</v>
      </c>
      <c r="G28" s="111">
        <f>8+0.1</f>
        <v>8.1</v>
      </c>
      <c r="H28" s="109"/>
      <c r="I28" s="111">
        <f>8+0.1</f>
        <v>8.1</v>
      </c>
      <c r="J28" s="115">
        <v>0</v>
      </c>
      <c r="K28" s="109"/>
      <c r="L28" s="115">
        <v>0</v>
      </c>
      <c r="M28" s="111">
        <f>8+0.1</f>
        <v>8.1</v>
      </c>
      <c r="N28" s="111"/>
      <c r="O28" s="111">
        <f>8+0.1</f>
        <v>8.1</v>
      </c>
      <c r="P28" s="97">
        <f t="shared" si="0"/>
        <v>8.1</v>
      </c>
      <c r="Q28" s="97">
        <f t="shared" si="1"/>
        <v>0</v>
      </c>
    </row>
    <row r="29" spans="1:17" ht="47.25" x14ac:dyDescent="0.2">
      <c r="A29" s="33" t="s">
        <v>42</v>
      </c>
      <c r="B29" s="110" t="s">
        <v>43</v>
      </c>
      <c r="C29" s="110" t="s">
        <v>28</v>
      </c>
      <c r="D29" s="131" t="s">
        <v>44</v>
      </c>
      <c r="E29" s="131" t="s">
        <v>11</v>
      </c>
      <c r="F29" s="132" t="s">
        <v>11</v>
      </c>
      <c r="G29" s="109">
        <f t="shared" ref="G29:O32" si="3">G30</f>
        <v>1593.8</v>
      </c>
      <c r="H29" s="111">
        <f t="shared" si="3"/>
        <v>0</v>
      </c>
      <c r="I29" s="109">
        <f t="shared" si="3"/>
        <v>1593.8</v>
      </c>
      <c r="J29" s="112">
        <f t="shared" si="3"/>
        <v>0</v>
      </c>
      <c r="K29" s="111">
        <f>K30</f>
        <v>0</v>
      </c>
      <c r="L29" s="112">
        <f t="shared" si="3"/>
        <v>0</v>
      </c>
      <c r="M29" s="109">
        <f t="shared" si="3"/>
        <v>1593.8</v>
      </c>
      <c r="N29" s="109">
        <f t="shared" si="3"/>
        <v>0</v>
      </c>
      <c r="O29" s="109">
        <f t="shared" si="3"/>
        <v>1593.8</v>
      </c>
      <c r="P29" s="97">
        <f t="shared" si="0"/>
        <v>1593.8</v>
      </c>
      <c r="Q29" s="97">
        <f t="shared" si="1"/>
        <v>0</v>
      </c>
    </row>
    <row r="30" spans="1:17" ht="31.5" x14ac:dyDescent="0.2">
      <c r="A30" s="40"/>
      <c r="B30" s="113" t="s">
        <v>35</v>
      </c>
      <c r="C30" s="113" t="s">
        <v>28</v>
      </c>
      <c r="D30" s="133" t="s">
        <v>44</v>
      </c>
      <c r="E30" s="133" t="s">
        <v>36</v>
      </c>
      <c r="F30" s="134" t="s">
        <v>11</v>
      </c>
      <c r="G30" s="111">
        <f t="shared" si="3"/>
        <v>1593.8</v>
      </c>
      <c r="H30" s="111">
        <f t="shared" si="3"/>
        <v>0</v>
      </c>
      <c r="I30" s="111">
        <f t="shared" si="3"/>
        <v>1593.8</v>
      </c>
      <c r="J30" s="114">
        <f t="shared" si="3"/>
        <v>0</v>
      </c>
      <c r="K30" s="111">
        <f>K31</f>
        <v>0</v>
      </c>
      <c r="L30" s="114">
        <f t="shared" si="3"/>
        <v>0</v>
      </c>
      <c r="M30" s="111">
        <f t="shared" si="3"/>
        <v>1593.8</v>
      </c>
      <c r="N30" s="111">
        <f t="shared" si="3"/>
        <v>0</v>
      </c>
      <c r="O30" s="111">
        <f t="shared" si="3"/>
        <v>1593.8</v>
      </c>
      <c r="P30" s="97">
        <f t="shared" si="0"/>
        <v>1593.8</v>
      </c>
      <c r="Q30" s="97">
        <f t="shared" si="1"/>
        <v>0</v>
      </c>
    </row>
    <row r="31" spans="1:17" ht="31.5" x14ac:dyDescent="0.2">
      <c r="A31" s="40"/>
      <c r="B31" s="113" t="s">
        <v>27</v>
      </c>
      <c r="C31" s="113" t="s">
        <v>28</v>
      </c>
      <c r="D31" s="133" t="s">
        <v>44</v>
      </c>
      <c r="E31" s="133" t="s">
        <v>37</v>
      </c>
      <c r="F31" s="134" t="s">
        <v>11</v>
      </c>
      <c r="G31" s="111">
        <f t="shared" si="3"/>
        <v>1593.8</v>
      </c>
      <c r="H31" s="111">
        <f t="shared" si="3"/>
        <v>0</v>
      </c>
      <c r="I31" s="111">
        <f t="shared" si="3"/>
        <v>1593.8</v>
      </c>
      <c r="J31" s="114">
        <f t="shared" si="3"/>
        <v>0</v>
      </c>
      <c r="K31" s="111">
        <f>K32</f>
        <v>0</v>
      </c>
      <c r="L31" s="114">
        <f t="shared" si="3"/>
        <v>0</v>
      </c>
      <c r="M31" s="111">
        <f t="shared" si="3"/>
        <v>1593.8</v>
      </c>
      <c r="N31" s="111">
        <f t="shared" si="3"/>
        <v>0</v>
      </c>
      <c r="O31" s="111">
        <f t="shared" si="3"/>
        <v>1593.8</v>
      </c>
      <c r="P31" s="97">
        <f t="shared" si="0"/>
        <v>1593.8</v>
      </c>
      <c r="Q31" s="97">
        <f t="shared" si="1"/>
        <v>0</v>
      </c>
    </row>
    <row r="32" spans="1:17" ht="63" x14ac:dyDescent="0.2">
      <c r="A32" s="40"/>
      <c r="B32" s="113" t="s">
        <v>45</v>
      </c>
      <c r="C32" s="113" t="s">
        <v>28</v>
      </c>
      <c r="D32" s="133" t="s">
        <v>44</v>
      </c>
      <c r="E32" s="133" t="s">
        <v>46</v>
      </c>
      <c r="F32" s="134" t="s">
        <v>11</v>
      </c>
      <c r="G32" s="111">
        <f>G33</f>
        <v>1593.8</v>
      </c>
      <c r="H32" s="111">
        <f>SUM(H33)</f>
        <v>0</v>
      </c>
      <c r="I32" s="111">
        <f>I33</f>
        <v>1593.8</v>
      </c>
      <c r="J32" s="114">
        <f t="shared" si="3"/>
        <v>0</v>
      </c>
      <c r="K32" s="111"/>
      <c r="L32" s="114">
        <f t="shared" si="3"/>
        <v>0</v>
      </c>
      <c r="M32" s="111">
        <f t="shared" si="3"/>
        <v>1593.8</v>
      </c>
      <c r="N32" s="111">
        <f t="shared" si="3"/>
        <v>0</v>
      </c>
      <c r="O32" s="111">
        <f t="shared" si="3"/>
        <v>1593.8</v>
      </c>
      <c r="P32" s="97">
        <f t="shared" si="0"/>
        <v>1593.8</v>
      </c>
      <c r="Q32" s="97">
        <f t="shared" si="1"/>
        <v>0</v>
      </c>
    </row>
    <row r="33" spans="1:17" ht="15.75" x14ac:dyDescent="0.2">
      <c r="A33" s="40"/>
      <c r="B33" s="113" t="s">
        <v>47</v>
      </c>
      <c r="C33" s="113" t="s">
        <v>28</v>
      </c>
      <c r="D33" s="133" t="s">
        <v>44</v>
      </c>
      <c r="E33" s="133" t="s">
        <v>46</v>
      </c>
      <c r="F33" s="134" t="s">
        <v>48</v>
      </c>
      <c r="G33" s="111">
        <v>1593.8</v>
      </c>
      <c r="H33" s="106"/>
      <c r="I33" s="111">
        <f>SUM(G33)</f>
        <v>1593.8</v>
      </c>
      <c r="J33" s="115">
        <v>0</v>
      </c>
      <c r="K33" s="106"/>
      <c r="L33" s="115">
        <v>0</v>
      </c>
      <c r="M33" s="111">
        <f>SUM(G33)</f>
        <v>1593.8</v>
      </c>
      <c r="N33" s="111">
        <f>SUM(H33)</f>
        <v>0</v>
      </c>
      <c r="O33" s="111">
        <f>SUM(I33)</f>
        <v>1593.8</v>
      </c>
      <c r="P33" s="97">
        <f t="shared" si="0"/>
        <v>1593.8</v>
      </c>
      <c r="Q33" s="97">
        <f t="shared" si="1"/>
        <v>0</v>
      </c>
    </row>
    <row r="34" spans="1:17" ht="31.5" x14ac:dyDescent="0.2">
      <c r="A34" s="20" t="s">
        <v>49</v>
      </c>
      <c r="B34" s="107" t="s">
        <v>50</v>
      </c>
      <c r="C34" s="107" t="s">
        <v>51</v>
      </c>
      <c r="D34" s="129" t="s">
        <v>11</v>
      </c>
      <c r="E34" s="129" t="s">
        <v>11</v>
      </c>
      <c r="F34" s="130" t="s">
        <v>11</v>
      </c>
      <c r="G34" s="106">
        <f t="shared" ref="G34:O34" si="4">G35+G123+G176+G261+G406+G429+G454+G465</f>
        <v>580708.10000000009</v>
      </c>
      <c r="H34" s="106">
        <f t="shared" si="4"/>
        <v>5724.0999999999995</v>
      </c>
      <c r="I34" s="106">
        <f t="shared" si="4"/>
        <v>586432.20000000019</v>
      </c>
      <c r="J34" s="106">
        <f t="shared" si="4"/>
        <v>1989859.9999999998</v>
      </c>
      <c r="K34" s="106">
        <f t="shared" si="4"/>
        <v>0</v>
      </c>
      <c r="L34" s="106">
        <f t="shared" si="4"/>
        <v>1989859.9999999998</v>
      </c>
      <c r="M34" s="106">
        <f t="shared" si="4"/>
        <v>2570279.8999999994</v>
      </c>
      <c r="N34" s="106">
        <f t="shared" si="4"/>
        <v>5724.0999999999995</v>
      </c>
      <c r="O34" s="106">
        <f t="shared" si="4"/>
        <v>2576004</v>
      </c>
      <c r="P34" s="97">
        <f t="shared" si="0"/>
        <v>586432.20000000007</v>
      </c>
      <c r="Q34" s="97">
        <f t="shared" si="1"/>
        <v>0</v>
      </c>
    </row>
    <row r="35" spans="1:17" ht="15.75" x14ac:dyDescent="0.2">
      <c r="A35" s="20" t="s">
        <v>52</v>
      </c>
      <c r="B35" s="107" t="s">
        <v>30</v>
      </c>
      <c r="C35" s="107" t="s">
        <v>51</v>
      </c>
      <c r="D35" s="129" t="s">
        <v>31</v>
      </c>
      <c r="E35" s="129" t="s">
        <v>11</v>
      </c>
      <c r="F35" s="130" t="s">
        <v>11</v>
      </c>
      <c r="G35" s="106">
        <f t="shared" ref="G35:O35" si="5">G36+G43+G61+G66</f>
        <v>117651.19999999998</v>
      </c>
      <c r="H35" s="106">
        <f>H36+H43+H61+H66</f>
        <v>2826.2999999999997</v>
      </c>
      <c r="I35" s="106">
        <f t="shared" si="5"/>
        <v>120477.5</v>
      </c>
      <c r="J35" s="106">
        <f t="shared" si="5"/>
        <v>868.1</v>
      </c>
      <c r="K35" s="106">
        <f t="shared" si="5"/>
        <v>0</v>
      </c>
      <c r="L35" s="106">
        <f t="shared" si="5"/>
        <v>868.1</v>
      </c>
      <c r="M35" s="106">
        <f t="shared" si="5"/>
        <v>118519.29999999999</v>
      </c>
      <c r="N35" s="106">
        <f t="shared" si="5"/>
        <v>2826.2999999999997</v>
      </c>
      <c r="O35" s="106">
        <f t="shared" si="5"/>
        <v>121345.59999999999</v>
      </c>
      <c r="P35" s="97">
        <f t="shared" si="0"/>
        <v>120477.49999999999</v>
      </c>
      <c r="Q35" s="97">
        <f t="shared" si="1"/>
        <v>0</v>
      </c>
    </row>
    <row r="36" spans="1:17" ht="47.25" x14ac:dyDescent="0.2">
      <c r="A36" s="33" t="s">
        <v>53</v>
      </c>
      <c r="B36" s="110" t="s">
        <v>54</v>
      </c>
      <c r="C36" s="110" t="s">
        <v>51</v>
      </c>
      <c r="D36" s="131" t="s">
        <v>55</v>
      </c>
      <c r="E36" s="131" t="s">
        <v>11</v>
      </c>
      <c r="F36" s="132" t="s">
        <v>11</v>
      </c>
      <c r="G36" s="109">
        <f t="shared" ref="G36:O39" si="6">G37</f>
        <v>2524.6999999999998</v>
      </c>
      <c r="H36" s="111">
        <f t="shared" si="6"/>
        <v>0</v>
      </c>
      <c r="I36" s="109">
        <f t="shared" si="6"/>
        <v>2524.6999999999998</v>
      </c>
      <c r="J36" s="112">
        <f t="shared" si="6"/>
        <v>0</v>
      </c>
      <c r="K36" s="111">
        <f>K37</f>
        <v>0</v>
      </c>
      <c r="L36" s="112">
        <f t="shared" si="6"/>
        <v>0</v>
      </c>
      <c r="M36" s="109">
        <f t="shared" si="6"/>
        <v>2524.6999999999998</v>
      </c>
      <c r="N36" s="109">
        <f t="shared" si="6"/>
        <v>0</v>
      </c>
      <c r="O36" s="109">
        <f t="shared" si="6"/>
        <v>2524.6999999999998</v>
      </c>
      <c r="P36" s="97">
        <f t="shared" si="0"/>
        <v>2524.6999999999998</v>
      </c>
      <c r="Q36" s="97">
        <f t="shared" si="1"/>
        <v>0</v>
      </c>
    </row>
    <row r="37" spans="1:17" ht="31.5" x14ac:dyDescent="0.2">
      <c r="A37" s="40"/>
      <c r="B37" s="113" t="s">
        <v>56</v>
      </c>
      <c r="C37" s="113" t="s">
        <v>51</v>
      </c>
      <c r="D37" s="133" t="s">
        <v>55</v>
      </c>
      <c r="E37" s="133" t="s">
        <v>57</v>
      </c>
      <c r="F37" s="134" t="s">
        <v>11</v>
      </c>
      <c r="G37" s="111">
        <f t="shared" si="6"/>
        <v>2524.6999999999998</v>
      </c>
      <c r="H37" s="111">
        <f t="shared" si="6"/>
        <v>0</v>
      </c>
      <c r="I37" s="111">
        <f t="shared" si="6"/>
        <v>2524.6999999999998</v>
      </c>
      <c r="J37" s="114">
        <f t="shared" si="6"/>
        <v>0</v>
      </c>
      <c r="K37" s="111">
        <f>K38</f>
        <v>0</v>
      </c>
      <c r="L37" s="114">
        <f t="shared" si="6"/>
        <v>0</v>
      </c>
      <c r="M37" s="111">
        <f t="shared" si="6"/>
        <v>2524.6999999999998</v>
      </c>
      <c r="N37" s="111">
        <f t="shared" si="6"/>
        <v>0</v>
      </c>
      <c r="O37" s="111">
        <f t="shared" si="6"/>
        <v>2524.6999999999998</v>
      </c>
      <c r="P37" s="97">
        <f t="shared" si="0"/>
        <v>2524.6999999999998</v>
      </c>
      <c r="Q37" s="97">
        <f t="shared" si="1"/>
        <v>0</v>
      </c>
    </row>
    <row r="38" spans="1:17" ht="31.5" x14ac:dyDescent="0.2">
      <c r="A38" s="40"/>
      <c r="B38" s="113" t="s">
        <v>58</v>
      </c>
      <c r="C38" s="113" t="s">
        <v>51</v>
      </c>
      <c r="D38" s="133" t="s">
        <v>55</v>
      </c>
      <c r="E38" s="133" t="s">
        <v>59</v>
      </c>
      <c r="F38" s="134" t="s">
        <v>11</v>
      </c>
      <c r="G38" s="111">
        <f>G39+G41</f>
        <v>2524.6999999999998</v>
      </c>
      <c r="H38" s="111">
        <f>H39+H41</f>
        <v>0</v>
      </c>
      <c r="I38" s="111">
        <f>I39+I41</f>
        <v>2524.6999999999998</v>
      </c>
      <c r="J38" s="114">
        <f t="shared" si="6"/>
        <v>0</v>
      </c>
      <c r="K38" s="111">
        <f>K39</f>
        <v>0</v>
      </c>
      <c r="L38" s="114">
        <f t="shared" si="6"/>
        <v>0</v>
      </c>
      <c r="M38" s="111">
        <f>M39+M41</f>
        <v>2524.6999999999998</v>
      </c>
      <c r="N38" s="111">
        <f>N39+H38</f>
        <v>0</v>
      </c>
      <c r="O38" s="111">
        <f>O39+O41</f>
        <v>2524.6999999999998</v>
      </c>
      <c r="P38" s="97">
        <f t="shared" si="0"/>
        <v>2524.6999999999998</v>
      </c>
      <c r="Q38" s="97">
        <f t="shared" si="1"/>
        <v>0</v>
      </c>
    </row>
    <row r="39" spans="1:17" ht="31.5" x14ac:dyDescent="0.2">
      <c r="A39" s="40"/>
      <c r="B39" s="113" t="s">
        <v>38</v>
      </c>
      <c r="C39" s="113" t="s">
        <v>51</v>
      </c>
      <c r="D39" s="133" t="s">
        <v>55</v>
      </c>
      <c r="E39" s="133" t="s">
        <v>60</v>
      </c>
      <c r="F39" s="134" t="s">
        <v>11</v>
      </c>
      <c r="G39" s="111">
        <f>G40</f>
        <v>2268.1</v>
      </c>
      <c r="H39" s="109"/>
      <c r="I39" s="111">
        <f>I40</f>
        <v>2268.1</v>
      </c>
      <c r="J39" s="114">
        <f t="shared" si="6"/>
        <v>0</v>
      </c>
      <c r="K39" s="111"/>
      <c r="L39" s="114">
        <f t="shared" si="6"/>
        <v>0</v>
      </c>
      <c r="M39" s="111">
        <f t="shared" si="6"/>
        <v>2268.1</v>
      </c>
      <c r="N39" s="111">
        <f t="shared" si="6"/>
        <v>0</v>
      </c>
      <c r="O39" s="111">
        <f t="shared" si="6"/>
        <v>2268.1</v>
      </c>
      <c r="P39" s="97">
        <f t="shared" si="0"/>
        <v>2268.1</v>
      </c>
      <c r="Q39" s="97">
        <f t="shared" si="1"/>
        <v>0</v>
      </c>
    </row>
    <row r="40" spans="1:17" ht="31.15" customHeight="1" x14ac:dyDescent="0.2">
      <c r="A40" s="40"/>
      <c r="B40" s="113" t="s">
        <v>61</v>
      </c>
      <c r="C40" s="113" t="s">
        <v>51</v>
      </c>
      <c r="D40" s="133" t="s">
        <v>55</v>
      </c>
      <c r="E40" s="133" t="s">
        <v>60</v>
      </c>
      <c r="F40" s="134" t="s">
        <v>62</v>
      </c>
      <c r="G40" s="111">
        <v>2268.1</v>
      </c>
      <c r="H40" s="109"/>
      <c r="I40" s="111">
        <f>SUM(G40)</f>
        <v>2268.1</v>
      </c>
      <c r="J40" s="115">
        <v>0</v>
      </c>
      <c r="K40" s="109"/>
      <c r="L40" s="115">
        <v>0</v>
      </c>
      <c r="M40" s="111">
        <f t="shared" ref="M40:O42" si="7">SUM(G40)</f>
        <v>2268.1</v>
      </c>
      <c r="N40" s="111">
        <f t="shared" si="7"/>
        <v>0</v>
      </c>
      <c r="O40" s="111">
        <f t="shared" si="7"/>
        <v>2268.1</v>
      </c>
      <c r="P40" s="97">
        <f t="shared" si="0"/>
        <v>2268.1</v>
      </c>
      <c r="Q40" s="97">
        <f t="shared" si="1"/>
        <v>0</v>
      </c>
    </row>
    <row r="41" spans="1:17" ht="109.5" customHeight="1" x14ac:dyDescent="0.2">
      <c r="A41" s="40"/>
      <c r="B41" s="135" t="s">
        <v>607</v>
      </c>
      <c r="C41" s="113">
        <v>992</v>
      </c>
      <c r="D41" s="133" t="s">
        <v>55</v>
      </c>
      <c r="E41" s="133">
        <v>5010000390</v>
      </c>
      <c r="F41" s="134"/>
      <c r="G41" s="111">
        <f>SUM(G42)</f>
        <v>256.60000000000002</v>
      </c>
      <c r="H41" s="109">
        <f>SUM(H42)</f>
        <v>0</v>
      </c>
      <c r="I41" s="111">
        <f>SUM(H41)+G41</f>
        <v>256.60000000000002</v>
      </c>
      <c r="J41" s="115"/>
      <c r="K41" s="109"/>
      <c r="L41" s="115"/>
      <c r="M41" s="111">
        <f t="shared" si="7"/>
        <v>256.60000000000002</v>
      </c>
      <c r="N41" s="111">
        <f t="shared" si="7"/>
        <v>0</v>
      </c>
      <c r="O41" s="111">
        <f t="shared" si="7"/>
        <v>256.60000000000002</v>
      </c>
      <c r="P41" s="97"/>
      <c r="Q41" s="97"/>
    </row>
    <row r="42" spans="1:17" ht="31.15" customHeight="1" x14ac:dyDescent="0.2">
      <c r="A42" s="40"/>
      <c r="B42" s="113" t="s">
        <v>61</v>
      </c>
      <c r="C42" s="113">
        <v>992</v>
      </c>
      <c r="D42" s="133" t="s">
        <v>55</v>
      </c>
      <c r="E42" s="133">
        <v>5010000390</v>
      </c>
      <c r="F42" s="134">
        <v>100</v>
      </c>
      <c r="G42" s="111">
        <v>256.60000000000002</v>
      </c>
      <c r="H42" s="109"/>
      <c r="I42" s="111">
        <f>SUM(H42)+G42</f>
        <v>256.60000000000002</v>
      </c>
      <c r="J42" s="115"/>
      <c r="K42" s="109"/>
      <c r="L42" s="115"/>
      <c r="M42" s="111">
        <f t="shared" si="7"/>
        <v>256.60000000000002</v>
      </c>
      <c r="N42" s="111">
        <f t="shared" si="7"/>
        <v>0</v>
      </c>
      <c r="O42" s="111">
        <f t="shared" si="7"/>
        <v>256.60000000000002</v>
      </c>
      <c r="P42" s="97"/>
      <c r="Q42" s="97"/>
    </row>
    <row r="43" spans="1:17" ht="63" x14ac:dyDescent="0.2">
      <c r="A43" s="33" t="s">
        <v>63</v>
      </c>
      <c r="B43" s="110" t="s">
        <v>64</v>
      </c>
      <c r="C43" s="110" t="s">
        <v>51</v>
      </c>
      <c r="D43" s="131" t="s">
        <v>65</v>
      </c>
      <c r="E43" s="131" t="s">
        <v>11</v>
      </c>
      <c r="F43" s="132" t="s">
        <v>11</v>
      </c>
      <c r="G43" s="109">
        <f>G44</f>
        <v>44056.6</v>
      </c>
      <c r="H43" s="111">
        <f>H44</f>
        <v>2360.7999999999997</v>
      </c>
      <c r="I43" s="109">
        <f>I44</f>
        <v>46417.399999999994</v>
      </c>
      <c r="J43" s="112">
        <f>J44</f>
        <v>768.1</v>
      </c>
      <c r="K43" s="111">
        <f>K44+K51</f>
        <v>0</v>
      </c>
      <c r="L43" s="112">
        <f>L44</f>
        <v>768.1</v>
      </c>
      <c r="M43" s="111">
        <f>SUM(G43+J43)</f>
        <v>44824.7</v>
      </c>
      <c r="N43" s="111">
        <f>N44</f>
        <v>2360.7999999999997</v>
      </c>
      <c r="O43" s="109">
        <f>O44</f>
        <v>47185.499999999993</v>
      </c>
      <c r="P43" s="97">
        <f t="shared" si="0"/>
        <v>46417.4</v>
      </c>
      <c r="Q43" s="97">
        <f t="shared" si="1"/>
        <v>0</v>
      </c>
    </row>
    <row r="44" spans="1:17" ht="31.5" x14ac:dyDescent="0.2">
      <c r="A44" s="40"/>
      <c r="B44" s="113" t="s">
        <v>66</v>
      </c>
      <c r="C44" s="113" t="s">
        <v>51</v>
      </c>
      <c r="D44" s="133" t="s">
        <v>65</v>
      </c>
      <c r="E44" s="133" t="s">
        <v>67</v>
      </c>
      <c r="F44" s="134" t="s">
        <v>11</v>
      </c>
      <c r="G44" s="111">
        <f>G45+G54</f>
        <v>44056.6</v>
      </c>
      <c r="H44" s="111">
        <f>H45</f>
        <v>2360.7999999999997</v>
      </c>
      <c r="I44" s="111">
        <f>I45+I54</f>
        <v>46417.399999999994</v>
      </c>
      <c r="J44" s="114">
        <f>J45+J54</f>
        <v>768.1</v>
      </c>
      <c r="K44" s="111">
        <f>K45</f>
        <v>0</v>
      </c>
      <c r="L44" s="114">
        <f>L45+L54</f>
        <v>768.1</v>
      </c>
      <c r="M44" s="111">
        <f>SUM(G44+J44)</f>
        <v>44824.7</v>
      </c>
      <c r="N44" s="111">
        <f>N45+N54</f>
        <v>2360.7999999999997</v>
      </c>
      <c r="O44" s="111">
        <f>O45+O54</f>
        <v>47185.499999999993</v>
      </c>
      <c r="P44" s="97">
        <f t="shared" si="0"/>
        <v>46417.4</v>
      </c>
      <c r="Q44" s="97">
        <f t="shared" si="1"/>
        <v>0</v>
      </c>
    </row>
    <row r="45" spans="1:17" ht="31.5" x14ac:dyDescent="0.2">
      <c r="A45" s="40"/>
      <c r="B45" s="113" t="s">
        <v>50</v>
      </c>
      <c r="C45" s="113" t="s">
        <v>51</v>
      </c>
      <c r="D45" s="133" t="s">
        <v>65</v>
      </c>
      <c r="E45" s="133" t="s">
        <v>68</v>
      </c>
      <c r="F45" s="134" t="s">
        <v>11</v>
      </c>
      <c r="G45" s="111">
        <f>G46+G48+G52</f>
        <v>44056.6</v>
      </c>
      <c r="H45" s="111">
        <f>H46+H48+H52</f>
        <v>2360.7999999999997</v>
      </c>
      <c r="I45" s="111">
        <f>I46+I48+I52</f>
        <v>46417.399999999994</v>
      </c>
      <c r="J45" s="114">
        <f>J46</f>
        <v>0</v>
      </c>
      <c r="K45" s="111">
        <f>K46+K47+K50</f>
        <v>0</v>
      </c>
      <c r="L45" s="114">
        <f>L46</f>
        <v>0</v>
      </c>
      <c r="M45" s="111">
        <f>M46+M48+M52</f>
        <v>44056.6</v>
      </c>
      <c r="N45" s="111">
        <f>SUM(H45)</f>
        <v>2360.7999999999997</v>
      </c>
      <c r="O45" s="111">
        <f>O46+O48+O52</f>
        <v>46417.399999999994</v>
      </c>
      <c r="P45" s="97">
        <f t="shared" si="0"/>
        <v>46417.4</v>
      </c>
      <c r="Q45" s="97">
        <f t="shared" si="1"/>
        <v>0</v>
      </c>
    </row>
    <row r="46" spans="1:17" ht="31.5" x14ac:dyDescent="0.2">
      <c r="A46" s="40"/>
      <c r="B46" s="113" t="s">
        <v>38</v>
      </c>
      <c r="C46" s="113" t="s">
        <v>51</v>
      </c>
      <c r="D46" s="133" t="s">
        <v>65</v>
      </c>
      <c r="E46" s="133" t="s">
        <v>69</v>
      </c>
      <c r="F46" s="134" t="s">
        <v>11</v>
      </c>
      <c r="G46" s="111">
        <f>G47+G50+G51</f>
        <v>35728.5</v>
      </c>
      <c r="H46" s="111">
        <f>SUM(H47)+H50+H51</f>
        <v>2360.7999999999997</v>
      </c>
      <c r="I46" s="111">
        <f>I47+I50+I51</f>
        <v>38089.299999999996</v>
      </c>
      <c r="J46" s="114">
        <f>J47+J50+J51</f>
        <v>0</v>
      </c>
      <c r="K46" s="111"/>
      <c r="L46" s="114">
        <f>L47+L50+L51</f>
        <v>0</v>
      </c>
      <c r="M46" s="111">
        <f>M47+M50+M51</f>
        <v>35728.5</v>
      </c>
      <c r="N46" s="111">
        <f>N47+N50+N51</f>
        <v>2360.7999999999997</v>
      </c>
      <c r="O46" s="111">
        <f>O47+O50+O51</f>
        <v>38089.299999999996</v>
      </c>
      <c r="P46" s="97">
        <f t="shared" si="0"/>
        <v>38089.300000000003</v>
      </c>
      <c r="Q46" s="97">
        <f t="shared" si="1"/>
        <v>0</v>
      </c>
    </row>
    <row r="47" spans="1:17" ht="75.75" customHeight="1" x14ac:dyDescent="0.2">
      <c r="A47" s="40"/>
      <c r="B47" s="113" t="s">
        <v>61</v>
      </c>
      <c r="C47" s="113" t="s">
        <v>51</v>
      </c>
      <c r="D47" s="133" t="s">
        <v>65</v>
      </c>
      <c r="E47" s="133" t="s">
        <v>69</v>
      </c>
      <c r="F47" s="134" t="s">
        <v>62</v>
      </c>
      <c r="G47" s="111">
        <v>35427.800000000003</v>
      </c>
      <c r="H47" s="111">
        <v>2172.6999999999998</v>
      </c>
      <c r="I47" s="111">
        <f>SUM(G47)+H47</f>
        <v>37600.5</v>
      </c>
      <c r="J47" s="115">
        <v>0</v>
      </c>
      <c r="K47" s="111"/>
      <c r="L47" s="115">
        <v>0</v>
      </c>
      <c r="M47" s="111">
        <f t="shared" ref="M47:N51" si="8">SUM(G47)</f>
        <v>35427.800000000003</v>
      </c>
      <c r="N47" s="111">
        <f t="shared" si="8"/>
        <v>2172.6999999999998</v>
      </c>
      <c r="O47" s="111">
        <f>SUM(N47)+M47</f>
        <v>37600.5</v>
      </c>
      <c r="P47" s="97">
        <f t="shared" si="0"/>
        <v>37600.5</v>
      </c>
      <c r="Q47" s="97">
        <f t="shared" si="1"/>
        <v>0</v>
      </c>
    </row>
    <row r="48" spans="1:17" ht="94.5" hidden="1" x14ac:dyDescent="0.2">
      <c r="A48" s="40"/>
      <c r="B48" s="135" t="s">
        <v>607</v>
      </c>
      <c r="C48" s="113">
        <v>992</v>
      </c>
      <c r="D48" s="133" t="s">
        <v>65</v>
      </c>
      <c r="E48" s="133">
        <v>5210000390</v>
      </c>
      <c r="F48" s="134"/>
      <c r="G48" s="111"/>
      <c r="H48" s="111">
        <f>SUM(H49)</f>
        <v>0</v>
      </c>
      <c r="I48" s="111">
        <f>SUM(H48)</f>
        <v>0</v>
      </c>
      <c r="J48" s="115"/>
      <c r="K48" s="111"/>
      <c r="L48" s="115"/>
      <c r="M48" s="111"/>
      <c r="N48" s="111">
        <f>SUM(H48)</f>
        <v>0</v>
      </c>
      <c r="O48" s="111">
        <f>SUM(I48)</f>
        <v>0</v>
      </c>
      <c r="P48" s="97"/>
      <c r="Q48" s="97"/>
    </row>
    <row r="49" spans="1:17" ht="78.75" hidden="1" x14ac:dyDescent="0.2">
      <c r="A49" s="40"/>
      <c r="B49" s="113" t="s">
        <v>61</v>
      </c>
      <c r="C49" s="113">
        <v>992</v>
      </c>
      <c r="D49" s="133" t="s">
        <v>65</v>
      </c>
      <c r="E49" s="133">
        <v>5210000390</v>
      </c>
      <c r="F49" s="134">
        <v>100</v>
      </c>
      <c r="G49" s="111"/>
      <c r="H49" s="111"/>
      <c r="I49" s="111">
        <f>SUM(H49)</f>
        <v>0</v>
      </c>
      <c r="J49" s="115"/>
      <c r="K49" s="111"/>
      <c r="L49" s="115"/>
      <c r="M49" s="111"/>
      <c r="N49" s="111">
        <f>SUM(H49)</f>
        <v>0</v>
      </c>
      <c r="O49" s="111">
        <f>SUM(I49)</f>
        <v>0</v>
      </c>
      <c r="P49" s="97"/>
      <c r="Q49" s="97"/>
    </row>
    <row r="50" spans="1:17" ht="31.5" x14ac:dyDescent="0.2">
      <c r="A50" s="40"/>
      <c r="B50" s="113" t="s">
        <v>40</v>
      </c>
      <c r="C50" s="113" t="s">
        <v>51</v>
      </c>
      <c r="D50" s="133" t="s">
        <v>65</v>
      </c>
      <c r="E50" s="133" t="s">
        <v>69</v>
      </c>
      <c r="F50" s="134" t="s">
        <v>41</v>
      </c>
      <c r="G50" s="111">
        <v>260.7</v>
      </c>
      <c r="H50" s="111"/>
      <c r="I50" s="111">
        <v>260.7</v>
      </c>
      <c r="J50" s="115">
        <v>0</v>
      </c>
      <c r="K50" s="111"/>
      <c r="L50" s="115">
        <v>0</v>
      </c>
      <c r="M50" s="111">
        <f t="shared" si="8"/>
        <v>260.7</v>
      </c>
      <c r="N50" s="111">
        <f t="shared" si="8"/>
        <v>0</v>
      </c>
      <c r="O50" s="111">
        <f>SUM(I50)</f>
        <v>260.7</v>
      </c>
      <c r="P50" s="97">
        <f t="shared" si="0"/>
        <v>260.7</v>
      </c>
      <c r="Q50" s="97">
        <f t="shared" si="1"/>
        <v>0</v>
      </c>
    </row>
    <row r="51" spans="1:17" ht="15.75" x14ac:dyDescent="0.2">
      <c r="A51" s="40"/>
      <c r="B51" s="113" t="s">
        <v>70</v>
      </c>
      <c r="C51" s="113" t="s">
        <v>51</v>
      </c>
      <c r="D51" s="133" t="s">
        <v>65</v>
      </c>
      <c r="E51" s="133" t="s">
        <v>69</v>
      </c>
      <c r="F51" s="134" t="s">
        <v>71</v>
      </c>
      <c r="G51" s="111">
        <v>40</v>
      </c>
      <c r="H51" s="111">
        <v>188.1</v>
      </c>
      <c r="I51" s="111">
        <f>SUM(G51)+H51</f>
        <v>228.1</v>
      </c>
      <c r="J51" s="115">
        <v>0</v>
      </c>
      <c r="K51" s="111">
        <f>K58</f>
        <v>0</v>
      </c>
      <c r="L51" s="115">
        <v>0</v>
      </c>
      <c r="M51" s="111">
        <f t="shared" si="8"/>
        <v>40</v>
      </c>
      <c r="N51" s="111">
        <f t="shared" si="8"/>
        <v>188.1</v>
      </c>
      <c r="O51" s="111">
        <f>SUM(I51)</f>
        <v>228.1</v>
      </c>
      <c r="P51" s="97">
        <f t="shared" si="0"/>
        <v>228.1</v>
      </c>
      <c r="Q51" s="97">
        <f t="shared" si="1"/>
        <v>0</v>
      </c>
    </row>
    <row r="52" spans="1:17" ht="94.5" x14ac:dyDescent="0.2">
      <c r="A52" s="40"/>
      <c r="B52" s="135" t="s">
        <v>607</v>
      </c>
      <c r="C52" s="113">
        <v>992</v>
      </c>
      <c r="D52" s="133" t="s">
        <v>65</v>
      </c>
      <c r="E52" s="133">
        <v>5210000390</v>
      </c>
      <c r="F52" s="134"/>
      <c r="G52" s="111">
        <f>SUM(G53)</f>
        <v>8328.1</v>
      </c>
      <c r="H52" s="111">
        <f>SUM(H53)</f>
        <v>0</v>
      </c>
      <c r="I52" s="111">
        <f>SUM(I53)</f>
        <v>8328.1</v>
      </c>
      <c r="J52" s="115"/>
      <c r="K52" s="111"/>
      <c r="L52" s="115"/>
      <c r="M52" s="111">
        <f>SUM(G52)</f>
        <v>8328.1</v>
      </c>
      <c r="N52" s="111">
        <f>SUM(H52)</f>
        <v>0</v>
      </c>
      <c r="O52" s="111">
        <f>SUM(I52)</f>
        <v>8328.1</v>
      </c>
      <c r="P52" s="97"/>
      <c r="Q52" s="97"/>
    </row>
    <row r="53" spans="1:17" ht="78.75" x14ac:dyDescent="0.2">
      <c r="A53" s="40"/>
      <c r="B53" s="113" t="s">
        <v>61</v>
      </c>
      <c r="C53" s="113">
        <v>992</v>
      </c>
      <c r="D53" s="133" t="s">
        <v>65</v>
      </c>
      <c r="E53" s="133">
        <v>5210000390</v>
      </c>
      <c r="F53" s="134">
        <v>100</v>
      </c>
      <c r="G53" s="111">
        <v>8328.1</v>
      </c>
      <c r="H53" s="111"/>
      <c r="I53" s="111">
        <f>SUM(H53)+G53</f>
        <v>8328.1</v>
      </c>
      <c r="J53" s="115"/>
      <c r="K53" s="111"/>
      <c r="L53" s="115"/>
      <c r="M53" s="111">
        <f>SUM(G53)</f>
        <v>8328.1</v>
      </c>
      <c r="N53" s="111">
        <f>SUM(H53)</f>
        <v>0</v>
      </c>
      <c r="O53" s="111">
        <f>SUM(I53)</f>
        <v>8328.1</v>
      </c>
      <c r="P53" s="97"/>
      <c r="Q53" s="97"/>
    </row>
    <row r="54" spans="1:17" ht="31.5" x14ac:dyDescent="0.2">
      <c r="A54" s="40"/>
      <c r="B54" s="113" t="s">
        <v>72</v>
      </c>
      <c r="C54" s="113" t="s">
        <v>51</v>
      </c>
      <c r="D54" s="133" t="s">
        <v>65</v>
      </c>
      <c r="E54" s="133" t="s">
        <v>73</v>
      </c>
      <c r="F54" s="134" t="s">
        <v>11</v>
      </c>
      <c r="G54" s="111">
        <f>G59</f>
        <v>0</v>
      </c>
      <c r="H54" s="111">
        <f>H55</f>
        <v>0</v>
      </c>
      <c r="I54" s="111">
        <f>I59</f>
        <v>0</v>
      </c>
      <c r="J54" s="115">
        <f>J59+J55</f>
        <v>768.1</v>
      </c>
      <c r="K54" s="111">
        <f>K55</f>
        <v>0</v>
      </c>
      <c r="L54" s="115">
        <f>L59+L55</f>
        <v>768.1</v>
      </c>
      <c r="M54" s="111">
        <f>M59+M55</f>
        <v>768.1</v>
      </c>
      <c r="N54" s="111">
        <f>N59</f>
        <v>0</v>
      </c>
      <c r="O54" s="111">
        <f>O59+O55</f>
        <v>768.1</v>
      </c>
      <c r="P54" s="97">
        <f t="shared" si="0"/>
        <v>0</v>
      </c>
      <c r="Q54" s="97">
        <f t="shared" si="1"/>
        <v>0</v>
      </c>
    </row>
    <row r="55" spans="1:17" ht="129" customHeight="1" x14ac:dyDescent="0.2">
      <c r="A55" s="40"/>
      <c r="B55" s="135" t="s">
        <v>74</v>
      </c>
      <c r="C55" s="113">
        <v>992</v>
      </c>
      <c r="D55" s="133" t="s">
        <v>65</v>
      </c>
      <c r="E55" s="133">
        <v>5220060140</v>
      </c>
      <c r="F55" s="134"/>
      <c r="G55" s="111">
        <f>G56</f>
        <v>0</v>
      </c>
      <c r="H55" s="111">
        <v>0</v>
      </c>
      <c r="I55" s="111">
        <f>I56</f>
        <v>0</v>
      </c>
      <c r="J55" s="115">
        <f>SUM(J57+J56)</f>
        <v>755.7</v>
      </c>
      <c r="K55" s="111">
        <v>0</v>
      </c>
      <c r="L55" s="115">
        <f>SUM(L57+L56)</f>
        <v>755.7</v>
      </c>
      <c r="M55" s="111">
        <f>M56+M57</f>
        <v>755.7</v>
      </c>
      <c r="N55" s="111"/>
      <c r="O55" s="111">
        <f>O56+O57</f>
        <v>755.7</v>
      </c>
      <c r="P55" s="97">
        <f t="shared" si="0"/>
        <v>0</v>
      </c>
      <c r="Q55" s="97">
        <f t="shared" si="1"/>
        <v>0</v>
      </c>
    </row>
    <row r="56" spans="1:17" ht="78.75" x14ac:dyDescent="0.2">
      <c r="A56" s="40"/>
      <c r="B56" s="113" t="s">
        <v>61</v>
      </c>
      <c r="C56" s="113">
        <v>992</v>
      </c>
      <c r="D56" s="133" t="s">
        <v>65</v>
      </c>
      <c r="E56" s="133">
        <v>5220060140</v>
      </c>
      <c r="F56" s="134">
        <v>100</v>
      </c>
      <c r="G56" s="111">
        <v>0</v>
      </c>
      <c r="H56" s="111">
        <v>0</v>
      </c>
      <c r="I56" s="111">
        <v>0</v>
      </c>
      <c r="J56" s="115">
        <v>755.7</v>
      </c>
      <c r="K56" s="111">
        <v>0</v>
      </c>
      <c r="L56" s="115">
        <f>J56+K56</f>
        <v>755.7</v>
      </c>
      <c r="M56" s="111">
        <f>G56+J56</f>
        <v>755.7</v>
      </c>
      <c r="N56" s="111">
        <f>SUM(K56)</f>
        <v>0</v>
      </c>
      <c r="O56" s="111">
        <f>M56+N56</f>
        <v>755.7</v>
      </c>
      <c r="P56" s="97">
        <f t="shared" si="0"/>
        <v>0</v>
      </c>
      <c r="Q56" s="97">
        <f t="shared" si="1"/>
        <v>0</v>
      </c>
    </row>
    <row r="57" spans="1:17" ht="31.5" x14ac:dyDescent="0.2">
      <c r="A57" s="40"/>
      <c r="B57" s="113" t="s">
        <v>40</v>
      </c>
      <c r="C57" s="113">
        <v>992</v>
      </c>
      <c r="D57" s="133" t="s">
        <v>65</v>
      </c>
      <c r="E57" s="133">
        <v>5220060140</v>
      </c>
      <c r="F57" s="134">
        <v>200</v>
      </c>
      <c r="G57" s="111">
        <v>0</v>
      </c>
      <c r="H57" s="111"/>
      <c r="I57" s="111">
        <v>0</v>
      </c>
      <c r="J57" s="115">
        <v>0</v>
      </c>
      <c r="K57" s="111">
        <v>0</v>
      </c>
      <c r="L57" s="115">
        <f>J57+K57</f>
        <v>0</v>
      </c>
      <c r="M57" s="111">
        <f>G57+J57</f>
        <v>0</v>
      </c>
      <c r="N57" s="111">
        <f>SUM(K57)</f>
        <v>0</v>
      </c>
      <c r="O57" s="111">
        <v>0</v>
      </c>
      <c r="P57" s="97">
        <f t="shared" si="0"/>
        <v>0</v>
      </c>
      <c r="Q57" s="97">
        <f t="shared" si="1"/>
        <v>0</v>
      </c>
    </row>
    <row r="58" spans="1:17" ht="15.75" hidden="1" x14ac:dyDescent="0.2">
      <c r="A58" s="40"/>
      <c r="B58" s="113"/>
      <c r="C58" s="113"/>
      <c r="D58" s="133"/>
      <c r="E58" s="133"/>
      <c r="F58" s="134"/>
      <c r="G58" s="111"/>
      <c r="H58" s="111">
        <f t="shared" ref="G58:O59" si="9">H59</f>
        <v>0</v>
      </c>
      <c r="I58" s="111"/>
      <c r="J58" s="115"/>
      <c r="K58" s="111">
        <f t="shared" si="9"/>
        <v>0</v>
      </c>
      <c r="L58" s="115"/>
      <c r="M58" s="111"/>
      <c r="N58" s="111"/>
      <c r="O58" s="111"/>
      <c r="P58" s="97">
        <f t="shared" si="0"/>
        <v>0</v>
      </c>
      <c r="Q58" s="97">
        <f t="shared" si="1"/>
        <v>0</v>
      </c>
    </row>
    <row r="59" spans="1:17" ht="47.25" x14ac:dyDescent="0.2">
      <c r="A59" s="40"/>
      <c r="B59" s="113" t="s">
        <v>75</v>
      </c>
      <c r="C59" s="113" t="s">
        <v>51</v>
      </c>
      <c r="D59" s="133" t="s">
        <v>65</v>
      </c>
      <c r="E59" s="133" t="s">
        <v>76</v>
      </c>
      <c r="F59" s="134" t="s">
        <v>11</v>
      </c>
      <c r="G59" s="111">
        <f t="shared" si="9"/>
        <v>0</v>
      </c>
      <c r="H59" s="111">
        <v>0</v>
      </c>
      <c r="I59" s="111">
        <f t="shared" si="9"/>
        <v>0</v>
      </c>
      <c r="J59" s="115">
        <f t="shared" si="9"/>
        <v>12.4</v>
      </c>
      <c r="K59" s="111">
        <v>0</v>
      </c>
      <c r="L59" s="115">
        <f t="shared" si="9"/>
        <v>12.4</v>
      </c>
      <c r="M59" s="111">
        <f t="shared" si="9"/>
        <v>12.4</v>
      </c>
      <c r="N59" s="111">
        <f t="shared" si="9"/>
        <v>0</v>
      </c>
      <c r="O59" s="111">
        <f t="shared" si="9"/>
        <v>12.4</v>
      </c>
      <c r="P59" s="97">
        <f t="shared" si="0"/>
        <v>0</v>
      </c>
      <c r="Q59" s="97">
        <f t="shared" si="1"/>
        <v>0</v>
      </c>
    </row>
    <row r="60" spans="1:17" ht="31.5" x14ac:dyDescent="0.2">
      <c r="A60" s="40"/>
      <c r="B60" s="113" t="s">
        <v>40</v>
      </c>
      <c r="C60" s="113" t="s">
        <v>51</v>
      </c>
      <c r="D60" s="133" t="s">
        <v>65</v>
      </c>
      <c r="E60" s="133" t="s">
        <v>76</v>
      </c>
      <c r="F60" s="134" t="s">
        <v>41</v>
      </c>
      <c r="G60" s="111">
        <v>0</v>
      </c>
      <c r="H60" s="109"/>
      <c r="I60" s="111">
        <v>0</v>
      </c>
      <c r="J60" s="115">
        <v>12.4</v>
      </c>
      <c r="K60" s="109"/>
      <c r="L60" s="115">
        <v>12.4</v>
      </c>
      <c r="M60" s="111">
        <v>12.4</v>
      </c>
      <c r="N60" s="111">
        <v>0</v>
      </c>
      <c r="O60" s="111">
        <v>12.4</v>
      </c>
      <c r="P60" s="97">
        <f t="shared" si="0"/>
        <v>0</v>
      </c>
      <c r="Q60" s="97">
        <f t="shared" si="1"/>
        <v>0</v>
      </c>
    </row>
    <row r="61" spans="1:17" ht="15.75" x14ac:dyDescent="0.2">
      <c r="A61" s="33" t="s">
        <v>77</v>
      </c>
      <c r="B61" s="110" t="s">
        <v>78</v>
      </c>
      <c r="C61" s="110" t="s">
        <v>51</v>
      </c>
      <c r="D61" s="131" t="s">
        <v>79</v>
      </c>
      <c r="E61" s="131" t="s">
        <v>11</v>
      </c>
      <c r="F61" s="132" t="s">
        <v>11</v>
      </c>
      <c r="G61" s="109">
        <f t="shared" ref="G61:O64" si="10">G62</f>
        <v>1804</v>
      </c>
      <c r="H61" s="111">
        <f t="shared" si="10"/>
        <v>-103.9</v>
      </c>
      <c r="I61" s="109">
        <f t="shared" si="10"/>
        <v>1700.1</v>
      </c>
      <c r="J61" s="112">
        <f t="shared" si="10"/>
        <v>0</v>
      </c>
      <c r="K61" s="111">
        <f>K62</f>
        <v>0</v>
      </c>
      <c r="L61" s="112">
        <f t="shared" si="10"/>
        <v>0</v>
      </c>
      <c r="M61" s="109">
        <f t="shared" si="10"/>
        <v>1804</v>
      </c>
      <c r="N61" s="109">
        <f t="shared" si="10"/>
        <v>-103.9</v>
      </c>
      <c r="O61" s="109">
        <f t="shared" si="10"/>
        <v>1700.1</v>
      </c>
      <c r="P61" s="97">
        <f t="shared" si="0"/>
        <v>1700.1</v>
      </c>
      <c r="Q61" s="97">
        <f t="shared" si="1"/>
        <v>0</v>
      </c>
    </row>
    <row r="62" spans="1:17" ht="31.5" x14ac:dyDescent="0.2">
      <c r="A62" s="40"/>
      <c r="B62" s="113" t="s">
        <v>66</v>
      </c>
      <c r="C62" s="113" t="s">
        <v>51</v>
      </c>
      <c r="D62" s="133" t="s">
        <v>79</v>
      </c>
      <c r="E62" s="133" t="s">
        <v>67</v>
      </c>
      <c r="F62" s="134" t="s">
        <v>11</v>
      </c>
      <c r="G62" s="111">
        <f t="shared" si="10"/>
        <v>1804</v>
      </c>
      <c r="H62" s="111">
        <f t="shared" si="10"/>
        <v>-103.9</v>
      </c>
      <c r="I62" s="111">
        <f t="shared" si="10"/>
        <v>1700.1</v>
      </c>
      <c r="J62" s="114">
        <f t="shared" si="10"/>
        <v>0</v>
      </c>
      <c r="K62" s="111">
        <f>K63</f>
        <v>0</v>
      </c>
      <c r="L62" s="114">
        <f t="shared" si="10"/>
        <v>0</v>
      </c>
      <c r="M62" s="111">
        <f t="shared" si="10"/>
        <v>1804</v>
      </c>
      <c r="N62" s="111">
        <f t="shared" si="10"/>
        <v>-103.9</v>
      </c>
      <c r="O62" s="111">
        <f t="shared" si="10"/>
        <v>1700.1</v>
      </c>
      <c r="P62" s="97">
        <f t="shared" si="0"/>
        <v>1700.1</v>
      </c>
      <c r="Q62" s="97">
        <f t="shared" si="1"/>
        <v>0</v>
      </c>
    </row>
    <row r="63" spans="1:17" ht="31.5" x14ac:dyDescent="0.2">
      <c r="A63" s="40"/>
      <c r="B63" s="113" t="s">
        <v>80</v>
      </c>
      <c r="C63" s="113" t="s">
        <v>51</v>
      </c>
      <c r="D63" s="133" t="s">
        <v>79</v>
      </c>
      <c r="E63" s="133" t="s">
        <v>81</v>
      </c>
      <c r="F63" s="134" t="s">
        <v>11</v>
      </c>
      <c r="G63" s="111">
        <f t="shared" si="10"/>
        <v>1804</v>
      </c>
      <c r="H63" s="111">
        <f t="shared" si="10"/>
        <v>-103.9</v>
      </c>
      <c r="I63" s="111">
        <f t="shared" si="10"/>
        <v>1700.1</v>
      </c>
      <c r="J63" s="114">
        <f t="shared" si="10"/>
        <v>0</v>
      </c>
      <c r="K63" s="111">
        <f>K64</f>
        <v>0</v>
      </c>
      <c r="L63" s="114">
        <f t="shared" si="10"/>
        <v>0</v>
      </c>
      <c r="M63" s="111">
        <f t="shared" si="10"/>
        <v>1804</v>
      </c>
      <c r="N63" s="111">
        <f t="shared" si="10"/>
        <v>-103.9</v>
      </c>
      <c r="O63" s="111">
        <f t="shared" si="10"/>
        <v>1700.1</v>
      </c>
      <c r="P63" s="97">
        <f t="shared" si="0"/>
        <v>1700.1</v>
      </c>
      <c r="Q63" s="97">
        <f t="shared" si="1"/>
        <v>0</v>
      </c>
    </row>
    <row r="64" spans="1:17" ht="31.5" x14ac:dyDescent="0.2">
      <c r="A64" s="40"/>
      <c r="B64" s="113" t="s">
        <v>82</v>
      </c>
      <c r="C64" s="113" t="s">
        <v>51</v>
      </c>
      <c r="D64" s="133" t="s">
        <v>79</v>
      </c>
      <c r="E64" s="133" t="s">
        <v>83</v>
      </c>
      <c r="F64" s="134" t="s">
        <v>11</v>
      </c>
      <c r="G64" s="111">
        <f>G65</f>
        <v>1804</v>
      </c>
      <c r="H64" s="109">
        <f>H65</f>
        <v>-103.9</v>
      </c>
      <c r="I64" s="111">
        <f>I65</f>
        <v>1700.1</v>
      </c>
      <c r="J64" s="114">
        <f t="shared" si="10"/>
        <v>0</v>
      </c>
      <c r="K64" s="111"/>
      <c r="L64" s="114">
        <f t="shared" si="10"/>
        <v>0</v>
      </c>
      <c r="M64" s="111">
        <f t="shared" si="10"/>
        <v>1804</v>
      </c>
      <c r="N64" s="111">
        <f t="shared" si="10"/>
        <v>-103.9</v>
      </c>
      <c r="O64" s="111">
        <f t="shared" si="10"/>
        <v>1700.1</v>
      </c>
      <c r="P64" s="97">
        <f t="shared" si="0"/>
        <v>1700.1</v>
      </c>
      <c r="Q64" s="97">
        <f t="shared" si="1"/>
        <v>0</v>
      </c>
    </row>
    <row r="65" spans="1:17" ht="15.75" x14ac:dyDescent="0.2">
      <c r="A65" s="40"/>
      <c r="B65" s="113" t="s">
        <v>70</v>
      </c>
      <c r="C65" s="113" t="s">
        <v>51</v>
      </c>
      <c r="D65" s="133" t="s">
        <v>79</v>
      </c>
      <c r="E65" s="133" t="s">
        <v>83</v>
      </c>
      <c r="F65" s="134" t="s">
        <v>71</v>
      </c>
      <c r="G65" s="111">
        <v>1804</v>
      </c>
      <c r="H65" s="109">
        <f>-52.7-51.2</f>
        <v>-103.9</v>
      </c>
      <c r="I65" s="111">
        <f>SUM(G65)+H65</f>
        <v>1700.1</v>
      </c>
      <c r="J65" s="115">
        <v>0</v>
      </c>
      <c r="K65" s="109"/>
      <c r="L65" s="115">
        <v>0</v>
      </c>
      <c r="M65" s="111">
        <f>SUM(G65)</f>
        <v>1804</v>
      </c>
      <c r="N65" s="111">
        <f>SUM(H65)</f>
        <v>-103.9</v>
      </c>
      <c r="O65" s="111">
        <f>SUM(I65)</f>
        <v>1700.1</v>
      </c>
      <c r="P65" s="97">
        <f t="shared" si="0"/>
        <v>1700.1</v>
      </c>
      <c r="Q65" s="97">
        <f t="shared" si="1"/>
        <v>0</v>
      </c>
    </row>
    <row r="66" spans="1:17" ht="15.75" x14ac:dyDescent="0.2">
      <c r="A66" s="33" t="s">
        <v>84</v>
      </c>
      <c r="B66" s="110" t="s">
        <v>85</v>
      </c>
      <c r="C66" s="110" t="s">
        <v>51</v>
      </c>
      <c r="D66" s="131" t="s">
        <v>86</v>
      </c>
      <c r="E66" s="131" t="s">
        <v>11</v>
      </c>
      <c r="F66" s="132" t="s">
        <v>11</v>
      </c>
      <c r="G66" s="109">
        <f>G67+G72+G77+G97+G119+G115</f>
        <v>69265.899999999994</v>
      </c>
      <c r="H66" s="109">
        <f>H67+H72+H77+H97+H120+H115</f>
        <v>569.4</v>
      </c>
      <c r="I66" s="109">
        <f>I67+I72+I77+I97+I119+I115</f>
        <v>69835.3</v>
      </c>
      <c r="J66" s="112">
        <f>J67+J72+J77+J97+J119</f>
        <v>100</v>
      </c>
      <c r="K66" s="111">
        <f>K67+K77</f>
        <v>0</v>
      </c>
      <c r="L66" s="112">
        <f>L67+L72+L77+L97+L119</f>
        <v>100</v>
      </c>
      <c r="M66" s="109">
        <f>M67+M72+M77+M97+M119+M115</f>
        <v>69365.899999999994</v>
      </c>
      <c r="N66" s="109">
        <f>N67+N72+N77+N97+N119+N115</f>
        <v>569.4</v>
      </c>
      <c r="O66" s="109">
        <f>O67+O72+O77+O97+O119+O115</f>
        <v>69935.3</v>
      </c>
      <c r="P66" s="97">
        <f t="shared" si="0"/>
        <v>69835.299999999988</v>
      </c>
      <c r="Q66" s="97">
        <f t="shared" si="1"/>
        <v>0</v>
      </c>
    </row>
    <row r="67" spans="1:17" ht="31.5" x14ac:dyDescent="0.2">
      <c r="A67" s="40"/>
      <c r="B67" s="113" t="s">
        <v>87</v>
      </c>
      <c r="C67" s="113" t="s">
        <v>51</v>
      </c>
      <c r="D67" s="133" t="s">
        <v>86</v>
      </c>
      <c r="E67" s="133" t="s">
        <v>88</v>
      </c>
      <c r="F67" s="134" t="s">
        <v>11</v>
      </c>
      <c r="G67" s="111">
        <f t="shared" ref="G67:O70" si="11">G68</f>
        <v>330</v>
      </c>
      <c r="H67" s="111">
        <f t="shared" si="11"/>
        <v>0</v>
      </c>
      <c r="I67" s="111">
        <f t="shared" si="11"/>
        <v>330</v>
      </c>
      <c r="J67" s="114">
        <f t="shared" si="11"/>
        <v>0</v>
      </c>
      <c r="K67" s="111">
        <f>K68</f>
        <v>0</v>
      </c>
      <c r="L67" s="114">
        <f t="shared" si="11"/>
        <v>0</v>
      </c>
      <c r="M67" s="111">
        <f t="shared" si="11"/>
        <v>330</v>
      </c>
      <c r="N67" s="111">
        <f t="shared" si="11"/>
        <v>0</v>
      </c>
      <c r="O67" s="111">
        <f t="shared" si="11"/>
        <v>330</v>
      </c>
      <c r="P67" s="97">
        <f t="shared" si="0"/>
        <v>330</v>
      </c>
      <c r="Q67" s="97">
        <f t="shared" si="1"/>
        <v>0</v>
      </c>
    </row>
    <row r="68" spans="1:17" ht="47.25" x14ac:dyDescent="0.2">
      <c r="A68" s="40"/>
      <c r="B68" s="113" t="s">
        <v>89</v>
      </c>
      <c r="C68" s="113" t="s">
        <v>51</v>
      </c>
      <c r="D68" s="133" t="s">
        <v>86</v>
      </c>
      <c r="E68" s="133" t="s">
        <v>90</v>
      </c>
      <c r="F68" s="134" t="s">
        <v>11</v>
      </c>
      <c r="G68" s="111">
        <f t="shared" si="11"/>
        <v>330</v>
      </c>
      <c r="H68" s="111">
        <f t="shared" si="11"/>
        <v>0</v>
      </c>
      <c r="I68" s="111">
        <f t="shared" si="11"/>
        <v>330</v>
      </c>
      <c r="J68" s="114">
        <f t="shared" si="11"/>
        <v>0</v>
      </c>
      <c r="K68" s="111">
        <f>K69</f>
        <v>0</v>
      </c>
      <c r="L68" s="114">
        <f t="shared" si="11"/>
        <v>0</v>
      </c>
      <c r="M68" s="111">
        <f t="shared" si="11"/>
        <v>330</v>
      </c>
      <c r="N68" s="111">
        <f t="shared" si="11"/>
        <v>0</v>
      </c>
      <c r="O68" s="111">
        <f t="shared" si="11"/>
        <v>330</v>
      </c>
      <c r="P68" s="97">
        <f t="shared" si="0"/>
        <v>330</v>
      </c>
      <c r="Q68" s="97">
        <f t="shared" si="1"/>
        <v>0</v>
      </c>
    </row>
    <row r="69" spans="1:17" ht="81.599999999999994" customHeight="1" x14ac:dyDescent="0.2">
      <c r="A69" s="40"/>
      <c r="B69" s="113" t="s">
        <v>91</v>
      </c>
      <c r="C69" s="113" t="s">
        <v>51</v>
      </c>
      <c r="D69" s="133" t="s">
        <v>86</v>
      </c>
      <c r="E69" s="133" t="s">
        <v>92</v>
      </c>
      <c r="F69" s="134" t="s">
        <v>11</v>
      </c>
      <c r="G69" s="111">
        <f t="shared" si="11"/>
        <v>330</v>
      </c>
      <c r="H69" s="111">
        <f t="shared" si="11"/>
        <v>0</v>
      </c>
      <c r="I69" s="111">
        <f t="shared" si="11"/>
        <v>330</v>
      </c>
      <c r="J69" s="114">
        <f t="shared" si="11"/>
        <v>0</v>
      </c>
      <c r="K69" s="111">
        <f>K70</f>
        <v>0</v>
      </c>
      <c r="L69" s="114">
        <f t="shared" si="11"/>
        <v>0</v>
      </c>
      <c r="M69" s="111">
        <f t="shared" si="11"/>
        <v>330</v>
      </c>
      <c r="N69" s="111">
        <f t="shared" si="11"/>
        <v>0</v>
      </c>
      <c r="O69" s="111">
        <f t="shared" si="11"/>
        <v>330</v>
      </c>
      <c r="P69" s="97">
        <f t="shared" si="0"/>
        <v>330</v>
      </c>
      <c r="Q69" s="97">
        <f t="shared" si="1"/>
        <v>0</v>
      </c>
    </row>
    <row r="70" spans="1:17" ht="47.25" x14ac:dyDescent="0.2">
      <c r="A70" s="40"/>
      <c r="B70" s="113" t="s">
        <v>93</v>
      </c>
      <c r="C70" s="113" t="s">
        <v>51</v>
      </c>
      <c r="D70" s="133" t="s">
        <v>86</v>
      </c>
      <c r="E70" s="133" t="s">
        <v>94</v>
      </c>
      <c r="F70" s="134" t="s">
        <v>11</v>
      </c>
      <c r="G70" s="111">
        <f>G71</f>
        <v>330</v>
      </c>
      <c r="H70" s="111">
        <f>H71</f>
        <v>0</v>
      </c>
      <c r="I70" s="111">
        <f>I71</f>
        <v>330</v>
      </c>
      <c r="J70" s="114">
        <f t="shared" si="11"/>
        <v>0</v>
      </c>
      <c r="K70" s="111"/>
      <c r="L70" s="114">
        <f t="shared" si="11"/>
        <v>0</v>
      </c>
      <c r="M70" s="111">
        <f t="shared" si="11"/>
        <v>330</v>
      </c>
      <c r="N70" s="111">
        <f t="shared" si="11"/>
        <v>0</v>
      </c>
      <c r="O70" s="111">
        <f t="shared" si="11"/>
        <v>330</v>
      </c>
      <c r="P70" s="97">
        <f t="shared" si="0"/>
        <v>330</v>
      </c>
      <c r="Q70" s="97">
        <f t="shared" si="1"/>
        <v>0</v>
      </c>
    </row>
    <row r="71" spans="1:17" ht="47.25" x14ac:dyDescent="0.2">
      <c r="A71" s="40"/>
      <c r="B71" s="113" t="s">
        <v>95</v>
      </c>
      <c r="C71" s="113" t="s">
        <v>51</v>
      </c>
      <c r="D71" s="133" t="s">
        <v>86</v>
      </c>
      <c r="E71" s="133" t="s">
        <v>94</v>
      </c>
      <c r="F71" s="134" t="s">
        <v>96</v>
      </c>
      <c r="G71" s="111">
        <v>330</v>
      </c>
      <c r="H71" s="111"/>
      <c r="I71" s="111">
        <f>G71+H71</f>
        <v>330</v>
      </c>
      <c r="J71" s="115"/>
      <c r="K71" s="111"/>
      <c r="L71" s="115"/>
      <c r="M71" s="111">
        <f>G71+J71</f>
        <v>330</v>
      </c>
      <c r="N71" s="111">
        <f>H71+K71</f>
        <v>0</v>
      </c>
      <c r="O71" s="111">
        <f>I71+L71</f>
        <v>330</v>
      </c>
      <c r="P71" s="97">
        <f t="shared" si="0"/>
        <v>330</v>
      </c>
      <c r="Q71" s="97">
        <f t="shared" si="1"/>
        <v>0</v>
      </c>
    </row>
    <row r="72" spans="1:17" ht="31.5" x14ac:dyDescent="0.2">
      <c r="A72" s="40"/>
      <c r="B72" s="113" t="s">
        <v>97</v>
      </c>
      <c r="C72" s="113" t="s">
        <v>51</v>
      </c>
      <c r="D72" s="133" t="s">
        <v>86</v>
      </c>
      <c r="E72" s="133" t="s">
        <v>98</v>
      </c>
      <c r="F72" s="134" t="s">
        <v>11</v>
      </c>
      <c r="G72" s="111">
        <f t="shared" ref="G72:O75" si="12">G73</f>
        <v>3500</v>
      </c>
      <c r="H72" s="111">
        <f t="shared" si="12"/>
        <v>0</v>
      </c>
      <c r="I72" s="111">
        <f t="shared" si="12"/>
        <v>3500</v>
      </c>
      <c r="J72" s="114">
        <f t="shared" si="12"/>
        <v>0</v>
      </c>
      <c r="K72" s="111">
        <f>K73</f>
        <v>0</v>
      </c>
      <c r="L72" s="114">
        <f t="shared" si="12"/>
        <v>0</v>
      </c>
      <c r="M72" s="111">
        <f t="shared" si="12"/>
        <v>3500</v>
      </c>
      <c r="N72" s="111">
        <f t="shared" si="12"/>
        <v>0</v>
      </c>
      <c r="O72" s="111">
        <f t="shared" si="12"/>
        <v>3500</v>
      </c>
      <c r="P72" s="97">
        <f t="shared" si="0"/>
        <v>3500</v>
      </c>
      <c r="Q72" s="97">
        <f t="shared" si="1"/>
        <v>0</v>
      </c>
    </row>
    <row r="73" spans="1:17" ht="15.75" x14ac:dyDescent="0.2">
      <c r="A73" s="40"/>
      <c r="B73" s="113" t="s">
        <v>99</v>
      </c>
      <c r="C73" s="113" t="s">
        <v>51</v>
      </c>
      <c r="D73" s="133" t="s">
        <v>86</v>
      </c>
      <c r="E73" s="133" t="s">
        <v>100</v>
      </c>
      <c r="F73" s="134" t="s">
        <v>11</v>
      </c>
      <c r="G73" s="111">
        <f t="shared" si="12"/>
        <v>3500</v>
      </c>
      <c r="H73" s="111">
        <f t="shared" si="12"/>
        <v>0</v>
      </c>
      <c r="I73" s="111">
        <f t="shared" si="12"/>
        <v>3500</v>
      </c>
      <c r="J73" s="114">
        <f t="shared" si="12"/>
        <v>0</v>
      </c>
      <c r="K73" s="111">
        <f>K74</f>
        <v>0</v>
      </c>
      <c r="L73" s="114">
        <f t="shared" si="12"/>
        <v>0</v>
      </c>
      <c r="M73" s="111">
        <f t="shared" si="12"/>
        <v>3500</v>
      </c>
      <c r="N73" s="111">
        <f t="shared" si="12"/>
        <v>0</v>
      </c>
      <c r="O73" s="111">
        <f t="shared" si="12"/>
        <v>3500</v>
      </c>
      <c r="P73" s="97">
        <f t="shared" si="0"/>
        <v>3500</v>
      </c>
      <c r="Q73" s="97">
        <f t="shared" si="1"/>
        <v>0</v>
      </c>
    </row>
    <row r="74" spans="1:17" ht="31.5" x14ac:dyDescent="0.2">
      <c r="A74" s="40"/>
      <c r="B74" s="113" t="s">
        <v>101</v>
      </c>
      <c r="C74" s="113" t="s">
        <v>51</v>
      </c>
      <c r="D74" s="133" t="s">
        <v>86</v>
      </c>
      <c r="E74" s="133" t="s">
        <v>102</v>
      </c>
      <c r="F74" s="134" t="s">
        <v>11</v>
      </c>
      <c r="G74" s="111">
        <f t="shared" si="12"/>
        <v>3500</v>
      </c>
      <c r="H74" s="111">
        <f t="shared" si="12"/>
        <v>0</v>
      </c>
      <c r="I74" s="111">
        <f t="shared" si="12"/>
        <v>3500</v>
      </c>
      <c r="J74" s="114">
        <f t="shared" si="12"/>
        <v>0</v>
      </c>
      <c r="K74" s="111">
        <f>K75</f>
        <v>0</v>
      </c>
      <c r="L74" s="114">
        <f t="shared" si="12"/>
        <v>0</v>
      </c>
      <c r="M74" s="111">
        <f t="shared" si="12"/>
        <v>3500</v>
      </c>
      <c r="N74" s="111">
        <f t="shared" si="12"/>
        <v>0</v>
      </c>
      <c r="O74" s="111">
        <f t="shared" si="12"/>
        <v>3500</v>
      </c>
      <c r="P74" s="97">
        <f t="shared" si="0"/>
        <v>3500</v>
      </c>
      <c r="Q74" s="97">
        <f t="shared" si="1"/>
        <v>0</v>
      </c>
    </row>
    <row r="75" spans="1:17" ht="36.6" customHeight="1" x14ac:dyDescent="0.2">
      <c r="A75" s="40"/>
      <c r="B75" s="113" t="s">
        <v>103</v>
      </c>
      <c r="C75" s="113" t="s">
        <v>51</v>
      </c>
      <c r="D75" s="133" t="s">
        <v>86</v>
      </c>
      <c r="E75" s="133" t="s">
        <v>104</v>
      </c>
      <c r="F75" s="134" t="s">
        <v>11</v>
      </c>
      <c r="G75" s="111">
        <f>G76</f>
        <v>3500</v>
      </c>
      <c r="H75" s="111"/>
      <c r="I75" s="111">
        <f>I76</f>
        <v>3500</v>
      </c>
      <c r="J75" s="114">
        <f t="shared" si="12"/>
        <v>0</v>
      </c>
      <c r="K75" s="111"/>
      <c r="L75" s="114">
        <f t="shared" si="12"/>
        <v>0</v>
      </c>
      <c r="M75" s="111">
        <f t="shared" si="12"/>
        <v>3500</v>
      </c>
      <c r="N75" s="111">
        <f t="shared" si="12"/>
        <v>0</v>
      </c>
      <c r="O75" s="111">
        <f t="shared" si="12"/>
        <v>3500</v>
      </c>
      <c r="P75" s="97">
        <f t="shared" si="0"/>
        <v>3500</v>
      </c>
      <c r="Q75" s="97">
        <f t="shared" si="1"/>
        <v>0</v>
      </c>
    </row>
    <row r="76" spans="1:17" ht="31.5" x14ac:dyDescent="0.2">
      <c r="A76" s="40"/>
      <c r="B76" s="113" t="s">
        <v>40</v>
      </c>
      <c r="C76" s="113" t="s">
        <v>51</v>
      </c>
      <c r="D76" s="133" t="s">
        <v>86</v>
      </c>
      <c r="E76" s="133" t="s">
        <v>104</v>
      </c>
      <c r="F76" s="134" t="s">
        <v>41</v>
      </c>
      <c r="G76" s="111">
        <v>3500</v>
      </c>
      <c r="H76" s="111"/>
      <c r="I76" s="111">
        <v>3500</v>
      </c>
      <c r="J76" s="115">
        <v>0</v>
      </c>
      <c r="K76" s="111"/>
      <c r="L76" s="115">
        <v>0</v>
      </c>
      <c r="M76" s="111">
        <v>3500</v>
      </c>
      <c r="N76" s="111"/>
      <c r="O76" s="111">
        <v>3500</v>
      </c>
      <c r="P76" s="97">
        <f t="shared" si="0"/>
        <v>3500</v>
      </c>
      <c r="Q76" s="97">
        <f t="shared" si="1"/>
        <v>0</v>
      </c>
    </row>
    <row r="77" spans="1:17" ht="47.25" x14ac:dyDescent="0.2">
      <c r="A77" s="40"/>
      <c r="B77" s="113" t="s">
        <v>105</v>
      </c>
      <c r="C77" s="113" t="s">
        <v>51</v>
      </c>
      <c r="D77" s="133" t="s">
        <v>86</v>
      </c>
      <c r="E77" s="133" t="s">
        <v>106</v>
      </c>
      <c r="F77" s="134" t="s">
        <v>11</v>
      </c>
      <c r="G77" s="111">
        <f>G78+G85+G89</f>
        <v>7588.4</v>
      </c>
      <c r="H77" s="111">
        <f>H78+H89+H85</f>
        <v>-349.8</v>
      </c>
      <c r="I77" s="111">
        <f>I78+I85+I89</f>
        <v>7238.6</v>
      </c>
      <c r="J77" s="114">
        <f>J78+J85+J89</f>
        <v>100</v>
      </c>
      <c r="K77" s="111">
        <f>K78+K89</f>
        <v>0</v>
      </c>
      <c r="L77" s="114">
        <f>L78+L85+L89</f>
        <v>100</v>
      </c>
      <c r="M77" s="111">
        <f>M78+M85+M89</f>
        <v>7688.4</v>
      </c>
      <c r="N77" s="111">
        <f>N78+N85+N89</f>
        <v>-349.8</v>
      </c>
      <c r="O77" s="111">
        <f>O78+O85+O89</f>
        <v>7338.6</v>
      </c>
      <c r="P77" s="97">
        <f t="shared" si="0"/>
        <v>7238.5999999999995</v>
      </c>
      <c r="Q77" s="97">
        <f t="shared" si="1"/>
        <v>0</v>
      </c>
    </row>
    <row r="78" spans="1:17" ht="31.5" x14ac:dyDescent="0.2">
      <c r="A78" s="40"/>
      <c r="B78" s="113" t="s">
        <v>107</v>
      </c>
      <c r="C78" s="113" t="s">
        <v>51</v>
      </c>
      <c r="D78" s="133" t="s">
        <v>86</v>
      </c>
      <c r="E78" s="133" t="s">
        <v>108</v>
      </c>
      <c r="F78" s="134" t="s">
        <v>11</v>
      </c>
      <c r="G78" s="111">
        <f>G79</f>
        <v>2328.4</v>
      </c>
      <c r="H78" s="111">
        <f>H79</f>
        <v>-349.8</v>
      </c>
      <c r="I78" s="111">
        <f>I79</f>
        <v>1978.6</v>
      </c>
      <c r="J78" s="114">
        <f>J79</f>
        <v>0</v>
      </c>
      <c r="K78" s="111">
        <f>K79+K82</f>
        <v>0</v>
      </c>
      <c r="L78" s="114">
        <f>L79</f>
        <v>0</v>
      </c>
      <c r="M78" s="111">
        <f>M79</f>
        <v>2328.4</v>
      </c>
      <c r="N78" s="111">
        <f>N79</f>
        <v>-349.8</v>
      </c>
      <c r="O78" s="111">
        <f>O79</f>
        <v>1978.6</v>
      </c>
      <c r="P78" s="97">
        <f t="shared" si="0"/>
        <v>1978.6000000000001</v>
      </c>
      <c r="Q78" s="97">
        <f t="shared" si="1"/>
        <v>0</v>
      </c>
    </row>
    <row r="79" spans="1:17" ht="31.5" x14ac:dyDescent="0.2">
      <c r="A79" s="40"/>
      <c r="B79" s="113" t="s">
        <v>109</v>
      </c>
      <c r="C79" s="113" t="s">
        <v>51</v>
      </c>
      <c r="D79" s="133" t="s">
        <v>86</v>
      </c>
      <c r="E79" s="133" t="s">
        <v>110</v>
      </c>
      <c r="F79" s="134" t="s">
        <v>11</v>
      </c>
      <c r="G79" s="111">
        <f>G80+G83</f>
        <v>2328.4</v>
      </c>
      <c r="H79" s="111">
        <f>H80</f>
        <v>-349.8</v>
      </c>
      <c r="I79" s="111">
        <f>I80+I83</f>
        <v>1978.6</v>
      </c>
      <c r="J79" s="114">
        <f>J80+J83</f>
        <v>0</v>
      </c>
      <c r="K79" s="111">
        <f>K80</f>
        <v>0</v>
      </c>
      <c r="L79" s="114">
        <f>L80+L83</f>
        <v>0</v>
      </c>
      <c r="M79" s="111">
        <f>M80+M83</f>
        <v>2328.4</v>
      </c>
      <c r="N79" s="111">
        <f>N80+N83</f>
        <v>-349.8</v>
      </c>
      <c r="O79" s="111">
        <f>O80+O83</f>
        <v>1978.6</v>
      </c>
      <c r="P79" s="97">
        <f t="shared" si="0"/>
        <v>1978.6000000000001</v>
      </c>
      <c r="Q79" s="97">
        <f t="shared" si="1"/>
        <v>0</v>
      </c>
    </row>
    <row r="80" spans="1:17" ht="31.5" x14ac:dyDescent="0.2">
      <c r="A80" s="40"/>
      <c r="B80" s="113" t="s">
        <v>107</v>
      </c>
      <c r="C80" s="113" t="s">
        <v>51</v>
      </c>
      <c r="D80" s="133" t="s">
        <v>86</v>
      </c>
      <c r="E80" s="133" t="s">
        <v>111</v>
      </c>
      <c r="F80" s="134" t="s">
        <v>11</v>
      </c>
      <c r="G80" s="111">
        <f>G82+G81</f>
        <v>2318.4</v>
      </c>
      <c r="H80" s="111">
        <f>H82+H81</f>
        <v>-349.8</v>
      </c>
      <c r="I80" s="111">
        <f>I82+I81</f>
        <v>1968.6</v>
      </c>
      <c r="J80" s="114">
        <f>J82</f>
        <v>0</v>
      </c>
      <c r="K80" s="111"/>
      <c r="L80" s="114">
        <f>L82</f>
        <v>0</v>
      </c>
      <c r="M80" s="111">
        <f>M82+M81</f>
        <v>2318.4</v>
      </c>
      <c r="N80" s="111">
        <f>N82+N81</f>
        <v>-349.8</v>
      </c>
      <c r="O80" s="111">
        <f>O82+O81</f>
        <v>1968.6</v>
      </c>
      <c r="P80" s="97">
        <f t="shared" si="0"/>
        <v>1968.6000000000001</v>
      </c>
      <c r="Q80" s="97">
        <f t="shared" si="1"/>
        <v>0</v>
      </c>
    </row>
    <row r="81" spans="1:17" ht="31.5" x14ac:dyDescent="0.2">
      <c r="A81" s="40"/>
      <c r="B81" s="113" t="s">
        <v>40</v>
      </c>
      <c r="C81" s="113" t="s">
        <v>51</v>
      </c>
      <c r="D81" s="133" t="s">
        <v>86</v>
      </c>
      <c r="E81" s="133" t="s">
        <v>111</v>
      </c>
      <c r="F81" s="134">
        <v>200</v>
      </c>
      <c r="G81" s="111">
        <v>232.4</v>
      </c>
      <c r="H81" s="111">
        <v>116.2</v>
      </c>
      <c r="I81" s="111">
        <f>SUM(G81)+H81</f>
        <v>348.6</v>
      </c>
      <c r="J81" s="114"/>
      <c r="K81" s="111"/>
      <c r="L81" s="114"/>
      <c r="M81" s="111">
        <f>SUM(G81)</f>
        <v>232.4</v>
      </c>
      <c r="N81" s="111">
        <f>SUM(H81)</f>
        <v>116.2</v>
      </c>
      <c r="O81" s="111">
        <f>SUM(I81)</f>
        <v>348.6</v>
      </c>
      <c r="P81" s="97">
        <f t="shared" si="0"/>
        <v>348.6</v>
      </c>
      <c r="Q81" s="97">
        <f t="shared" si="1"/>
        <v>0</v>
      </c>
    </row>
    <row r="82" spans="1:17" ht="31.5" x14ac:dyDescent="0.2">
      <c r="A82" s="40"/>
      <c r="B82" s="113" t="s">
        <v>112</v>
      </c>
      <c r="C82" s="113" t="s">
        <v>51</v>
      </c>
      <c r="D82" s="133" t="s">
        <v>86</v>
      </c>
      <c r="E82" s="133" t="s">
        <v>111</v>
      </c>
      <c r="F82" s="134" t="s">
        <v>113</v>
      </c>
      <c r="G82" s="111">
        <v>2086</v>
      </c>
      <c r="H82" s="111">
        <v>-466</v>
      </c>
      <c r="I82" s="111">
        <f>SUM(G82:H82)</f>
        <v>1620</v>
      </c>
      <c r="J82" s="115">
        <v>0</v>
      </c>
      <c r="K82" s="111"/>
      <c r="L82" s="115">
        <v>0</v>
      </c>
      <c r="M82" s="111">
        <f>SUM(G82)</f>
        <v>2086</v>
      </c>
      <c r="N82" s="111">
        <f>H82+K82</f>
        <v>-466</v>
      </c>
      <c r="O82" s="111">
        <f>SUM(M82:N82)</f>
        <v>1620</v>
      </c>
      <c r="P82" s="97">
        <f t="shared" si="0"/>
        <v>1620</v>
      </c>
      <c r="Q82" s="97">
        <f t="shared" si="1"/>
        <v>0</v>
      </c>
    </row>
    <row r="83" spans="1:17" ht="31.5" x14ac:dyDescent="0.2">
      <c r="A83" s="40"/>
      <c r="B83" s="113" t="s">
        <v>114</v>
      </c>
      <c r="C83" s="113" t="s">
        <v>51</v>
      </c>
      <c r="D83" s="133" t="s">
        <v>86</v>
      </c>
      <c r="E83" s="133" t="s">
        <v>115</v>
      </c>
      <c r="F83" s="134" t="s">
        <v>11</v>
      </c>
      <c r="G83" s="111">
        <f>G84</f>
        <v>10</v>
      </c>
      <c r="H83" s="111"/>
      <c r="I83" s="111">
        <f>I84</f>
        <v>10</v>
      </c>
      <c r="J83" s="114">
        <f>J84</f>
        <v>0</v>
      </c>
      <c r="K83" s="111"/>
      <c r="L83" s="114">
        <f>L84</f>
        <v>0</v>
      </c>
      <c r="M83" s="111">
        <f>M84</f>
        <v>10</v>
      </c>
      <c r="N83" s="111">
        <f>N84</f>
        <v>0</v>
      </c>
      <c r="O83" s="111">
        <f>O84</f>
        <v>10</v>
      </c>
      <c r="P83" s="97">
        <f t="shared" si="0"/>
        <v>10</v>
      </c>
      <c r="Q83" s="97">
        <f t="shared" si="1"/>
        <v>0</v>
      </c>
    </row>
    <row r="84" spans="1:17" ht="31.5" x14ac:dyDescent="0.2">
      <c r="A84" s="40"/>
      <c r="B84" s="113" t="s">
        <v>112</v>
      </c>
      <c r="C84" s="113" t="s">
        <v>51</v>
      </c>
      <c r="D84" s="133" t="s">
        <v>86</v>
      </c>
      <c r="E84" s="133" t="s">
        <v>115</v>
      </c>
      <c r="F84" s="134" t="s">
        <v>113</v>
      </c>
      <c r="G84" s="111">
        <v>10</v>
      </c>
      <c r="H84" s="111"/>
      <c r="I84" s="111">
        <v>10</v>
      </c>
      <c r="J84" s="115">
        <v>0</v>
      </c>
      <c r="K84" s="111"/>
      <c r="L84" s="115">
        <v>0</v>
      </c>
      <c r="M84" s="111">
        <v>10</v>
      </c>
      <c r="N84" s="111"/>
      <c r="O84" s="111">
        <v>10</v>
      </c>
      <c r="P84" s="97">
        <f t="shared" si="0"/>
        <v>10</v>
      </c>
      <c r="Q84" s="97">
        <f t="shared" si="1"/>
        <v>0</v>
      </c>
    </row>
    <row r="85" spans="1:17" ht="31.5" x14ac:dyDescent="0.2">
      <c r="A85" s="40"/>
      <c r="B85" s="113" t="s">
        <v>116</v>
      </c>
      <c r="C85" s="113" t="s">
        <v>51</v>
      </c>
      <c r="D85" s="133" t="s">
        <v>86</v>
      </c>
      <c r="E85" s="133" t="s">
        <v>117</v>
      </c>
      <c r="F85" s="134" t="s">
        <v>11</v>
      </c>
      <c r="G85" s="111">
        <f t="shared" ref="G85:O87" si="13">G86</f>
        <v>150</v>
      </c>
      <c r="H85" s="111">
        <f t="shared" si="13"/>
        <v>0</v>
      </c>
      <c r="I85" s="111">
        <f t="shared" si="13"/>
        <v>150</v>
      </c>
      <c r="J85" s="114">
        <f t="shared" si="13"/>
        <v>0</v>
      </c>
      <c r="K85" s="111">
        <f>K86</f>
        <v>0</v>
      </c>
      <c r="L85" s="114">
        <f t="shared" si="13"/>
        <v>0</v>
      </c>
      <c r="M85" s="111">
        <f t="shared" si="13"/>
        <v>150</v>
      </c>
      <c r="N85" s="111">
        <f t="shared" si="13"/>
        <v>0</v>
      </c>
      <c r="O85" s="111">
        <f t="shared" si="13"/>
        <v>150</v>
      </c>
      <c r="P85" s="97">
        <f t="shared" si="0"/>
        <v>150</v>
      </c>
      <c r="Q85" s="97">
        <f t="shared" si="1"/>
        <v>0</v>
      </c>
    </row>
    <row r="86" spans="1:17" ht="63" x14ac:dyDescent="0.2">
      <c r="A86" s="40"/>
      <c r="B86" s="113" t="s">
        <v>118</v>
      </c>
      <c r="C86" s="113" t="s">
        <v>51</v>
      </c>
      <c r="D86" s="133" t="s">
        <v>86</v>
      </c>
      <c r="E86" s="133" t="s">
        <v>119</v>
      </c>
      <c r="F86" s="134" t="s">
        <v>11</v>
      </c>
      <c r="G86" s="111">
        <f t="shared" si="13"/>
        <v>150</v>
      </c>
      <c r="H86" s="111">
        <f t="shared" si="13"/>
        <v>0</v>
      </c>
      <c r="I86" s="111">
        <f t="shared" si="13"/>
        <v>150</v>
      </c>
      <c r="J86" s="114">
        <f t="shared" si="13"/>
        <v>0</v>
      </c>
      <c r="K86" s="111">
        <f>K87</f>
        <v>0</v>
      </c>
      <c r="L86" s="114">
        <f t="shared" si="13"/>
        <v>0</v>
      </c>
      <c r="M86" s="111">
        <f t="shared" si="13"/>
        <v>150</v>
      </c>
      <c r="N86" s="111">
        <f t="shared" si="13"/>
        <v>0</v>
      </c>
      <c r="O86" s="111">
        <f t="shared" si="13"/>
        <v>150</v>
      </c>
      <c r="P86" s="97">
        <f t="shared" si="0"/>
        <v>150</v>
      </c>
      <c r="Q86" s="97">
        <f t="shared" si="1"/>
        <v>0</v>
      </c>
    </row>
    <row r="87" spans="1:17" ht="47.25" x14ac:dyDescent="0.2">
      <c r="A87" s="40"/>
      <c r="B87" s="113" t="s">
        <v>120</v>
      </c>
      <c r="C87" s="113" t="s">
        <v>51</v>
      </c>
      <c r="D87" s="133" t="s">
        <v>86</v>
      </c>
      <c r="E87" s="133" t="s">
        <v>121</v>
      </c>
      <c r="F87" s="134" t="s">
        <v>11</v>
      </c>
      <c r="G87" s="111">
        <f>G88</f>
        <v>150</v>
      </c>
      <c r="H87" s="111"/>
      <c r="I87" s="111">
        <f>I88</f>
        <v>150</v>
      </c>
      <c r="J87" s="114">
        <f t="shared" si="13"/>
        <v>0</v>
      </c>
      <c r="K87" s="111"/>
      <c r="L87" s="114">
        <f t="shared" si="13"/>
        <v>0</v>
      </c>
      <c r="M87" s="111">
        <f t="shared" si="13"/>
        <v>150</v>
      </c>
      <c r="N87" s="111">
        <f t="shared" si="13"/>
        <v>0</v>
      </c>
      <c r="O87" s="111">
        <f t="shared" si="13"/>
        <v>150</v>
      </c>
      <c r="P87" s="97">
        <f t="shared" si="0"/>
        <v>150</v>
      </c>
      <c r="Q87" s="97">
        <f t="shared" si="1"/>
        <v>0</v>
      </c>
    </row>
    <row r="88" spans="1:17" ht="31.5" x14ac:dyDescent="0.2">
      <c r="A88" s="40"/>
      <c r="B88" s="113" t="s">
        <v>40</v>
      </c>
      <c r="C88" s="113" t="s">
        <v>51</v>
      </c>
      <c r="D88" s="133" t="s">
        <v>86</v>
      </c>
      <c r="E88" s="133" t="s">
        <v>121</v>
      </c>
      <c r="F88" s="134" t="s">
        <v>41</v>
      </c>
      <c r="G88" s="111">
        <v>150</v>
      </c>
      <c r="H88" s="111"/>
      <c r="I88" s="111">
        <v>150</v>
      </c>
      <c r="J88" s="115">
        <v>0</v>
      </c>
      <c r="K88" s="111"/>
      <c r="L88" s="115">
        <v>0</v>
      </c>
      <c r="M88" s="111">
        <v>150</v>
      </c>
      <c r="N88" s="111"/>
      <c r="O88" s="111">
        <v>150</v>
      </c>
      <c r="P88" s="97">
        <f t="shared" si="0"/>
        <v>150</v>
      </c>
      <c r="Q88" s="97">
        <f t="shared" si="1"/>
        <v>0</v>
      </c>
    </row>
    <row r="89" spans="1:17" ht="31.5" x14ac:dyDescent="0.2">
      <c r="A89" s="40"/>
      <c r="B89" s="113" t="s">
        <v>122</v>
      </c>
      <c r="C89" s="113" t="s">
        <v>51</v>
      </c>
      <c r="D89" s="133" t="s">
        <v>86</v>
      </c>
      <c r="E89" s="133" t="s">
        <v>123</v>
      </c>
      <c r="F89" s="134" t="s">
        <v>11</v>
      </c>
      <c r="G89" s="111">
        <f t="shared" ref="G89:O90" si="14">G90</f>
        <v>5110</v>
      </c>
      <c r="H89" s="111">
        <f t="shared" si="14"/>
        <v>0</v>
      </c>
      <c r="I89" s="111">
        <f t="shared" si="14"/>
        <v>5110</v>
      </c>
      <c r="J89" s="114">
        <f t="shared" ref="J89:O89" si="15">J90+J94</f>
        <v>100</v>
      </c>
      <c r="K89" s="111">
        <f t="shared" si="15"/>
        <v>0</v>
      </c>
      <c r="L89" s="111">
        <f t="shared" si="15"/>
        <v>100</v>
      </c>
      <c r="M89" s="111">
        <f t="shared" si="15"/>
        <v>5210</v>
      </c>
      <c r="N89" s="111">
        <f t="shared" si="15"/>
        <v>0</v>
      </c>
      <c r="O89" s="111">
        <f t="shared" si="15"/>
        <v>5210</v>
      </c>
      <c r="P89" s="97">
        <f t="shared" si="0"/>
        <v>5110</v>
      </c>
      <c r="Q89" s="97">
        <f t="shared" si="1"/>
        <v>0</v>
      </c>
    </row>
    <row r="90" spans="1:17" ht="110.25" x14ac:dyDescent="0.2">
      <c r="A90" s="40"/>
      <c r="B90" s="113" t="s">
        <v>124</v>
      </c>
      <c r="C90" s="113" t="s">
        <v>51</v>
      </c>
      <c r="D90" s="133" t="s">
        <v>86</v>
      </c>
      <c r="E90" s="133" t="s">
        <v>125</v>
      </c>
      <c r="F90" s="134" t="s">
        <v>11</v>
      </c>
      <c r="G90" s="111">
        <f t="shared" si="14"/>
        <v>5110</v>
      </c>
      <c r="H90" s="111">
        <f>H91</f>
        <v>0</v>
      </c>
      <c r="I90" s="111">
        <f t="shared" si="14"/>
        <v>5110</v>
      </c>
      <c r="J90" s="114">
        <f t="shared" si="14"/>
        <v>0</v>
      </c>
      <c r="K90" s="111">
        <f>K91+K92</f>
        <v>0</v>
      </c>
      <c r="L90" s="114">
        <f t="shared" si="14"/>
        <v>0</v>
      </c>
      <c r="M90" s="111">
        <f t="shared" si="14"/>
        <v>5110</v>
      </c>
      <c r="N90" s="111">
        <f t="shared" si="14"/>
        <v>0</v>
      </c>
      <c r="O90" s="111">
        <f t="shared" si="14"/>
        <v>5110</v>
      </c>
      <c r="P90" s="97">
        <f t="shared" si="0"/>
        <v>5110</v>
      </c>
      <c r="Q90" s="97">
        <f t="shared" si="1"/>
        <v>0</v>
      </c>
    </row>
    <row r="91" spans="1:17" ht="31.5" x14ac:dyDescent="0.2">
      <c r="A91" s="40"/>
      <c r="B91" s="113" t="s">
        <v>126</v>
      </c>
      <c r="C91" s="113" t="s">
        <v>51</v>
      </c>
      <c r="D91" s="133" t="s">
        <v>86</v>
      </c>
      <c r="E91" s="133" t="s">
        <v>127</v>
      </c>
      <c r="F91" s="134" t="s">
        <v>11</v>
      </c>
      <c r="G91" s="111">
        <f>G92+G93</f>
        <v>5110</v>
      </c>
      <c r="H91" s="111">
        <f>H92+H93</f>
        <v>0</v>
      </c>
      <c r="I91" s="111">
        <f>I92+I93</f>
        <v>5110</v>
      </c>
      <c r="J91" s="114">
        <f>J92+J93</f>
        <v>0</v>
      </c>
      <c r="K91" s="111"/>
      <c r="L91" s="114">
        <f>L92+L93</f>
        <v>0</v>
      </c>
      <c r="M91" s="111">
        <f>M92+M93</f>
        <v>5110</v>
      </c>
      <c r="N91" s="111">
        <f>N92+N93</f>
        <v>0</v>
      </c>
      <c r="O91" s="111">
        <f>O92+O93</f>
        <v>5110</v>
      </c>
      <c r="P91" s="97">
        <f t="shared" si="0"/>
        <v>5110</v>
      </c>
      <c r="Q91" s="97">
        <f t="shared" si="1"/>
        <v>0</v>
      </c>
    </row>
    <row r="92" spans="1:17" ht="31.5" x14ac:dyDescent="0.2">
      <c r="A92" s="40"/>
      <c r="B92" s="113" t="s">
        <v>40</v>
      </c>
      <c r="C92" s="113" t="s">
        <v>51</v>
      </c>
      <c r="D92" s="133" t="s">
        <v>86</v>
      </c>
      <c r="E92" s="133" t="s">
        <v>127</v>
      </c>
      <c r="F92" s="134" t="s">
        <v>41</v>
      </c>
      <c r="G92" s="111">
        <v>5046.8</v>
      </c>
      <c r="H92" s="111"/>
      <c r="I92" s="111">
        <f>SUM(G92:H92)</f>
        <v>5046.8</v>
      </c>
      <c r="J92" s="115">
        <v>0</v>
      </c>
      <c r="K92" s="111"/>
      <c r="L92" s="115">
        <v>0</v>
      </c>
      <c r="M92" s="111">
        <f>SUM(G92)</f>
        <v>5046.8</v>
      </c>
      <c r="N92" s="111">
        <f>SUM(H92)</f>
        <v>0</v>
      </c>
      <c r="O92" s="111">
        <f>SUM(I92)</f>
        <v>5046.8</v>
      </c>
      <c r="P92" s="97">
        <f t="shared" ref="P92:P155" si="16">G92+H92</f>
        <v>5046.8</v>
      </c>
      <c r="Q92" s="97">
        <f t="shared" ref="Q92:Q155" si="17">I92-P92</f>
        <v>0</v>
      </c>
    </row>
    <row r="93" spans="1:17" ht="15.75" x14ac:dyDescent="0.2">
      <c r="A93" s="40"/>
      <c r="B93" s="113" t="s">
        <v>70</v>
      </c>
      <c r="C93" s="113" t="s">
        <v>51</v>
      </c>
      <c r="D93" s="133" t="s">
        <v>86</v>
      </c>
      <c r="E93" s="133" t="s">
        <v>127</v>
      </c>
      <c r="F93" s="134" t="s">
        <v>71</v>
      </c>
      <c r="G93" s="111">
        <v>63.2</v>
      </c>
      <c r="H93" s="111"/>
      <c r="I93" s="111">
        <v>63.2</v>
      </c>
      <c r="J93" s="115">
        <v>0</v>
      </c>
      <c r="K93" s="111"/>
      <c r="L93" s="115">
        <v>0</v>
      </c>
      <c r="M93" s="111">
        <v>63.2</v>
      </c>
      <c r="N93" s="111"/>
      <c r="O93" s="111">
        <v>63.2</v>
      </c>
      <c r="P93" s="97">
        <f t="shared" si="16"/>
        <v>63.2</v>
      </c>
      <c r="Q93" s="97">
        <f t="shared" si="17"/>
        <v>0</v>
      </c>
    </row>
    <row r="94" spans="1:17" ht="47.25" x14ac:dyDescent="0.2">
      <c r="A94" s="40"/>
      <c r="B94" s="113" t="s">
        <v>564</v>
      </c>
      <c r="C94" s="113">
        <v>992</v>
      </c>
      <c r="D94" s="133" t="s">
        <v>86</v>
      </c>
      <c r="E94" s="133">
        <v>1030200000</v>
      </c>
      <c r="F94" s="134"/>
      <c r="G94" s="111"/>
      <c r="H94" s="111"/>
      <c r="I94" s="111"/>
      <c r="J94" s="115">
        <f t="shared" ref="J94:L95" si="18">SUM(J95)</f>
        <v>100</v>
      </c>
      <c r="K94" s="111">
        <f t="shared" si="18"/>
        <v>0</v>
      </c>
      <c r="L94" s="111">
        <f t="shared" si="18"/>
        <v>100</v>
      </c>
      <c r="M94" s="111">
        <f>SUM(J94)</f>
        <v>100</v>
      </c>
      <c r="N94" s="111">
        <f t="shared" ref="N94:O96" si="19">SUM(K94)</f>
        <v>0</v>
      </c>
      <c r="O94" s="111">
        <f t="shared" si="19"/>
        <v>100</v>
      </c>
      <c r="P94" s="97">
        <f t="shared" si="16"/>
        <v>0</v>
      </c>
      <c r="Q94" s="97">
        <f t="shared" si="17"/>
        <v>0</v>
      </c>
    </row>
    <row r="95" spans="1:17" ht="47.25" x14ac:dyDescent="0.2">
      <c r="A95" s="40"/>
      <c r="B95" s="113" t="s">
        <v>565</v>
      </c>
      <c r="C95" s="113">
        <v>992</v>
      </c>
      <c r="D95" s="133" t="s">
        <v>86</v>
      </c>
      <c r="E95" s="133">
        <v>1030222500</v>
      </c>
      <c r="F95" s="134"/>
      <c r="G95" s="111"/>
      <c r="H95" s="111"/>
      <c r="I95" s="111"/>
      <c r="J95" s="115">
        <f t="shared" si="18"/>
        <v>100</v>
      </c>
      <c r="K95" s="111">
        <f t="shared" si="18"/>
        <v>0</v>
      </c>
      <c r="L95" s="111">
        <f t="shared" si="18"/>
        <v>100</v>
      </c>
      <c r="M95" s="111">
        <f>SUM(J95)</f>
        <v>100</v>
      </c>
      <c r="N95" s="111">
        <f t="shared" si="19"/>
        <v>0</v>
      </c>
      <c r="O95" s="111">
        <f t="shared" si="19"/>
        <v>100</v>
      </c>
      <c r="P95" s="97">
        <f t="shared" si="16"/>
        <v>0</v>
      </c>
      <c r="Q95" s="97">
        <f t="shared" si="17"/>
        <v>0</v>
      </c>
    </row>
    <row r="96" spans="1:17" ht="31.5" x14ac:dyDescent="0.2">
      <c r="A96" s="40"/>
      <c r="B96" s="113" t="s">
        <v>40</v>
      </c>
      <c r="C96" s="113">
        <v>992</v>
      </c>
      <c r="D96" s="133" t="s">
        <v>86</v>
      </c>
      <c r="E96" s="133">
        <v>1030222500</v>
      </c>
      <c r="F96" s="134">
        <v>200</v>
      </c>
      <c r="G96" s="111"/>
      <c r="H96" s="111"/>
      <c r="I96" s="111"/>
      <c r="J96" s="115">
        <v>100</v>
      </c>
      <c r="K96" s="111"/>
      <c r="L96" s="115">
        <f>SUM(J96)</f>
        <v>100</v>
      </c>
      <c r="M96" s="111">
        <f>SUM(J96)</f>
        <v>100</v>
      </c>
      <c r="N96" s="111">
        <f t="shared" si="19"/>
        <v>0</v>
      </c>
      <c r="O96" s="111">
        <f t="shared" si="19"/>
        <v>100</v>
      </c>
      <c r="P96" s="97">
        <f t="shared" si="16"/>
        <v>0</v>
      </c>
      <c r="Q96" s="97">
        <f t="shared" si="17"/>
        <v>0</v>
      </c>
    </row>
    <row r="97" spans="1:17" ht="31.5" x14ac:dyDescent="0.2">
      <c r="A97" s="40"/>
      <c r="B97" s="113" t="s">
        <v>128</v>
      </c>
      <c r="C97" s="113" t="s">
        <v>51</v>
      </c>
      <c r="D97" s="133" t="s">
        <v>86</v>
      </c>
      <c r="E97" s="133" t="s">
        <v>129</v>
      </c>
      <c r="F97" s="134" t="s">
        <v>11</v>
      </c>
      <c r="G97" s="111">
        <f>G98+G111</f>
        <v>56281</v>
      </c>
      <c r="H97" s="111">
        <f>H98+H111</f>
        <v>235.8</v>
      </c>
      <c r="I97" s="111">
        <f>I98+I111</f>
        <v>56516.799999999996</v>
      </c>
      <c r="J97" s="114">
        <f>J98+J111</f>
        <v>0</v>
      </c>
      <c r="K97" s="111">
        <f>K98+K103</f>
        <v>0</v>
      </c>
      <c r="L97" s="114">
        <f>L98+L111</f>
        <v>0</v>
      </c>
      <c r="M97" s="111">
        <f>M98+M111</f>
        <v>56281</v>
      </c>
      <c r="N97" s="111">
        <f>N98+N111</f>
        <v>235.8</v>
      </c>
      <c r="O97" s="111">
        <f>O98+O111</f>
        <v>56516.799999999996</v>
      </c>
      <c r="P97" s="97">
        <f t="shared" si="16"/>
        <v>56516.800000000003</v>
      </c>
      <c r="Q97" s="97">
        <f t="shared" si="17"/>
        <v>0</v>
      </c>
    </row>
    <row r="98" spans="1:17" ht="15.75" x14ac:dyDescent="0.2">
      <c r="A98" s="40"/>
      <c r="B98" s="113" t="s">
        <v>130</v>
      </c>
      <c r="C98" s="113" t="s">
        <v>51</v>
      </c>
      <c r="D98" s="133" t="s">
        <v>86</v>
      </c>
      <c r="E98" s="133" t="s">
        <v>131</v>
      </c>
      <c r="F98" s="134" t="s">
        <v>11</v>
      </c>
      <c r="G98" s="111">
        <f>G99+G104</f>
        <v>56266.3</v>
      </c>
      <c r="H98" s="111">
        <f>H99+H104</f>
        <v>235.8</v>
      </c>
      <c r="I98" s="111">
        <f>I99+I104</f>
        <v>56502.1</v>
      </c>
      <c r="J98" s="114">
        <f>J99+J104</f>
        <v>0</v>
      </c>
      <c r="K98" s="111">
        <f>K99</f>
        <v>0</v>
      </c>
      <c r="L98" s="114">
        <f>L99+L104</f>
        <v>0</v>
      </c>
      <c r="M98" s="111">
        <f>M99+M104</f>
        <v>56266.3</v>
      </c>
      <c r="N98" s="111">
        <f>N99+N104</f>
        <v>235.8</v>
      </c>
      <c r="O98" s="111">
        <f>O99+O104</f>
        <v>56502.1</v>
      </c>
      <c r="P98" s="97">
        <f t="shared" si="16"/>
        <v>56502.100000000006</v>
      </c>
      <c r="Q98" s="97">
        <f t="shared" si="17"/>
        <v>0</v>
      </c>
    </row>
    <row r="99" spans="1:17" ht="15.75" x14ac:dyDescent="0.2">
      <c r="A99" s="40"/>
      <c r="B99" s="113" t="s">
        <v>132</v>
      </c>
      <c r="C99" s="113" t="s">
        <v>51</v>
      </c>
      <c r="D99" s="133" t="s">
        <v>86</v>
      </c>
      <c r="E99" s="133" t="s">
        <v>133</v>
      </c>
      <c r="F99" s="134" t="s">
        <v>11</v>
      </c>
      <c r="G99" s="111">
        <f>G100</f>
        <v>42575.5</v>
      </c>
      <c r="H99" s="111">
        <f>SUM(H100)</f>
        <v>0</v>
      </c>
      <c r="I99" s="111">
        <f>I100</f>
        <v>42575.5</v>
      </c>
      <c r="J99" s="114">
        <f>J100</f>
        <v>0</v>
      </c>
      <c r="K99" s="111">
        <f>K100+K101+K102</f>
        <v>0</v>
      </c>
      <c r="L99" s="114">
        <f>L100</f>
        <v>0</v>
      </c>
      <c r="M99" s="111">
        <f>M100</f>
        <v>42575.5</v>
      </c>
      <c r="N99" s="111">
        <f>N100</f>
        <v>0</v>
      </c>
      <c r="O99" s="111">
        <f>O100</f>
        <v>42575.5</v>
      </c>
      <c r="P99" s="97">
        <f t="shared" si="16"/>
        <v>42575.5</v>
      </c>
      <c r="Q99" s="97">
        <f t="shared" si="17"/>
        <v>0</v>
      </c>
    </row>
    <row r="100" spans="1:17" ht="31.5" x14ac:dyDescent="0.2">
      <c r="A100" s="40"/>
      <c r="B100" s="113" t="s">
        <v>134</v>
      </c>
      <c r="C100" s="113" t="s">
        <v>51</v>
      </c>
      <c r="D100" s="133" t="s">
        <v>86</v>
      </c>
      <c r="E100" s="133" t="s">
        <v>135</v>
      </c>
      <c r="F100" s="134" t="s">
        <v>11</v>
      </c>
      <c r="G100" s="111">
        <f>G101+G102+G103</f>
        <v>42575.5</v>
      </c>
      <c r="H100" s="111">
        <f>SUM(H101:H103)</f>
        <v>0</v>
      </c>
      <c r="I100" s="111">
        <f>I101+I102+I103</f>
        <v>42575.5</v>
      </c>
      <c r="J100" s="114">
        <f>J101+J102+J103</f>
        <v>0</v>
      </c>
      <c r="K100" s="111"/>
      <c r="L100" s="114">
        <f>L101+L102+L103</f>
        <v>0</v>
      </c>
      <c r="M100" s="111">
        <f>M101+M102+M103</f>
        <v>42575.5</v>
      </c>
      <c r="N100" s="111">
        <f>N101+N102+N103</f>
        <v>0</v>
      </c>
      <c r="O100" s="111">
        <f>O101+O102+O103</f>
        <v>42575.5</v>
      </c>
      <c r="P100" s="97">
        <f t="shared" si="16"/>
        <v>42575.5</v>
      </c>
      <c r="Q100" s="97">
        <f t="shared" si="17"/>
        <v>0</v>
      </c>
    </row>
    <row r="101" spans="1:17" ht="37.9" customHeight="1" x14ac:dyDescent="0.2">
      <c r="A101" s="40"/>
      <c r="B101" s="113" t="s">
        <v>61</v>
      </c>
      <c r="C101" s="113" t="s">
        <v>51</v>
      </c>
      <c r="D101" s="133" t="s">
        <v>86</v>
      </c>
      <c r="E101" s="133" t="s">
        <v>135</v>
      </c>
      <c r="F101" s="134" t="s">
        <v>62</v>
      </c>
      <c r="G101" s="111">
        <v>27844.5</v>
      </c>
      <c r="H101" s="111"/>
      <c r="I101" s="111">
        <f>SUM(G101)+H101</f>
        <v>27844.5</v>
      </c>
      <c r="J101" s="115">
        <v>0</v>
      </c>
      <c r="K101" s="111"/>
      <c r="L101" s="115">
        <v>0</v>
      </c>
      <c r="M101" s="111">
        <f t="shared" ref="M101:O102" si="20">SUM(G101)</f>
        <v>27844.5</v>
      </c>
      <c r="N101" s="111">
        <f t="shared" si="20"/>
        <v>0</v>
      </c>
      <c r="O101" s="111">
        <f t="shared" si="20"/>
        <v>27844.5</v>
      </c>
      <c r="P101" s="97">
        <f t="shared" si="16"/>
        <v>27844.5</v>
      </c>
      <c r="Q101" s="97">
        <f t="shared" si="17"/>
        <v>0</v>
      </c>
    </row>
    <row r="102" spans="1:17" ht="31.5" x14ac:dyDescent="0.2">
      <c r="A102" s="40"/>
      <c r="B102" s="113" t="s">
        <v>40</v>
      </c>
      <c r="C102" s="113" t="s">
        <v>51</v>
      </c>
      <c r="D102" s="133" t="s">
        <v>86</v>
      </c>
      <c r="E102" s="133" t="s">
        <v>135</v>
      </c>
      <c r="F102" s="134" t="s">
        <v>41</v>
      </c>
      <c r="G102" s="111">
        <v>14653.6</v>
      </c>
      <c r="H102" s="111"/>
      <c r="I102" s="111">
        <f>SUM(G102)+H102</f>
        <v>14653.6</v>
      </c>
      <c r="J102" s="115">
        <v>0</v>
      </c>
      <c r="K102" s="111"/>
      <c r="L102" s="115">
        <v>0</v>
      </c>
      <c r="M102" s="111">
        <f t="shared" si="20"/>
        <v>14653.6</v>
      </c>
      <c r="N102" s="111">
        <f t="shared" si="20"/>
        <v>0</v>
      </c>
      <c r="O102" s="111">
        <f t="shared" si="20"/>
        <v>14653.6</v>
      </c>
      <c r="P102" s="97">
        <f t="shared" si="16"/>
        <v>14653.6</v>
      </c>
      <c r="Q102" s="97">
        <f t="shared" si="17"/>
        <v>0</v>
      </c>
    </row>
    <row r="103" spans="1:17" ht="15.75" x14ac:dyDescent="0.2">
      <c r="A103" s="40"/>
      <c r="B103" s="113" t="s">
        <v>70</v>
      </c>
      <c r="C103" s="113" t="s">
        <v>51</v>
      </c>
      <c r="D103" s="133" t="s">
        <v>86</v>
      </c>
      <c r="E103" s="133" t="s">
        <v>135</v>
      </c>
      <c r="F103" s="134" t="s">
        <v>71</v>
      </c>
      <c r="G103" s="111">
        <v>77.400000000000006</v>
      </c>
      <c r="H103" s="111"/>
      <c r="I103" s="111">
        <v>77.400000000000006</v>
      </c>
      <c r="J103" s="115">
        <v>0</v>
      </c>
      <c r="K103" s="111"/>
      <c r="L103" s="115">
        <v>0</v>
      </c>
      <c r="M103" s="111">
        <v>77.400000000000006</v>
      </c>
      <c r="N103" s="111"/>
      <c r="O103" s="111">
        <v>77.400000000000006</v>
      </c>
      <c r="P103" s="97">
        <f t="shared" si="16"/>
        <v>77.400000000000006</v>
      </c>
      <c r="Q103" s="97">
        <f t="shared" si="17"/>
        <v>0</v>
      </c>
    </row>
    <row r="104" spans="1:17" ht="31.5" x14ac:dyDescent="0.2">
      <c r="A104" s="40"/>
      <c r="B104" s="113" t="s">
        <v>136</v>
      </c>
      <c r="C104" s="113" t="s">
        <v>51</v>
      </c>
      <c r="D104" s="133" t="s">
        <v>86</v>
      </c>
      <c r="E104" s="133" t="s">
        <v>137</v>
      </c>
      <c r="F104" s="134" t="s">
        <v>11</v>
      </c>
      <c r="G104" s="111">
        <f>G105+G108</f>
        <v>13690.8</v>
      </c>
      <c r="H104" s="111">
        <f>H105+H108</f>
        <v>235.8</v>
      </c>
      <c r="I104" s="111">
        <f>I105+I108</f>
        <v>13926.6</v>
      </c>
      <c r="J104" s="114">
        <f>J105+J108</f>
        <v>0</v>
      </c>
      <c r="K104" s="111">
        <f>K105+K106</f>
        <v>0</v>
      </c>
      <c r="L104" s="114">
        <f>L105+L108</f>
        <v>0</v>
      </c>
      <c r="M104" s="111">
        <f>M105+M108</f>
        <v>13690.8</v>
      </c>
      <c r="N104" s="111">
        <f>N105+N108</f>
        <v>235.8</v>
      </c>
      <c r="O104" s="111">
        <f>O105+O108</f>
        <v>13926.6</v>
      </c>
      <c r="P104" s="97">
        <f t="shared" si="16"/>
        <v>13926.599999999999</v>
      </c>
      <c r="Q104" s="97">
        <f t="shared" si="17"/>
        <v>0</v>
      </c>
    </row>
    <row r="105" spans="1:17" ht="31.5" x14ac:dyDescent="0.2">
      <c r="A105" s="40"/>
      <c r="B105" s="113" t="s">
        <v>134</v>
      </c>
      <c r="C105" s="113" t="s">
        <v>51</v>
      </c>
      <c r="D105" s="133" t="s">
        <v>86</v>
      </c>
      <c r="E105" s="133" t="s">
        <v>138</v>
      </c>
      <c r="F105" s="134" t="s">
        <v>11</v>
      </c>
      <c r="G105" s="111">
        <f>G106+G107</f>
        <v>10245</v>
      </c>
      <c r="H105" s="111">
        <f>SUM(H106)+H107</f>
        <v>0</v>
      </c>
      <c r="I105" s="111">
        <f>I106+I107+H105</f>
        <v>10245</v>
      </c>
      <c r="J105" s="114">
        <f>J106+J107</f>
        <v>0</v>
      </c>
      <c r="K105" s="111"/>
      <c r="L105" s="114">
        <f>L106+L107</f>
        <v>0</v>
      </c>
      <c r="M105" s="111">
        <f>M106+M107</f>
        <v>10245</v>
      </c>
      <c r="N105" s="111">
        <f>SUM(N106)+N107</f>
        <v>0</v>
      </c>
      <c r="O105" s="111">
        <f>O106+O107+N105</f>
        <v>10245</v>
      </c>
      <c r="P105" s="97">
        <f t="shared" si="16"/>
        <v>10245</v>
      </c>
      <c r="Q105" s="97">
        <f t="shared" si="17"/>
        <v>0</v>
      </c>
    </row>
    <row r="106" spans="1:17" ht="78.75" x14ac:dyDescent="0.2">
      <c r="A106" s="40"/>
      <c r="B106" s="113" t="s">
        <v>61</v>
      </c>
      <c r="C106" s="113" t="s">
        <v>51</v>
      </c>
      <c r="D106" s="133" t="s">
        <v>86</v>
      </c>
      <c r="E106" s="133" t="s">
        <v>138</v>
      </c>
      <c r="F106" s="134" t="s">
        <v>62</v>
      </c>
      <c r="G106" s="111">
        <v>9545</v>
      </c>
      <c r="H106" s="111"/>
      <c r="I106" s="111">
        <f>SUM(G106)+H106</f>
        <v>9545</v>
      </c>
      <c r="J106" s="115">
        <v>0</v>
      </c>
      <c r="K106" s="111"/>
      <c r="L106" s="115">
        <v>0</v>
      </c>
      <c r="M106" s="111">
        <f>SUM(G106)</f>
        <v>9545</v>
      </c>
      <c r="N106" s="111">
        <f>SUM(H106)</f>
        <v>0</v>
      </c>
      <c r="O106" s="111">
        <f>SUM(I106)</f>
        <v>9545</v>
      </c>
      <c r="P106" s="97">
        <f t="shared" si="16"/>
        <v>9545</v>
      </c>
      <c r="Q106" s="97">
        <f t="shared" si="17"/>
        <v>0</v>
      </c>
    </row>
    <row r="107" spans="1:17" ht="31.5" x14ac:dyDescent="0.2">
      <c r="A107" s="40"/>
      <c r="B107" s="113" t="s">
        <v>40</v>
      </c>
      <c r="C107" s="113" t="s">
        <v>51</v>
      </c>
      <c r="D107" s="133" t="s">
        <v>86</v>
      </c>
      <c r="E107" s="133" t="s">
        <v>138</v>
      </c>
      <c r="F107" s="134" t="s">
        <v>41</v>
      </c>
      <c r="G107" s="111">
        <v>700</v>
      </c>
      <c r="H107" s="111"/>
      <c r="I107" s="111">
        <f>700+H107</f>
        <v>700</v>
      </c>
      <c r="J107" s="115">
        <v>0</v>
      </c>
      <c r="K107" s="111"/>
      <c r="L107" s="115">
        <v>0</v>
      </c>
      <c r="M107" s="111">
        <v>700</v>
      </c>
      <c r="N107" s="111">
        <f>SUM(H107)</f>
        <v>0</v>
      </c>
      <c r="O107" s="111">
        <f>SUM(I107)</f>
        <v>700</v>
      </c>
      <c r="P107" s="97">
        <f t="shared" si="16"/>
        <v>700</v>
      </c>
      <c r="Q107" s="97">
        <f t="shared" si="17"/>
        <v>0</v>
      </c>
    </row>
    <row r="108" spans="1:17" ht="47.25" x14ac:dyDescent="0.2">
      <c r="A108" s="40"/>
      <c r="B108" s="113" t="s">
        <v>139</v>
      </c>
      <c r="C108" s="113" t="s">
        <v>51</v>
      </c>
      <c r="D108" s="133" t="s">
        <v>86</v>
      </c>
      <c r="E108" s="133" t="s">
        <v>140</v>
      </c>
      <c r="F108" s="134" t="s">
        <v>11</v>
      </c>
      <c r="G108" s="111">
        <f>G109+G110</f>
        <v>3445.8</v>
      </c>
      <c r="H108" s="111">
        <f>SUM(H109)+H110</f>
        <v>235.8</v>
      </c>
      <c r="I108" s="111">
        <f>I109+I110</f>
        <v>3681.6000000000004</v>
      </c>
      <c r="J108" s="114">
        <f>J109+J110</f>
        <v>0</v>
      </c>
      <c r="K108" s="111"/>
      <c r="L108" s="114">
        <f>L109+L110</f>
        <v>0</v>
      </c>
      <c r="M108" s="111">
        <f>M109+M110</f>
        <v>3445.8</v>
      </c>
      <c r="N108" s="111">
        <f>N109+N110</f>
        <v>235.8</v>
      </c>
      <c r="O108" s="111">
        <f>O109+O110</f>
        <v>3681.6000000000004</v>
      </c>
      <c r="P108" s="97">
        <f t="shared" si="16"/>
        <v>3681.6000000000004</v>
      </c>
      <c r="Q108" s="97">
        <f t="shared" si="17"/>
        <v>0</v>
      </c>
    </row>
    <row r="109" spans="1:17" ht="31.5" x14ac:dyDescent="0.2">
      <c r="A109" s="40"/>
      <c r="B109" s="113" t="s">
        <v>40</v>
      </c>
      <c r="C109" s="113" t="s">
        <v>51</v>
      </c>
      <c r="D109" s="133" t="s">
        <v>86</v>
      </c>
      <c r="E109" s="133" t="s">
        <v>140</v>
      </c>
      <c r="F109" s="134" t="s">
        <v>41</v>
      </c>
      <c r="G109" s="111">
        <v>2360.9</v>
      </c>
      <c r="H109" s="111"/>
      <c r="I109" s="111">
        <f>SUM(G109)+H109</f>
        <v>2360.9</v>
      </c>
      <c r="J109" s="115">
        <v>0</v>
      </c>
      <c r="K109" s="111"/>
      <c r="L109" s="115">
        <v>0</v>
      </c>
      <c r="M109" s="111">
        <f t="shared" ref="M109:O110" si="21">SUM(G109)</f>
        <v>2360.9</v>
      </c>
      <c r="N109" s="111">
        <f t="shared" si="21"/>
        <v>0</v>
      </c>
      <c r="O109" s="111">
        <f t="shared" si="21"/>
        <v>2360.9</v>
      </c>
      <c r="P109" s="97">
        <f t="shared" si="16"/>
        <v>2360.9</v>
      </c>
      <c r="Q109" s="97">
        <f t="shared" si="17"/>
        <v>0</v>
      </c>
    </row>
    <row r="110" spans="1:17" ht="15.75" x14ac:dyDescent="0.2">
      <c r="A110" s="40"/>
      <c r="B110" s="113" t="s">
        <v>70</v>
      </c>
      <c r="C110" s="113" t="s">
        <v>51</v>
      </c>
      <c r="D110" s="133" t="s">
        <v>86</v>
      </c>
      <c r="E110" s="133" t="s">
        <v>140</v>
      </c>
      <c r="F110" s="134" t="s">
        <v>71</v>
      </c>
      <c r="G110" s="111">
        <v>1084.9000000000001</v>
      </c>
      <c r="H110" s="111">
        <v>235.8</v>
      </c>
      <c r="I110" s="111">
        <f>SUM(G110:H110)</f>
        <v>1320.7</v>
      </c>
      <c r="J110" s="115">
        <v>0</v>
      </c>
      <c r="K110" s="111"/>
      <c r="L110" s="115">
        <v>0</v>
      </c>
      <c r="M110" s="111">
        <f t="shared" si="21"/>
        <v>1084.9000000000001</v>
      </c>
      <c r="N110" s="111">
        <f t="shared" si="21"/>
        <v>235.8</v>
      </c>
      <c r="O110" s="111">
        <f t="shared" si="21"/>
        <v>1320.7</v>
      </c>
      <c r="P110" s="97">
        <f t="shared" si="16"/>
        <v>1320.7</v>
      </c>
      <c r="Q110" s="97">
        <f t="shared" si="17"/>
        <v>0</v>
      </c>
    </row>
    <row r="111" spans="1:17" ht="15.75" x14ac:dyDescent="0.2">
      <c r="A111" s="40"/>
      <c r="B111" s="113" t="s">
        <v>141</v>
      </c>
      <c r="C111" s="113" t="s">
        <v>51</v>
      </c>
      <c r="D111" s="133" t="s">
        <v>86</v>
      </c>
      <c r="E111" s="133" t="s">
        <v>142</v>
      </c>
      <c r="F111" s="134" t="s">
        <v>11</v>
      </c>
      <c r="G111" s="111">
        <f t="shared" ref="G111:O113" si="22">G112</f>
        <v>14.7</v>
      </c>
      <c r="H111" s="111">
        <f t="shared" si="22"/>
        <v>0</v>
      </c>
      <c r="I111" s="111">
        <f t="shared" si="22"/>
        <v>14.7</v>
      </c>
      <c r="J111" s="114">
        <f t="shared" si="22"/>
        <v>0</v>
      </c>
      <c r="K111" s="111">
        <f>K112</f>
        <v>0</v>
      </c>
      <c r="L111" s="114">
        <f t="shared" si="22"/>
        <v>0</v>
      </c>
      <c r="M111" s="111">
        <f t="shared" si="22"/>
        <v>14.7</v>
      </c>
      <c r="N111" s="111">
        <f t="shared" si="22"/>
        <v>0</v>
      </c>
      <c r="O111" s="111">
        <f t="shared" si="22"/>
        <v>14.7</v>
      </c>
      <c r="P111" s="97">
        <f t="shared" si="16"/>
        <v>14.7</v>
      </c>
      <c r="Q111" s="97">
        <f t="shared" si="17"/>
        <v>0</v>
      </c>
    </row>
    <row r="112" spans="1:17" ht="47.25" x14ac:dyDescent="0.2">
      <c r="A112" s="40"/>
      <c r="B112" s="113" t="s">
        <v>143</v>
      </c>
      <c r="C112" s="113" t="s">
        <v>51</v>
      </c>
      <c r="D112" s="133" t="s">
        <v>86</v>
      </c>
      <c r="E112" s="133" t="s">
        <v>144</v>
      </c>
      <c r="F112" s="134" t="s">
        <v>11</v>
      </c>
      <c r="G112" s="111">
        <f t="shared" si="22"/>
        <v>14.7</v>
      </c>
      <c r="H112" s="111">
        <f t="shared" si="22"/>
        <v>0</v>
      </c>
      <c r="I112" s="111">
        <f t="shared" si="22"/>
        <v>14.7</v>
      </c>
      <c r="J112" s="114">
        <f t="shared" si="22"/>
        <v>0</v>
      </c>
      <c r="K112" s="111">
        <f>K113</f>
        <v>0</v>
      </c>
      <c r="L112" s="114">
        <f t="shared" si="22"/>
        <v>0</v>
      </c>
      <c r="M112" s="111">
        <f t="shared" si="22"/>
        <v>14.7</v>
      </c>
      <c r="N112" s="111">
        <f t="shared" si="22"/>
        <v>0</v>
      </c>
      <c r="O112" s="111">
        <f t="shared" si="22"/>
        <v>14.7</v>
      </c>
      <c r="P112" s="97">
        <f t="shared" si="16"/>
        <v>14.7</v>
      </c>
      <c r="Q112" s="97">
        <f t="shared" si="17"/>
        <v>0</v>
      </c>
    </row>
    <row r="113" spans="1:17" ht="31.5" x14ac:dyDescent="0.2">
      <c r="A113" s="40"/>
      <c r="B113" s="113" t="s">
        <v>145</v>
      </c>
      <c r="C113" s="113" t="s">
        <v>51</v>
      </c>
      <c r="D113" s="133" t="s">
        <v>86</v>
      </c>
      <c r="E113" s="133" t="s">
        <v>146</v>
      </c>
      <c r="F113" s="134" t="s">
        <v>11</v>
      </c>
      <c r="G113" s="111">
        <f>G114</f>
        <v>14.7</v>
      </c>
      <c r="H113" s="111"/>
      <c r="I113" s="111">
        <f>I114</f>
        <v>14.7</v>
      </c>
      <c r="J113" s="114">
        <f t="shared" si="22"/>
        <v>0</v>
      </c>
      <c r="K113" s="111"/>
      <c r="L113" s="114">
        <f t="shared" si="22"/>
        <v>0</v>
      </c>
      <c r="M113" s="111">
        <f t="shared" si="22"/>
        <v>14.7</v>
      </c>
      <c r="N113" s="111">
        <f t="shared" si="22"/>
        <v>0</v>
      </c>
      <c r="O113" s="111">
        <f t="shared" si="22"/>
        <v>14.7</v>
      </c>
      <c r="P113" s="97">
        <f t="shared" si="16"/>
        <v>14.7</v>
      </c>
      <c r="Q113" s="97">
        <f t="shared" si="17"/>
        <v>0</v>
      </c>
    </row>
    <row r="114" spans="1:17" ht="31.5" x14ac:dyDescent="0.2">
      <c r="A114" s="40"/>
      <c r="B114" s="113" t="s">
        <v>40</v>
      </c>
      <c r="C114" s="113" t="s">
        <v>51</v>
      </c>
      <c r="D114" s="133" t="s">
        <v>86</v>
      </c>
      <c r="E114" s="133" t="s">
        <v>146</v>
      </c>
      <c r="F114" s="134" t="s">
        <v>41</v>
      </c>
      <c r="G114" s="111">
        <v>14.7</v>
      </c>
      <c r="H114" s="111"/>
      <c r="I114" s="111">
        <f>SUM(G114)</f>
        <v>14.7</v>
      </c>
      <c r="J114" s="115">
        <v>0</v>
      </c>
      <c r="K114" s="111">
        <f>K119</f>
        <v>0</v>
      </c>
      <c r="L114" s="115">
        <v>0</v>
      </c>
      <c r="M114" s="111">
        <f>SUM(G114)</f>
        <v>14.7</v>
      </c>
      <c r="N114" s="111">
        <f>SUM(H114)</f>
        <v>0</v>
      </c>
      <c r="O114" s="111">
        <f>SUM(I114)</f>
        <v>14.7</v>
      </c>
      <c r="P114" s="97">
        <f t="shared" si="16"/>
        <v>14.7</v>
      </c>
      <c r="Q114" s="97">
        <f t="shared" si="17"/>
        <v>0</v>
      </c>
    </row>
    <row r="115" spans="1:17" ht="31.5" x14ac:dyDescent="0.2">
      <c r="A115" s="40"/>
      <c r="B115" s="118" t="s">
        <v>66</v>
      </c>
      <c r="C115" s="118" t="s">
        <v>51</v>
      </c>
      <c r="D115" s="136" t="s">
        <v>86</v>
      </c>
      <c r="E115" s="136" t="s">
        <v>67</v>
      </c>
      <c r="F115" s="134"/>
      <c r="G115" s="111">
        <f t="shared" ref="G115:O117" si="23">G116</f>
        <v>210.2</v>
      </c>
      <c r="H115" s="120">
        <f t="shared" si="23"/>
        <v>103.9</v>
      </c>
      <c r="I115" s="114">
        <f t="shared" si="23"/>
        <v>314.10000000000002</v>
      </c>
      <c r="J115" s="114">
        <f t="shared" si="23"/>
        <v>0</v>
      </c>
      <c r="K115" s="114">
        <f t="shared" si="23"/>
        <v>0</v>
      </c>
      <c r="L115" s="114">
        <f t="shared" si="23"/>
        <v>0</v>
      </c>
      <c r="M115" s="114">
        <f t="shared" si="23"/>
        <v>210.2</v>
      </c>
      <c r="N115" s="119">
        <f t="shared" si="23"/>
        <v>103.9</v>
      </c>
      <c r="O115" s="111">
        <f t="shared" si="23"/>
        <v>314.10000000000002</v>
      </c>
      <c r="P115" s="97">
        <f t="shared" si="16"/>
        <v>314.10000000000002</v>
      </c>
      <c r="Q115" s="97">
        <f t="shared" si="17"/>
        <v>0</v>
      </c>
    </row>
    <row r="116" spans="1:17" ht="31.5" x14ac:dyDescent="0.2">
      <c r="A116" s="40"/>
      <c r="B116" s="118" t="s">
        <v>80</v>
      </c>
      <c r="C116" s="118" t="s">
        <v>51</v>
      </c>
      <c r="D116" s="136" t="s">
        <v>86</v>
      </c>
      <c r="E116" s="136" t="s">
        <v>81</v>
      </c>
      <c r="F116" s="134"/>
      <c r="G116" s="111">
        <f t="shared" si="23"/>
        <v>210.2</v>
      </c>
      <c r="H116" s="120">
        <f t="shared" si="23"/>
        <v>103.9</v>
      </c>
      <c r="I116" s="114">
        <f t="shared" si="23"/>
        <v>314.10000000000002</v>
      </c>
      <c r="J116" s="114">
        <f t="shared" si="23"/>
        <v>0</v>
      </c>
      <c r="K116" s="114">
        <f t="shared" si="23"/>
        <v>0</v>
      </c>
      <c r="L116" s="114">
        <f t="shared" si="23"/>
        <v>0</v>
      </c>
      <c r="M116" s="114">
        <f t="shared" si="23"/>
        <v>210.2</v>
      </c>
      <c r="N116" s="119">
        <f t="shared" si="23"/>
        <v>103.9</v>
      </c>
      <c r="O116" s="111">
        <f t="shared" si="23"/>
        <v>314.10000000000002</v>
      </c>
      <c r="P116" s="97">
        <f t="shared" si="16"/>
        <v>314.10000000000002</v>
      </c>
      <c r="Q116" s="97">
        <f t="shared" si="17"/>
        <v>0</v>
      </c>
    </row>
    <row r="117" spans="1:17" ht="31.5" x14ac:dyDescent="0.2">
      <c r="A117" s="40"/>
      <c r="B117" s="118" t="s">
        <v>82</v>
      </c>
      <c r="C117" s="118" t="s">
        <v>51</v>
      </c>
      <c r="D117" s="136" t="s">
        <v>86</v>
      </c>
      <c r="E117" s="136" t="s">
        <v>83</v>
      </c>
      <c r="F117" s="134"/>
      <c r="G117" s="111">
        <f t="shared" si="23"/>
        <v>210.2</v>
      </c>
      <c r="H117" s="120">
        <f t="shared" si="23"/>
        <v>103.9</v>
      </c>
      <c r="I117" s="114">
        <f t="shared" si="23"/>
        <v>314.10000000000002</v>
      </c>
      <c r="J117" s="114">
        <f t="shared" si="23"/>
        <v>0</v>
      </c>
      <c r="K117" s="114">
        <f t="shared" si="23"/>
        <v>0</v>
      </c>
      <c r="L117" s="114">
        <f t="shared" si="23"/>
        <v>0</v>
      </c>
      <c r="M117" s="114">
        <f t="shared" si="23"/>
        <v>210.2</v>
      </c>
      <c r="N117" s="119">
        <f t="shared" si="23"/>
        <v>103.9</v>
      </c>
      <c r="O117" s="111">
        <f t="shared" si="23"/>
        <v>314.10000000000002</v>
      </c>
      <c r="P117" s="97">
        <f t="shared" si="16"/>
        <v>314.10000000000002</v>
      </c>
      <c r="Q117" s="97">
        <f t="shared" si="17"/>
        <v>0</v>
      </c>
    </row>
    <row r="118" spans="1:17" ht="31.5" x14ac:dyDescent="0.2">
      <c r="A118" s="40"/>
      <c r="B118" s="113" t="s">
        <v>40</v>
      </c>
      <c r="C118" s="118" t="s">
        <v>51</v>
      </c>
      <c r="D118" s="136" t="s">
        <v>86</v>
      </c>
      <c r="E118" s="136" t="s">
        <v>83</v>
      </c>
      <c r="F118" s="134">
        <v>200</v>
      </c>
      <c r="G118" s="111">
        <v>210.2</v>
      </c>
      <c r="H118" s="111">
        <f>52.7+51.2</f>
        <v>103.9</v>
      </c>
      <c r="I118" s="111">
        <f>SUM(G118:H118)</f>
        <v>314.10000000000002</v>
      </c>
      <c r="J118" s="115"/>
      <c r="K118" s="111"/>
      <c r="L118" s="115"/>
      <c r="M118" s="111">
        <f>G118+J118</f>
        <v>210.2</v>
      </c>
      <c r="N118" s="111">
        <f>H118+K118</f>
        <v>103.9</v>
      </c>
      <c r="O118" s="111">
        <f>SUM(M118:N118)</f>
        <v>314.10000000000002</v>
      </c>
      <c r="P118" s="97">
        <f t="shared" si="16"/>
        <v>314.10000000000002</v>
      </c>
      <c r="Q118" s="97">
        <f t="shared" si="17"/>
        <v>0</v>
      </c>
    </row>
    <row r="119" spans="1:17" ht="34.9" customHeight="1" x14ac:dyDescent="0.2">
      <c r="A119" s="40"/>
      <c r="B119" s="113" t="s">
        <v>147</v>
      </c>
      <c r="C119" s="113" t="s">
        <v>51</v>
      </c>
      <c r="D119" s="133" t="s">
        <v>86</v>
      </c>
      <c r="E119" s="133" t="s">
        <v>148</v>
      </c>
      <c r="F119" s="134" t="s">
        <v>11</v>
      </c>
      <c r="G119" s="111">
        <f t="shared" ref="G119:O121" si="24">G120</f>
        <v>1356.3</v>
      </c>
      <c r="H119" s="111">
        <f t="shared" si="24"/>
        <v>579.5</v>
      </c>
      <c r="I119" s="111">
        <f t="shared" si="24"/>
        <v>1935.8</v>
      </c>
      <c r="J119" s="114">
        <f t="shared" si="24"/>
        <v>0</v>
      </c>
      <c r="K119" s="111">
        <f>K120</f>
        <v>0</v>
      </c>
      <c r="L119" s="114">
        <f t="shared" si="24"/>
        <v>0</v>
      </c>
      <c r="M119" s="111">
        <f t="shared" si="24"/>
        <v>1356.3</v>
      </c>
      <c r="N119" s="111">
        <f t="shared" si="24"/>
        <v>579.5</v>
      </c>
      <c r="O119" s="111">
        <f t="shared" si="24"/>
        <v>1935.8</v>
      </c>
      <c r="P119" s="97">
        <f t="shared" si="16"/>
        <v>1935.8</v>
      </c>
      <c r="Q119" s="97">
        <f t="shared" si="17"/>
        <v>0</v>
      </c>
    </row>
    <row r="120" spans="1:17" ht="31.5" x14ac:dyDescent="0.2">
      <c r="A120" s="40"/>
      <c r="B120" s="113" t="s">
        <v>149</v>
      </c>
      <c r="C120" s="113" t="s">
        <v>51</v>
      </c>
      <c r="D120" s="133" t="s">
        <v>86</v>
      </c>
      <c r="E120" s="133" t="s">
        <v>150</v>
      </c>
      <c r="F120" s="134" t="s">
        <v>11</v>
      </c>
      <c r="G120" s="111">
        <f t="shared" si="24"/>
        <v>1356.3</v>
      </c>
      <c r="H120" s="111">
        <f t="shared" si="24"/>
        <v>579.5</v>
      </c>
      <c r="I120" s="111">
        <f t="shared" si="24"/>
        <v>1935.8</v>
      </c>
      <c r="J120" s="114">
        <f t="shared" si="24"/>
        <v>0</v>
      </c>
      <c r="K120" s="111">
        <f>K121</f>
        <v>0</v>
      </c>
      <c r="L120" s="114">
        <f t="shared" si="24"/>
        <v>0</v>
      </c>
      <c r="M120" s="111">
        <f t="shared" si="24"/>
        <v>1356.3</v>
      </c>
      <c r="N120" s="111">
        <f t="shared" si="24"/>
        <v>579.5</v>
      </c>
      <c r="O120" s="111">
        <f t="shared" si="24"/>
        <v>1935.8</v>
      </c>
      <c r="P120" s="97">
        <f t="shared" si="16"/>
        <v>1935.8</v>
      </c>
      <c r="Q120" s="97">
        <f t="shared" si="17"/>
        <v>0</v>
      </c>
    </row>
    <row r="121" spans="1:17" ht="31.5" x14ac:dyDescent="0.2">
      <c r="A121" s="40"/>
      <c r="B121" s="113" t="s">
        <v>151</v>
      </c>
      <c r="C121" s="113" t="s">
        <v>51</v>
      </c>
      <c r="D121" s="133" t="s">
        <v>86</v>
      </c>
      <c r="E121" s="133" t="s">
        <v>152</v>
      </c>
      <c r="F121" s="134" t="s">
        <v>11</v>
      </c>
      <c r="G121" s="111">
        <f>G122</f>
        <v>1356.3</v>
      </c>
      <c r="H121" s="111">
        <f>SUM(H122)</f>
        <v>579.5</v>
      </c>
      <c r="I121" s="111">
        <f>I122</f>
        <v>1935.8</v>
      </c>
      <c r="J121" s="114">
        <f t="shared" si="24"/>
        <v>0</v>
      </c>
      <c r="K121" s="111"/>
      <c r="L121" s="114">
        <f t="shared" si="24"/>
        <v>0</v>
      </c>
      <c r="M121" s="111">
        <f t="shared" si="24"/>
        <v>1356.3</v>
      </c>
      <c r="N121" s="111">
        <f t="shared" si="24"/>
        <v>579.5</v>
      </c>
      <c r="O121" s="111">
        <f t="shared" si="24"/>
        <v>1935.8</v>
      </c>
      <c r="P121" s="97">
        <f t="shared" si="16"/>
        <v>1935.8</v>
      </c>
      <c r="Q121" s="97">
        <f t="shared" si="17"/>
        <v>0</v>
      </c>
    </row>
    <row r="122" spans="1:17" ht="22.5" customHeight="1" x14ac:dyDescent="0.2">
      <c r="A122" s="40"/>
      <c r="B122" s="113" t="s">
        <v>70</v>
      </c>
      <c r="C122" s="113" t="s">
        <v>51</v>
      </c>
      <c r="D122" s="133" t="s">
        <v>86</v>
      </c>
      <c r="E122" s="133" t="s">
        <v>152</v>
      </c>
      <c r="F122" s="134" t="s">
        <v>71</v>
      </c>
      <c r="G122" s="111">
        <v>1356.3</v>
      </c>
      <c r="H122" s="111">
        <f>844.2-301.5+272.6-235.8</f>
        <v>579.5</v>
      </c>
      <c r="I122" s="111">
        <f>SUM(G122)+H122</f>
        <v>1935.8</v>
      </c>
      <c r="J122" s="115">
        <v>0</v>
      </c>
      <c r="K122" s="106">
        <f>K123+K159</f>
        <v>0</v>
      </c>
      <c r="L122" s="115">
        <v>0</v>
      </c>
      <c r="M122" s="111">
        <f>SUM(G122)</f>
        <v>1356.3</v>
      </c>
      <c r="N122" s="111">
        <f>SUM(H122)</f>
        <v>579.5</v>
      </c>
      <c r="O122" s="111">
        <f>SUM(I122)</f>
        <v>1935.8</v>
      </c>
      <c r="P122" s="97">
        <f t="shared" si="16"/>
        <v>1935.8</v>
      </c>
      <c r="Q122" s="97">
        <f t="shared" si="17"/>
        <v>0</v>
      </c>
    </row>
    <row r="123" spans="1:17" ht="31.5" x14ac:dyDescent="0.2">
      <c r="A123" s="20" t="s">
        <v>153</v>
      </c>
      <c r="B123" s="107" t="s">
        <v>154</v>
      </c>
      <c r="C123" s="107" t="s">
        <v>51</v>
      </c>
      <c r="D123" s="129" t="s">
        <v>155</v>
      </c>
      <c r="E123" s="133" t="s">
        <v>11</v>
      </c>
      <c r="F123" s="134" t="s">
        <v>11</v>
      </c>
      <c r="G123" s="106">
        <f>G130+G160+G124</f>
        <v>48762.1</v>
      </c>
      <c r="H123" s="109">
        <f>SUM(H124)+H130+H160</f>
        <v>0</v>
      </c>
      <c r="I123" s="106">
        <f>I130+I160+I124</f>
        <v>48762.1</v>
      </c>
      <c r="J123" s="108">
        <f>J130+J160</f>
        <v>0</v>
      </c>
      <c r="K123" s="109">
        <f>K130</f>
        <v>0</v>
      </c>
      <c r="L123" s="108">
        <f>L130+L160</f>
        <v>0</v>
      </c>
      <c r="M123" s="106">
        <f>M130+M160+M124</f>
        <v>48762.1</v>
      </c>
      <c r="N123" s="106">
        <f t="shared" ref="N123:N129" si="25">SUM(H123)</f>
        <v>0</v>
      </c>
      <c r="O123" s="170">
        <f>O130+O160+O124</f>
        <v>48762.1</v>
      </c>
      <c r="P123" s="97">
        <f t="shared" si="16"/>
        <v>48762.1</v>
      </c>
      <c r="Q123" s="97">
        <f t="shared" si="17"/>
        <v>0</v>
      </c>
    </row>
    <row r="124" spans="1:17" ht="15.75" x14ac:dyDescent="0.2">
      <c r="A124" s="20"/>
      <c r="B124" s="116" t="s">
        <v>556</v>
      </c>
      <c r="C124" s="110">
        <v>992</v>
      </c>
      <c r="D124" s="137" t="s">
        <v>555</v>
      </c>
      <c r="E124" s="133"/>
      <c r="F124" s="134"/>
      <c r="G124" s="114">
        <f>G125</f>
        <v>1084.9000000000001</v>
      </c>
      <c r="H124" s="109">
        <f>H125</f>
        <v>0</v>
      </c>
      <c r="I124" s="109">
        <f>SUM(I128)</f>
        <v>1084.9000000000001</v>
      </c>
      <c r="J124" s="112"/>
      <c r="K124" s="109"/>
      <c r="L124" s="112"/>
      <c r="M124" s="109">
        <f>SUM(G124)</f>
        <v>1084.9000000000001</v>
      </c>
      <c r="N124" s="109">
        <f t="shared" si="25"/>
        <v>0</v>
      </c>
      <c r="O124" s="109">
        <f>SUM(I124)</f>
        <v>1084.9000000000001</v>
      </c>
      <c r="P124" s="97">
        <f t="shared" si="16"/>
        <v>1084.9000000000001</v>
      </c>
      <c r="Q124" s="97">
        <f t="shared" si="17"/>
        <v>0</v>
      </c>
    </row>
    <row r="125" spans="1:17" ht="31.5" x14ac:dyDescent="0.2">
      <c r="A125" s="20"/>
      <c r="B125" s="113" t="s">
        <v>159</v>
      </c>
      <c r="C125" s="113" t="s">
        <v>51</v>
      </c>
      <c r="D125" s="136" t="s">
        <v>555</v>
      </c>
      <c r="E125" s="133" t="s">
        <v>160</v>
      </c>
      <c r="F125" s="134"/>
      <c r="G125" s="114">
        <f>G126</f>
        <v>1084.9000000000001</v>
      </c>
      <c r="H125" s="114">
        <f>H126</f>
        <v>0</v>
      </c>
      <c r="I125" s="114">
        <f>I126</f>
        <v>1084.9000000000001</v>
      </c>
      <c r="J125" s="114">
        <f t="shared" ref="J125:O125" si="26">J126</f>
        <v>0</v>
      </c>
      <c r="K125" s="114">
        <f t="shared" si="26"/>
        <v>0</v>
      </c>
      <c r="L125" s="114">
        <f t="shared" si="26"/>
        <v>0</v>
      </c>
      <c r="M125" s="114">
        <f t="shared" si="26"/>
        <v>1084.9000000000001</v>
      </c>
      <c r="N125" s="114">
        <f t="shared" si="26"/>
        <v>0</v>
      </c>
      <c r="O125" s="114">
        <f t="shared" si="26"/>
        <v>1084.9000000000001</v>
      </c>
      <c r="P125" s="97">
        <f t="shared" si="16"/>
        <v>1084.9000000000001</v>
      </c>
      <c r="Q125" s="97">
        <f t="shared" si="17"/>
        <v>0</v>
      </c>
    </row>
    <row r="126" spans="1:17" ht="31.5" x14ac:dyDescent="0.2">
      <c r="A126" s="20"/>
      <c r="B126" s="138" t="s">
        <v>159</v>
      </c>
      <c r="C126" s="113">
        <v>992</v>
      </c>
      <c r="D126" s="139" t="s">
        <v>555</v>
      </c>
      <c r="E126" s="136" t="s">
        <v>162</v>
      </c>
      <c r="F126" s="134"/>
      <c r="G126" s="111">
        <v>1084.9000000000001</v>
      </c>
      <c r="H126" s="117">
        <f>H127</f>
        <v>0</v>
      </c>
      <c r="I126" s="117">
        <f>SUM(I128)</f>
        <v>1084.9000000000001</v>
      </c>
      <c r="J126" s="114"/>
      <c r="K126" s="117"/>
      <c r="L126" s="114"/>
      <c r="M126" s="111">
        <f>SUM(G126)</f>
        <v>1084.9000000000001</v>
      </c>
      <c r="N126" s="111">
        <f t="shared" si="25"/>
        <v>0</v>
      </c>
      <c r="O126" s="111">
        <f>SUM(I126)</f>
        <v>1084.9000000000001</v>
      </c>
      <c r="P126" s="97">
        <f t="shared" si="16"/>
        <v>1084.9000000000001</v>
      </c>
      <c r="Q126" s="97">
        <f t="shared" si="17"/>
        <v>0</v>
      </c>
    </row>
    <row r="127" spans="1:17" ht="63" x14ac:dyDescent="0.2">
      <c r="A127" s="20"/>
      <c r="B127" s="138" t="s">
        <v>161</v>
      </c>
      <c r="C127" s="113">
        <v>992</v>
      </c>
      <c r="D127" s="139" t="s">
        <v>555</v>
      </c>
      <c r="E127" s="136" t="s">
        <v>558</v>
      </c>
      <c r="F127" s="134"/>
      <c r="G127" s="111">
        <v>1084.9000000000001</v>
      </c>
      <c r="H127" s="117">
        <f>SUM(H129)</f>
        <v>0</v>
      </c>
      <c r="I127" s="117">
        <f>SUM(I129)</f>
        <v>1084.9000000000001</v>
      </c>
      <c r="J127" s="114"/>
      <c r="K127" s="117"/>
      <c r="L127" s="114"/>
      <c r="M127" s="111">
        <f>SUM(G127)</f>
        <v>1084.9000000000001</v>
      </c>
      <c r="N127" s="111">
        <f t="shared" si="25"/>
        <v>0</v>
      </c>
      <c r="O127" s="111">
        <f>SUM(I127)</f>
        <v>1084.9000000000001</v>
      </c>
      <c r="P127" s="97">
        <f t="shared" si="16"/>
        <v>1084.9000000000001</v>
      </c>
      <c r="Q127" s="97">
        <f t="shared" si="17"/>
        <v>0</v>
      </c>
    </row>
    <row r="128" spans="1:17" ht="31.5" x14ac:dyDescent="0.2">
      <c r="A128" s="20"/>
      <c r="B128" s="138" t="s">
        <v>557</v>
      </c>
      <c r="C128" s="113">
        <v>992</v>
      </c>
      <c r="D128" s="139" t="s">
        <v>555</v>
      </c>
      <c r="E128" s="136" t="s">
        <v>554</v>
      </c>
      <c r="F128" s="134"/>
      <c r="G128" s="111">
        <v>1084.9000000000001</v>
      </c>
      <c r="H128" s="117">
        <f>H129</f>
        <v>0</v>
      </c>
      <c r="I128" s="111">
        <f>SUM(G128)+H128</f>
        <v>1084.9000000000001</v>
      </c>
      <c r="J128" s="114"/>
      <c r="K128" s="117"/>
      <c r="L128" s="114"/>
      <c r="M128" s="111">
        <f>SUM(G128)</f>
        <v>1084.9000000000001</v>
      </c>
      <c r="N128" s="111">
        <f t="shared" si="25"/>
        <v>0</v>
      </c>
      <c r="O128" s="111">
        <f>SUM(I128)</f>
        <v>1084.9000000000001</v>
      </c>
      <c r="P128" s="97">
        <f t="shared" si="16"/>
        <v>1084.9000000000001</v>
      </c>
      <c r="Q128" s="97">
        <f t="shared" si="17"/>
        <v>0</v>
      </c>
    </row>
    <row r="129" spans="1:18" ht="31.5" x14ac:dyDescent="0.2">
      <c r="A129" s="20"/>
      <c r="B129" s="113" t="s">
        <v>40</v>
      </c>
      <c r="C129" s="113">
        <v>992</v>
      </c>
      <c r="D129" s="139" t="s">
        <v>555</v>
      </c>
      <c r="E129" s="136" t="s">
        <v>554</v>
      </c>
      <c r="F129" s="134">
        <v>200</v>
      </c>
      <c r="G129" s="111">
        <v>1084.9000000000001</v>
      </c>
      <c r="H129" s="117"/>
      <c r="I129" s="111">
        <f>SUM(G129)+H129</f>
        <v>1084.9000000000001</v>
      </c>
      <c r="J129" s="114"/>
      <c r="K129" s="117"/>
      <c r="L129" s="114"/>
      <c r="M129" s="111">
        <f>SUM(G129)</f>
        <v>1084.9000000000001</v>
      </c>
      <c r="N129" s="111">
        <f t="shared" si="25"/>
        <v>0</v>
      </c>
      <c r="O129" s="111">
        <f>SUM(I129)</f>
        <v>1084.9000000000001</v>
      </c>
      <c r="P129" s="97">
        <f t="shared" si="16"/>
        <v>1084.9000000000001</v>
      </c>
      <c r="Q129" s="97">
        <f t="shared" si="17"/>
        <v>0</v>
      </c>
    </row>
    <row r="130" spans="1:18" ht="63" x14ac:dyDescent="0.2">
      <c r="A130" s="33" t="s">
        <v>156</v>
      </c>
      <c r="B130" s="110" t="s">
        <v>157</v>
      </c>
      <c r="C130" s="110" t="s">
        <v>51</v>
      </c>
      <c r="D130" s="131" t="s">
        <v>158</v>
      </c>
      <c r="E130" s="131" t="s">
        <v>11</v>
      </c>
      <c r="F130" s="132" t="s">
        <v>11</v>
      </c>
      <c r="G130" s="109">
        <f>G131+G148</f>
        <v>40500.5</v>
      </c>
      <c r="H130" s="109">
        <f>H131+H148</f>
        <v>0</v>
      </c>
      <c r="I130" s="109">
        <f>I131+I148</f>
        <v>40500.5</v>
      </c>
      <c r="J130" s="112">
        <f>J131</f>
        <v>0</v>
      </c>
      <c r="K130" s="111">
        <f>K131+K147+K155</f>
        <v>0</v>
      </c>
      <c r="L130" s="112">
        <f>L131</f>
        <v>0</v>
      </c>
      <c r="M130" s="109">
        <f>M131+M148</f>
        <v>40500.5</v>
      </c>
      <c r="N130" s="109">
        <f>SUM(H130)</f>
        <v>0</v>
      </c>
      <c r="O130" s="169">
        <f>O131+O148</f>
        <v>40500.5</v>
      </c>
      <c r="P130" s="97">
        <f t="shared" si="16"/>
        <v>40500.5</v>
      </c>
      <c r="Q130" s="97">
        <f t="shared" si="17"/>
        <v>0</v>
      </c>
      <c r="R130" s="168"/>
    </row>
    <row r="131" spans="1:18" ht="31.5" x14ac:dyDescent="0.2">
      <c r="A131" s="40"/>
      <c r="B131" s="113" t="s">
        <v>159</v>
      </c>
      <c r="C131" s="113" t="s">
        <v>51</v>
      </c>
      <c r="D131" s="133" t="s">
        <v>158</v>
      </c>
      <c r="E131" s="133" t="s">
        <v>160</v>
      </c>
      <c r="F131" s="134" t="s">
        <v>11</v>
      </c>
      <c r="G131" s="111">
        <f>G132+G152+G156</f>
        <v>39660.199999999997</v>
      </c>
      <c r="H131" s="111">
        <f>H132+H152+H156</f>
        <v>0</v>
      </c>
      <c r="I131" s="111">
        <f>I132+I152+I156</f>
        <v>39660.199999999997</v>
      </c>
      <c r="J131" s="114">
        <f>J132+J152+J156</f>
        <v>0</v>
      </c>
      <c r="K131" s="111">
        <f>K132+K141+K144</f>
        <v>0</v>
      </c>
      <c r="L131" s="114">
        <f>L132+L152+L156</f>
        <v>0</v>
      </c>
      <c r="M131" s="111">
        <f>M132+M152+M156</f>
        <v>39660.199999999997</v>
      </c>
      <c r="N131" s="111">
        <f>N132+N152+N156</f>
        <v>0</v>
      </c>
      <c r="O131" s="111">
        <f>O132+O152+O156</f>
        <v>39660.199999999997</v>
      </c>
      <c r="P131" s="97">
        <f t="shared" si="16"/>
        <v>39660.199999999997</v>
      </c>
      <c r="Q131" s="97">
        <f t="shared" si="17"/>
        <v>0</v>
      </c>
    </row>
    <row r="132" spans="1:18" ht="63" x14ac:dyDescent="0.2">
      <c r="A132" s="40"/>
      <c r="B132" s="113" t="s">
        <v>161</v>
      </c>
      <c r="C132" s="113" t="s">
        <v>51</v>
      </c>
      <c r="D132" s="133" t="s">
        <v>158</v>
      </c>
      <c r="E132" s="133" t="s">
        <v>162</v>
      </c>
      <c r="F132" s="134" t="s">
        <v>11</v>
      </c>
      <c r="G132" s="111">
        <f>G133+G142+G145</f>
        <v>35562.9</v>
      </c>
      <c r="H132" s="111">
        <f>H133+H142+H145</f>
        <v>0</v>
      </c>
      <c r="I132" s="111">
        <f>I133+I142+I145</f>
        <v>35562.9</v>
      </c>
      <c r="J132" s="114">
        <f>J133+J142+J145</f>
        <v>0</v>
      </c>
      <c r="K132" s="111">
        <f>K133+K137+K139</f>
        <v>0</v>
      </c>
      <c r="L132" s="114">
        <f>L133+L142+L145</f>
        <v>0</v>
      </c>
      <c r="M132" s="111">
        <f>M133+M142+M145</f>
        <v>35562.9</v>
      </c>
      <c r="N132" s="111">
        <f>N133+N142+N145</f>
        <v>0</v>
      </c>
      <c r="O132" s="111">
        <f>O133+O142+O145</f>
        <v>35562.9</v>
      </c>
      <c r="P132" s="97">
        <f t="shared" si="16"/>
        <v>35562.9</v>
      </c>
      <c r="Q132" s="97">
        <f t="shared" si="17"/>
        <v>0</v>
      </c>
    </row>
    <row r="133" spans="1:18" ht="63" x14ac:dyDescent="0.2">
      <c r="A133" s="40"/>
      <c r="B133" s="113" t="s">
        <v>163</v>
      </c>
      <c r="C133" s="113" t="s">
        <v>51</v>
      </c>
      <c r="D133" s="133" t="s">
        <v>158</v>
      </c>
      <c r="E133" s="133" t="s">
        <v>164</v>
      </c>
      <c r="F133" s="134" t="s">
        <v>11</v>
      </c>
      <c r="G133" s="111">
        <f>G134+G138+G140</f>
        <v>18636.099999999999</v>
      </c>
      <c r="H133" s="111">
        <f>SUM(H134+H138)+H140</f>
        <v>0</v>
      </c>
      <c r="I133" s="111">
        <f>I134+I138+I140</f>
        <v>18636.099999999999</v>
      </c>
      <c r="J133" s="114">
        <f>J134+J138+J140</f>
        <v>0</v>
      </c>
      <c r="K133" s="111">
        <f>K134+K135+K136</f>
        <v>0</v>
      </c>
      <c r="L133" s="114">
        <f>L134+L138+L140</f>
        <v>0</v>
      </c>
      <c r="M133" s="111">
        <f>M134+M138+M140</f>
        <v>18636.099999999999</v>
      </c>
      <c r="N133" s="111">
        <f>N134+N138+N140</f>
        <v>0</v>
      </c>
      <c r="O133" s="111">
        <f>O134+O138+O140</f>
        <v>18636.099999999999</v>
      </c>
      <c r="P133" s="97">
        <f t="shared" si="16"/>
        <v>18636.099999999999</v>
      </c>
      <c r="Q133" s="97">
        <f t="shared" si="17"/>
        <v>0</v>
      </c>
    </row>
    <row r="134" spans="1:18" ht="31.5" x14ac:dyDescent="0.2">
      <c r="A134" s="40"/>
      <c r="B134" s="113" t="s">
        <v>134</v>
      </c>
      <c r="C134" s="113" t="s">
        <v>51</v>
      </c>
      <c r="D134" s="133" t="s">
        <v>158</v>
      </c>
      <c r="E134" s="133" t="s">
        <v>165</v>
      </c>
      <c r="F134" s="134" t="s">
        <v>11</v>
      </c>
      <c r="G134" s="111">
        <f>G135+G136+G137</f>
        <v>11968.5</v>
      </c>
      <c r="H134" s="111">
        <f>SUM(H135+H136)</f>
        <v>0</v>
      </c>
      <c r="I134" s="111">
        <f>I135+I136+I137</f>
        <v>11968.5</v>
      </c>
      <c r="J134" s="114">
        <f>J135+J136+J137</f>
        <v>0</v>
      </c>
      <c r="K134" s="111"/>
      <c r="L134" s="114">
        <f>L135+L136+L137</f>
        <v>0</v>
      </c>
      <c r="M134" s="111">
        <f>SUM(G134)</f>
        <v>11968.5</v>
      </c>
      <c r="N134" s="111">
        <f>N135+N136+N137</f>
        <v>0</v>
      </c>
      <c r="O134" s="111">
        <f>SUM(I134)</f>
        <v>11968.5</v>
      </c>
      <c r="P134" s="97">
        <f t="shared" si="16"/>
        <v>11968.5</v>
      </c>
      <c r="Q134" s="97">
        <f t="shared" si="17"/>
        <v>0</v>
      </c>
    </row>
    <row r="135" spans="1:18" ht="42" customHeight="1" x14ac:dyDescent="0.2">
      <c r="A135" s="40"/>
      <c r="B135" s="113" t="s">
        <v>61</v>
      </c>
      <c r="C135" s="113" t="s">
        <v>51</v>
      </c>
      <c r="D135" s="133" t="s">
        <v>158</v>
      </c>
      <c r="E135" s="133" t="s">
        <v>165</v>
      </c>
      <c r="F135" s="134" t="s">
        <v>62</v>
      </c>
      <c r="G135" s="111">
        <v>10420.200000000001</v>
      </c>
      <c r="H135" s="111"/>
      <c r="I135" s="111">
        <f>SUM(G135)+H135</f>
        <v>10420.200000000001</v>
      </c>
      <c r="J135" s="115">
        <v>0</v>
      </c>
      <c r="K135" s="111"/>
      <c r="L135" s="115">
        <v>0</v>
      </c>
      <c r="M135" s="111">
        <f>SUM(G135)</f>
        <v>10420.200000000001</v>
      </c>
      <c r="N135" s="111">
        <f>SUM(H135)</f>
        <v>0</v>
      </c>
      <c r="O135" s="111">
        <f>SUM(I135)</f>
        <v>10420.200000000001</v>
      </c>
      <c r="P135" s="97">
        <f t="shared" si="16"/>
        <v>10420.200000000001</v>
      </c>
      <c r="Q135" s="97">
        <f t="shared" si="17"/>
        <v>0</v>
      </c>
    </row>
    <row r="136" spans="1:18" ht="31.5" x14ac:dyDescent="0.2">
      <c r="A136" s="40"/>
      <c r="B136" s="113" t="s">
        <v>40</v>
      </c>
      <c r="C136" s="113" t="s">
        <v>51</v>
      </c>
      <c r="D136" s="133" t="s">
        <v>158</v>
      </c>
      <c r="E136" s="133" t="s">
        <v>165</v>
      </c>
      <c r="F136" s="134" t="s">
        <v>41</v>
      </c>
      <c r="G136" s="111">
        <v>1525.3</v>
      </c>
      <c r="H136" s="111"/>
      <c r="I136" s="111">
        <f>SUM(G136)+H136</f>
        <v>1525.3</v>
      </c>
      <c r="J136" s="115">
        <v>0</v>
      </c>
      <c r="K136" s="111"/>
      <c r="L136" s="115">
        <v>0</v>
      </c>
      <c r="M136" s="111">
        <f>SUM(G136)</f>
        <v>1525.3</v>
      </c>
      <c r="N136" s="111">
        <f>SUM(H136)</f>
        <v>0</v>
      </c>
      <c r="O136" s="111">
        <f>SUM(I136)</f>
        <v>1525.3</v>
      </c>
      <c r="P136" s="97">
        <f t="shared" si="16"/>
        <v>1525.3</v>
      </c>
      <c r="Q136" s="97">
        <f t="shared" si="17"/>
        <v>0</v>
      </c>
    </row>
    <row r="137" spans="1:18" ht="15.75" x14ac:dyDescent="0.2">
      <c r="A137" s="40"/>
      <c r="B137" s="113" t="s">
        <v>70</v>
      </c>
      <c r="C137" s="113" t="s">
        <v>51</v>
      </c>
      <c r="D137" s="133" t="s">
        <v>158</v>
      </c>
      <c r="E137" s="133" t="s">
        <v>165</v>
      </c>
      <c r="F137" s="134" t="s">
        <v>71</v>
      </c>
      <c r="G137" s="111">
        <v>23</v>
      </c>
      <c r="H137" s="111"/>
      <c r="I137" s="111">
        <v>23</v>
      </c>
      <c r="J137" s="115">
        <v>0</v>
      </c>
      <c r="K137" s="111"/>
      <c r="L137" s="115">
        <v>0</v>
      </c>
      <c r="M137" s="111">
        <v>23</v>
      </c>
      <c r="N137" s="111"/>
      <c r="O137" s="111">
        <v>23</v>
      </c>
      <c r="P137" s="97">
        <f t="shared" si="16"/>
        <v>23</v>
      </c>
      <c r="Q137" s="97">
        <f t="shared" si="17"/>
        <v>0</v>
      </c>
    </row>
    <row r="138" spans="1:18" ht="63" x14ac:dyDescent="0.2">
      <c r="A138" s="40"/>
      <c r="B138" s="113" t="s">
        <v>166</v>
      </c>
      <c r="C138" s="113" t="s">
        <v>51</v>
      </c>
      <c r="D138" s="133" t="s">
        <v>158</v>
      </c>
      <c r="E138" s="133" t="s">
        <v>167</v>
      </c>
      <c r="F138" s="134" t="s">
        <v>11</v>
      </c>
      <c r="G138" s="111">
        <f>G139</f>
        <v>5667.6</v>
      </c>
      <c r="H138" s="111">
        <f>SUM(H139)</f>
        <v>0</v>
      </c>
      <c r="I138" s="111">
        <f>I139</f>
        <v>5667.6</v>
      </c>
      <c r="J138" s="114">
        <f>J139</f>
        <v>0</v>
      </c>
      <c r="K138" s="111"/>
      <c r="L138" s="114">
        <f>L139</f>
        <v>0</v>
      </c>
      <c r="M138" s="111">
        <f>M139</f>
        <v>5667.6</v>
      </c>
      <c r="N138" s="111">
        <f>N139</f>
        <v>0</v>
      </c>
      <c r="O138" s="111">
        <f>O139</f>
        <v>5667.6</v>
      </c>
      <c r="P138" s="97">
        <f t="shared" si="16"/>
        <v>5667.6</v>
      </c>
      <c r="Q138" s="97">
        <f t="shared" si="17"/>
        <v>0</v>
      </c>
    </row>
    <row r="139" spans="1:18" ht="31.5" x14ac:dyDescent="0.2">
      <c r="A139" s="40"/>
      <c r="B139" s="113" t="s">
        <v>40</v>
      </c>
      <c r="C139" s="113" t="s">
        <v>51</v>
      </c>
      <c r="D139" s="133" t="s">
        <v>158</v>
      </c>
      <c r="E139" s="133" t="s">
        <v>167</v>
      </c>
      <c r="F139" s="134" t="s">
        <v>41</v>
      </c>
      <c r="G139" s="111">
        <v>5667.6</v>
      </c>
      <c r="H139" s="111"/>
      <c r="I139" s="111">
        <f>SUM(G139)+H139</f>
        <v>5667.6</v>
      </c>
      <c r="J139" s="115"/>
      <c r="K139" s="111"/>
      <c r="L139" s="115"/>
      <c r="M139" s="111">
        <f>SUM(G139)</f>
        <v>5667.6</v>
      </c>
      <c r="N139" s="111">
        <f>SUM(H139)</f>
        <v>0</v>
      </c>
      <c r="O139" s="111">
        <f>SUM(M139)+N139</f>
        <v>5667.6</v>
      </c>
      <c r="P139" s="97">
        <f t="shared" si="16"/>
        <v>5667.6</v>
      </c>
      <c r="Q139" s="97">
        <f t="shared" si="17"/>
        <v>0</v>
      </c>
    </row>
    <row r="140" spans="1:18" ht="63" x14ac:dyDescent="0.2">
      <c r="A140" s="40"/>
      <c r="B140" s="113" t="s">
        <v>168</v>
      </c>
      <c r="C140" s="113" t="s">
        <v>51</v>
      </c>
      <c r="D140" s="133" t="s">
        <v>158</v>
      </c>
      <c r="E140" s="133" t="s">
        <v>169</v>
      </c>
      <c r="F140" s="134" t="s">
        <v>11</v>
      </c>
      <c r="G140" s="111">
        <f>G141</f>
        <v>1000</v>
      </c>
      <c r="H140" s="111"/>
      <c r="I140" s="111">
        <f>I141</f>
        <v>1000</v>
      </c>
      <c r="J140" s="114">
        <f>J141</f>
        <v>0</v>
      </c>
      <c r="K140" s="111"/>
      <c r="L140" s="114">
        <f>L141</f>
        <v>0</v>
      </c>
      <c r="M140" s="111">
        <f>M141</f>
        <v>1000</v>
      </c>
      <c r="N140" s="111">
        <f>N141</f>
        <v>0</v>
      </c>
      <c r="O140" s="111">
        <f>O141</f>
        <v>1000</v>
      </c>
      <c r="P140" s="97">
        <f t="shared" si="16"/>
        <v>1000</v>
      </c>
      <c r="Q140" s="97">
        <f t="shared" si="17"/>
        <v>0</v>
      </c>
    </row>
    <row r="141" spans="1:18" ht="31.5" x14ac:dyDescent="0.2">
      <c r="A141" s="40"/>
      <c r="B141" s="113" t="s">
        <v>40</v>
      </c>
      <c r="C141" s="113" t="s">
        <v>51</v>
      </c>
      <c r="D141" s="133" t="s">
        <v>158</v>
      </c>
      <c r="E141" s="133" t="s">
        <v>169</v>
      </c>
      <c r="F141" s="134" t="s">
        <v>41</v>
      </c>
      <c r="G141" s="111">
        <v>1000</v>
      </c>
      <c r="H141" s="111"/>
      <c r="I141" s="111">
        <v>1000</v>
      </c>
      <c r="J141" s="115"/>
      <c r="K141" s="111"/>
      <c r="L141" s="115"/>
      <c r="M141" s="111">
        <v>1000</v>
      </c>
      <c r="N141" s="111"/>
      <c r="O141" s="111">
        <v>1000</v>
      </c>
      <c r="P141" s="97">
        <f t="shared" si="16"/>
        <v>1000</v>
      </c>
      <c r="Q141" s="97">
        <f t="shared" si="17"/>
        <v>0</v>
      </c>
    </row>
    <row r="142" spans="1:18" ht="37.9" customHeight="1" x14ac:dyDescent="0.2">
      <c r="A142" s="40"/>
      <c r="B142" s="113" t="s">
        <v>170</v>
      </c>
      <c r="C142" s="113" t="s">
        <v>51</v>
      </c>
      <c r="D142" s="133" t="s">
        <v>158</v>
      </c>
      <c r="E142" s="133" t="s">
        <v>171</v>
      </c>
      <c r="F142" s="134" t="s">
        <v>11</v>
      </c>
      <c r="G142" s="111">
        <f t="shared" ref="G142:O143" si="27">G143</f>
        <v>15278.4</v>
      </c>
      <c r="H142" s="111">
        <f t="shared" si="27"/>
        <v>0</v>
      </c>
      <c r="I142" s="111">
        <f t="shared" si="27"/>
        <v>15278.4</v>
      </c>
      <c r="J142" s="114">
        <f t="shared" si="27"/>
        <v>0</v>
      </c>
      <c r="K142" s="111">
        <f t="shared" si="27"/>
        <v>0</v>
      </c>
      <c r="L142" s="114">
        <f t="shared" si="27"/>
        <v>0</v>
      </c>
      <c r="M142" s="111">
        <f t="shared" si="27"/>
        <v>15278.4</v>
      </c>
      <c r="N142" s="111">
        <f t="shared" si="27"/>
        <v>0</v>
      </c>
      <c r="O142" s="111">
        <f t="shared" si="27"/>
        <v>15278.4</v>
      </c>
      <c r="P142" s="97">
        <f t="shared" si="16"/>
        <v>15278.4</v>
      </c>
      <c r="Q142" s="97">
        <f t="shared" si="17"/>
        <v>0</v>
      </c>
    </row>
    <row r="143" spans="1:18" ht="94.5" x14ac:dyDescent="0.2">
      <c r="A143" s="40"/>
      <c r="B143" s="113" t="s">
        <v>172</v>
      </c>
      <c r="C143" s="113" t="s">
        <v>51</v>
      </c>
      <c r="D143" s="133" t="s">
        <v>158</v>
      </c>
      <c r="E143" s="133" t="s">
        <v>173</v>
      </c>
      <c r="F143" s="134" t="s">
        <v>11</v>
      </c>
      <c r="G143" s="111">
        <f t="shared" si="27"/>
        <v>15278.4</v>
      </c>
      <c r="H143" s="111">
        <f>SUM(H144)</f>
        <v>0</v>
      </c>
      <c r="I143" s="111">
        <f t="shared" si="27"/>
        <v>15278.4</v>
      </c>
      <c r="J143" s="114">
        <f t="shared" si="27"/>
        <v>0</v>
      </c>
      <c r="K143" s="111"/>
      <c r="L143" s="114">
        <f t="shared" si="27"/>
        <v>0</v>
      </c>
      <c r="M143" s="111">
        <f t="shared" si="27"/>
        <v>15278.4</v>
      </c>
      <c r="N143" s="111">
        <f t="shared" si="27"/>
        <v>0</v>
      </c>
      <c r="O143" s="111">
        <f t="shared" si="27"/>
        <v>15278.4</v>
      </c>
      <c r="P143" s="97">
        <f t="shared" si="16"/>
        <v>15278.4</v>
      </c>
      <c r="Q143" s="97">
        <f t="shared" si="17"/>
        <v>0</v>
      </c>
    </row>
    <row r="144" spans="1:18" ht="15.75" x14ac:dyDescent="0.2">
      <c r="A144" s="40"/>
      <c r="B144" s="113" t="s">
        <v>47</v>
      </c>
      <c r="C144" s="113" t="s">
        <v>51</v>
      </c>
      <c r="D144" s="133" t="s">
        <v>158</v>
      </c>
      <c r="E144" s="133" t="s">
        <v>173</v>
      </c>
      <c r="F144" s="134" t="s">
        <v>48</v>
      </c>
      <c r="G144" s="111">
        <v>15278.4</v>
      </c>
      <c r="H144" s="111"/>
      <c r="I144" s="111">
        <v>15278.4</v>
      </c>
      <c r="J144" s="115">
        <v>0</v>
      </c>
      <c r="K144" s="111">
        <f t="shared" ref="G144:O146" si="28">K145</f>
        <v>0</v>
      </c>
      <c r="L144" s="115">
        <v>0</v>
      </c>
      <c r="M144" s="111">
        <v>15278.4</v>
      </c>
      <c r="N144" s="167">
        <f>SUM(H144)</f>
        <v>0</v>
      </c>
      <c r="O144" s="111">
        <v>15278.4</v>
      </c>
      <c r="P144" s="97">
        <f t="shared" si="16"/>
        <v>15278.4</v>
      </c>
      <c r="Q144" s="97">
        <f t="shared" si="17"/>
        <v>0</v>
      </c>
    </row>
    <row r="145" spans="1:18" ht="63" x14ac:dyDescent="0.2">
      <c r="A145" s="40"/>
      <c r="B145" s="113" t="s">
        <v>174</v>
      </c>
      <c r="C145" s="113" t="s">
        <v>51</v>
      </c>
      <c r="D145" s="133" t="s">
        <v>158</v>
      </c>
      <c r="E145" s="133" t="s">
        <v>175</v>
      </c>
      <c r="F145" s="134" t="s">
        <v>11</v>
      </c>
      <c r="G145" s="111">
        <f t="shared" si="28"/>
        <v>1648.4</v>
      </c>
      <c r="H145" s="111">
        <f t="shared" si="28"/>
        <v>0</v>
      </c>
      <c r="I145" s="111">
        <f t="shared" si="28"/>
        <v>1648.4</v>
      </c>
      <c r="J145" s="114">
        <f t="shared" si="28"/>
        <v>0</v>
      </c>
      <c r="K145" s="111">
        <f t="shared" si="28"/>
        <v>0</v>
      </c>
      <c r="L145" s="114">
        <f t="shared" si="28"/>
        <v>0</v>
      </c>
      <c r="M145" s="111">
        <f t="shared" si="28"/>
        <v>1648.4</v>
      </c>
      <c r="N145" s="111">
        <f t="shared" si="28"/>
        <v>0</v>
      </c>
      <c r="O145" s="111">
        <f t="shared" si="28"/>
        <v>1648.4</v>
      </c>
      <c r="P145" s="97">
        <f t="shared" si="16"/>
        <v>1648.4</v>
      </c>
      <c r="Q145" s="97">
        <f t="shared" si="17"/>
        <v>0</v>
      </c>
    </row>
    <row r="146" spans="1:18" ht="78.75" x14ac:dyDescent="0.2">
      <c r="A146" s="40"/>
      <c r="B146" s="113" t="s">
        <v>176</v>
      </c>
      <c r="C146" s="113" t="s">
        <v>51</v>
      </c>
      <c r="D146" s="133" t="s">
        <v>158</v>
      </c>
      <c r="E146" s="133" t="s">
        <v>177</v>
      </c>
      <c r="F146" s="134" t="s">
        <v>11</v>
      </c>
      <c r="G146" s="111">
        <f t="shared" si="28"/>
        <v>1648.4</v>
      </c>
      <c r="H146" s="111"/>
      <c r="I146" s="111">
        <f t="shared" si="28"/>
        <v>1648.4</v>
      </c>
      <c r="J146" s="114">
        <f t="shared" si="28"/>
        <v>0</v>
      </c>
      <c r="K146" s="111"/>
      <c r="L146" s="114">
        <f t="shared" si="28"/>
        <v>0</v>
      </c>
      <c r="M146" s="111">
        <f t="shared" si="28"/>
        <v>1648.4</v>
      </c>
      <c r="N146" s="111">
        <f t="shared" si="28"/>
        <v>0</v>
      </c>
      <c r="O146" s="111">
        <f t="shared" si="28"/>
        <v>1648.4</v>
      </c>
      <c r="P146" s="97">
        <f t="shared" si="16"/>
        <v>1648.4</v>
      </c>
      <c r="Q146" s="97">
        <f t="shared" si="17"/>
        <v>0</v>
      </c>
    </row>
    <row r="147" spans="1:18" ht="15.75" x14ac:dyDescent="0.2">
      <c r="A147" s="40"/>
      <c r="B147" s="113" t="s">
        <v>178</v>
      </c>
      <c r="C147" s="113" t="s">
        <v>51</v>
      </c>
      <c r="D147" s="133" t="s">
        <v>158</v>
      </c>
      <c r="E147" s="133" t="s">
        <v>177</v>
      </c>
      <c r="F147" s="134" t="s">
        <v>48</v>
      </c>
      <c r="G147" s="111">
        <v>1648.4</v>
      </c>
      <c r="H147" s="163"/>
      <c r="I147" s="111">
        <v>1648.4</v>
      </c>
      <c r="J147" s="115">
        <v>0</v>
      </c>
      <c r="K147" s="111"/>
      <c r="L147" s="115">
        <v>0</v>
      </c>
      <c r="M147" s="111">
        <v>1648.4</v>
      </c>
      <c r="N147" s="167">
        <f>SUM(H147)</f>
        <v>0</v>
      </c>
      <c r="O147" s="111">
        <v>1648.4</v>
      </c>
      <c r="P147" s="97">
        <f t="shared" si="16"/>
        <v>1648.4</v>
      </c>
      <c r="Q147" s="97">
        <f t="shared" si="17"/>
        <v>0</v>
      </c>
    </row>
    <row r="148" spans="1:18" ht="31.5" x14ac:dyDescent="0.2">
      <c r="A148" s="40"/>
      <c r="B148" s="113" t="s">
        <v>66</v>
      </c>
      <c r="C148" s="113">
        <v>992</v>
      </c>
      <c r="D148" s="133" t="s">
        <v>158</v>
      </c>
      <c r="E148" s="133">
        <v>5200000000</v>
      </c>
      <c r="F148" s="134"/>
      <c r="G148" s="111">
        <v>840.3</v>
      </c>
      <c r="H148" s="111"/>
      <c r="I148" s="111">
        <f>SUM(G148)+H148</f>
        <v>840.3</v>
      </c>
      <c r="J148" s="115"/>
      <c r="K148" s="111"/>
      <c r="L148" s="115"/>
      <c r="M148" s="111">
        <f>SUM(G148)</f>
        <v>840.3</v>
      </c>
      <c r="N148" s="111">
        <f t="shared" ref="N148:O150" si="29">SUM(H148)</f>
        <v>0</v>
      </c>
      <c r="O148" s="111">
        <f t="shared" si="29"/>
        <v>840.3</v>
      </c>
      <c r="P148" s="97">
        <f t="shared" si="16"/>
        <v>840.3</v>
      </c>
      <c r="Q148" s="97">
        <f t="shared" si="17"/>
        <v>0</v>
      </c>
    </row>
    <row r="149" spans="1:18" ht="31.5" x14ac:dyDescent="0.2">
      <c r="A149" s="40"/>
      <c r="B149" s="113" t="s">
        <v>80</v>
      </c>
      <c r="C149" s="113">
        <v>992</v>
      </c>
      <c r="D149" s="133" t="s">
        <v>158</v>
      </c>
      <c r="E149" s="133">
        <v>5230000000</v>
      </c>
      <c r="F149" s="134"/>
      <c r="G149" s="111">
        <v>840.3</v>
      </c>
      <c r="H149" s="111"/>
      <c r="I149" s="111">
        <f>SUM(G149)+H149</f>
        <v>840.3</v>
      </c>
      <c r="J149" s="115"/>
      <c r="K149" s="111"/>
      <c r="L149" s="115"/>
      <c r="M149" s="111">
        <f>SUM(G149)</f>
        <v>840.3</v>
      </c>
      <c r="N149" s="111">
        <f t="shared" si="29"/>
        <v>0</v>
      </c>
      <c r="O149" s="111">
        <f t="shared" si="29"/>
        <v>840.3</v>
      </c>
      <c r="P149" s="97">
        <f t="shared" si="16"/>
        <v>840.3</v>
      </c>
      <c r="Q149" s="97">
        <f t="shared" si="17"/>
        <v>0</v>
      </c>
    </row>
    <row r="150" spans="1:18" ht="31.5" x14ac:dyDescent="0.2">
      <c r="A150" s="40"/>
      <c r="B150" s="113" t="s">
        <v>82</v>
      </c>
      <c r="C150" s="113">
        <v>992</v>
      </c>
      <c r="D150" s="133" t="s">
        <v>158</v>
      </c>
      <c r="E150" s="133">
        <v>5230010490</v>
      </c>
      <c r="F150" s="134"/>
      <c r="G150" s="111">
        <v>840.3</v>
      </c>
      <c r="H150" s="111"/>
      <c r="I150" s="111">
        <f>SUM(G150)+H150</f>
        <v>840.3</v>
      </c>
      <c r="J150" s="115"/>
      <c r="K150" s="111"/>
      <c r="L150" s="115"/>
      <c r="M150" s="111">
        <f>SUM(G150)</f>
        <v>840.3</v>
      </c>
      <c r="N150" s="111">
        <f t="shared" si="29"/>
        <v>0</v>
      </c>
      <c r="O150" s="111">
        <f t="shared" si="29"/>
        <v>840.3</v>
      </c>
      <c r="P150" s="97">
        <f t="shared" si="16"/>
        <v>840.3</v>
      </c>
      <c r="Q150" s="97">
        <f t="shared" si="17"/>
        <v>0</v>
      </c>
    </row>
    <row r="151" spans="1:18" ht="31.5" x14ac:dyDescent="0.2">
      <c r="A151" s="40"/>
      <c r="B151" s="113" t="s">
        <v>40</v>
      </c>
      <c r="C151" s="113">
        <v>992</v>
      </c>
      <c r="D151" s="133" t="s">
        <v>158</v>
      </c>
      <c r="E151" s="133">
        <v>5230010490</v>
      </c>
      <c r="F151" s="134">
        <v>200</v>
      </c>
      <c r="G151" s="111">
        <v>840.3</v>
      </c>
      <c r="H151" s="111"/>
      <c r="I151" s="111">
        <v>840.3</v>
      </c>
      <c r="J151" s="115"/>
      <c r="K151" s="111"/>
      <c r="L151" s="115"/>
      <c r="M151" s="111">
        <f>SUM(G151)</f>
        <v>840.3</v>
      </c>
      <c r="N151" s="111">
        <f>SUM(H151)</f>
        <v>0</v>
      </c>
      <c r="O151" s="111">
        <f>SUM(I151)</f>
        <v>840.3</v>
      </c>
      <c r="P151" s="97">
        <f t="shared" si="16"/>
        <v>840.3</v>
      </c>
      <c r="Q151" s="97">
        <f t="shared" si="17"/>
        <v>0</v>
      </c>
    </row>
    <row r="152" spans="1:18" ht="15.75" x14ac:dyDescent="0.2">
      <c r="A152" s="40"/>
      <c r="B152" s="113" t="s">
        <v>179</v>
      </c>
      <c r="C152" s="113" t="s">
        <v>51</v>
      </c>
      <c r="D152" s="133" t="s">
        <v>158</v>
      </c>
      <c r="E152" s="133" t="s">
        <v>180</v>
      </c>
      <c r="F152" s="134" t="s">
        <v>11</v>
      </c>
      <c r="G152" s="111">
        <f t="shared" ref="G152:O154" si="30">G153</f>
        <v>323.10000000000002</v>
      </c>
      <c r="H152" s="111">
        <f t="shared" si="30"/>
        <v>0</v>
      </c>
      <c r="I152" s="111">
        <f t="shared" si="30"/>
        <v>323.10000000000002</v>
      </c>
      <c r="J152" s="114">
        <f t="shared" si="30"/>
        <v>0</v>
      </c>
      <c r="K152" s="111">
        <f>K153</f>
        <v>0</v>
      </c>
      <c r="L152" s="114">
        <f t="shared" si="30"/>
        <v>0</v>
      </c>
      <c r="M152" s="111">
        <f t="shared" si="30"/>
        <v>323.10000000000002</v>
      </c>
      <c r="N152" s="111">
        <f t="shared" si="30"/>
        <v>0</v>
      </c>
      <c r="O152" s="111">
        <f t="shared" si="30"/>
        <v>323.10000000000002</v>
      </c>
      <c r="P152" s="97">
        <f t="shared" si="16"/>
        <v>323.10000000000002</v>
      </c>
      <c r="Q152" s="97">
        <f t="shared" si="17"/>
        <v>0</v>
      </c>
    </row>
    <row r="153" spans="1:18" ht="31.5" x14ac:dyDescent="0.2">
      <c r="A153" s="40"/>
      <c r="B153" s="113" t="s">
        <v>181</v>
      </c>
      <c r="C153" s="113" t="s">
        <v>51</v>
      </c>
      <c r="D153" s="133" t="s">
        <v>158</v>
      </c>
      <c r="E153" s="133" t="s">
        <v>182</v>
      </c>
      <c r="F153" s="134" t="s">
        <v>11</v>
      </c>
      <c r="G153" s="111">
        <f t="shared" si="30"/>
        <v>323.10000000000002</v>
      </c>
      <c r="H153" s="111">
        <f t="shared" si="30"/>
        <v>0</v>
      </c>
      <c r="I153" s="111">
        <f t="shared" si="30"/>
        <v>323.10000000000002</v>
      </c>
      <c r="J153" s="114">
        <f t="shared" si="30"/>
        <v>0</v>
      </c>
      <c r="K153" s="111">
        <f>K154</f>
        <v>0</v>
      </c>
      <c r="L153" s="114">
        <f t="shared" si="30"/>
        <v>0</v>
      </c>
      <c r="M153" s="111">
        <f t="shared" si="30"/>
        <v>323.10000000000002</v>
      </c>
      <c r="N153" s="111">
        <f t="shared" si="30"/>
        <v>0</v>
      </c>
      <c r="O153" s="111">
        <f t="shared" si="30"/>
        <v>323.10000000000002</v>
      </c>
      <c r="P153" s="97">
        <f t="shared" si="16"/>
        <v>323.10000000000002</v>
      </c>
      <c r="Q153" s="97">
        <f t="shared" si="17"/>
        <v>0</v>
      </c>
    </row>
    <row r="154" spans="1:18" ht="15.75" x14ac:dyDescent="0.2">
      <c r="A154" s="40"/>
      <c r="B154" s="113" t="s">
        <v>183</v>
      </c>
      <c r="C154" s="113" t="s">
        <v>51</v>
      </c>
      <c r="D154" s="133" t="s">
        <v>158</v>
      </c>
      <c r="E154" s="133" t="s">
        <v>184</v>
      </c>
      <c r="F154" s="134" t="s">
        <v>11</v>
      </c>
      <c r="G154" s="111">
        <f>G155</f>
        <v>323.10000000000002</v>
      </c>
      <c r="H154" s="111">
        <f>H155</f>
        <v>0</v>
      </c>
      <c r="I154" s="111">
        <f>I155</f>
        <v>323.10000000000002</v>
      </c>
      <c r="J154" s="114">
        <f t="shared" si="30"/>
        <v>0</v>
      </c>
      <c r="K154" s="111"/>
      <c r="L154" s="114">
        <f t="shared" si="30"/>
        <v>0</v>
      </c>
      <c r="M154" s="111">
        <f t="shared" si="30"/>
        <v>323.10000000000002</v>
      </c>
      <c r="N154" s="111">
        <f t="shared" si="30"/>
        <v>0</v>
      </c>
      <c r="O154" s="111">
        <f t="shared" si="30"/>
        <v>323.10000000000002</v>
      </c>
      <c r="P154" s="97">
        <f t="shared" si="16"/>
        <v>323.10000000000002</v>
      </c>
      <c r="Q154" s="97">
        <f t="shared" si="17"/>
        <v>0</v>
      </c>
    </row>
    <row r="155" spans="1:18" ht="31.5" x14ac:dyDescent="0.2">
      <c r="A155" s="40"/>
      <c r="B155" s="113" t="s">
        <v>40</v>
      </c>
      <c r="C155" s="113" t="s">
        <v>51</v>
      </c>
      <c r="D155" s="133" t="s">
        <v>158</v>
      </c>
      <c r="E155" s="133" t="s">
        <v>184</v>
      </c>
      <c r="F155" s="134" t="s">
        <v>41</v>
      </c>
      <c r="G155" s="111">
        <v>323.10000000000002</v>
      </c>
      <c r="H155" s="111"/>
      <c r="I155" s="111">
        <f>G155+H155</f>
        <v>323.10000000000002</v>
      </c>
      <c r="J155" s="115">
        <v>0</v>
      </c>
      <c r="K155" s="111"/>
      <c r="L155" s="115">
        <v>0</v>
      </c>
      <c r="M155" s="111">
        <f>SUM(G155)</f>
        <v>323.10000000000002</v>
      </c>
      <c r="N155" s="111">
        <f>SUM(H155)</f>
        <v>0</v>
      </c>
      <c r="O155" s="111">
        <f>I155+L155</f>
        <v>323.10000000000002</v>
      </c>
      <c r="P155" s="97">
        <f t="shared" si="16"/>
        <v>323.10000000000002</v>
      </c>
      <c r="Q155" s="97">
        <f t="shared" si="17"/>
        <v>0</v>
      </c>
    </row>
    <row r="156" spans="1:18" ht="31.5" x14ac:dyDescent="0.2">
      <c r="A156" s="40"/>
      <c r="B156" s="113" t="s">
        <v>185</v>
      </c>
      <c r="C156" s="113" t="s">
        <v>51</v>
      </c>
      <c r="D156" s="133" t="s">
        <v>158</v>
      </c>
      <c r="E156" s="133" t="s">
        <v>186</v>
      </c>
      <c r="F156" s="134" t="s">
        <v>11</v>
      </c>
      <c r="G156" s="111">
        <f t="shared" ref="G156:O158" si="31">G157</f>
        <v>3774.2</v>
      </c>
      <c r="H156" s="111">
        <f t="shared" si="31"/>
        <v>0</v>
      </c>
      <c r="I156" s="111">
        <f t="shared" si="31"/>
        <v>3774.2</v>
      </c>
      <c r="J156" s="114">
        <f t="shared" si="31"/>
        <v>0</v>
      </c>
      <c r="K156" s="111">
        <f>K157</f>
        <v>0</v>
      </c>
      <c r="L156" s="114">
        <f t="shared" si="31"/>
        <v>0</v>
      </c>
      <c r="M156" s="111">
        <f t="shared" si="31"/>
        <v>3774.2</v>
      </c>
      <c r="N156" s="111">
        <f t="shared" si="31"/>
        <v>0</v>
      </c>
      <c r="O156" s="111">
        <f t="shared" si="31"/>
        <v>3774.2</v>
      </c>
      <c r="P156" s="97">
        <f t="shared" ref="P156:P219" si="32">G156+H156</f>
        <v>3774.2</v>
      </c>
      <c r="Q156" s="97">
        <f t="shared" ref="Q156:Q219" si="33">I156-P156</f>
        <v>0</v>
      </c>
    </row>
    <row r="157" spans="1:18" ht="47.25" x14ac:dyDescent="0.2">
      <c r="A157" s="40"/>
      <c r="B157" s="113" t="s">
        <v>187</v>
      </c>
      <c r="C157" s="113" t="s">
        <v>51</v>
      </c>
      <c r="D157" s="133" t="s">
        <v>158</v>
      </c>
      <c r="E157" s="133" t="s">
        <v>188</v>
      </c>
      <c r="F157" s="134" t="s">
        <v>11</v>
      </c>
      <c r="G157" s="111">
        <f t="shared" si="31"/>
        <v>3774.2</v>
      </c>
      <c r="H157" s="111">
        <f t="shared" si="31"/>
        <v>0</v>
      </c>
      <c r="I157" s="111">
        <f t="shared" si="31"/>
        <v>3774.2</v>
      </c>
      <c r="J157" s="114">
        <f t="shared" si="31"/>
        <v>0</v>
      </c>
      <c r="K157" s="111">
        <f>K158</f>
        <v>0</v>
      </c>
      <c r="L157" s="114">
        <f t="shared" si="31"/>
        <v>0</v>
      </c>
      <c r="M157" s="111">
        <f t="shared" si="31"/>
        <v>3774.2</v>
      </c>
      <c r="N157" s="111">
        <f t="shared" si="31"/>
        <v>0</v>
      </c>
      <c r="O157" s="111">
        <f t="shared" si="31"/>
        <v>3774.2</v>
      </c>
      <c r="P157" s="97">
        <f t="shared" si="32"/>
        <v>3774.2</v>
      </c>
      <c r="Q157" s="97">
        <f t="shared" si="33"/>
        <v>0</v>
      </c>
    </row>
    <row r="158" spans="1:18" ht="41.45" customHeight="1" x14ac:dyDescent="0.2">
      <c r="A158" s="40"/>
      <c r="B158" s="113" t="s">
        <v>189</v>
      </c>
      <c r="C158" s="113" t="s">
        <v>51</v>
      </c>
      <c r="D158" s="133" t="s">
        <v>158</v>
      </c>
      <c r="E158" s="133" t="s">
        <v>190</v>
      </c>
      <c r="F158" s="134" t="s">
        <v>11</v>
      </c>
      <c r="G158" s="111">
        <f>G159</f>
        <v>3774.2</v>
      </c>
      <c r="H158" s="111"/>
      <c r="I158" s="111">
        <f>I159</f>
        <v>3774.2</v>
      </c>
      <c r="J158" s="114">
        <f t="shared" si="31"/>
        <v>0</v>
      </c>
      <c r="K158" s="111"/>
      <c r="L158" s="114">
        <f t="shared" si="31"/>
        <v>0</v>
      </c>
      <c r="M158" s="111">
        <f t="shared" si="31"/>
        <v>3774.2</v>
      </c>
      <c r="N158" s="111">
        <f t="shared" si="31"/>
        <v>0</v>
      </c>
      <c r="O158" s="111">
        <f t="shared" si="31"/>
        <v>3774.2</v>
      </c>
      <c r="P158" s="97">
        <f t="shared" si="32"/>
        <v>3774.2</v>
      </c>
      <c r="Q158" s="97">
        <f t="shared" si="33"/>
        <v>0</v>
      </c>
    </row>
    <row r="159" spans="1:18" ht="15.75" x14ac:dyDescent="0.2">
      <c r="A159" s="40"/>
      <c r="B159" s="113" t="s">
        <v>47</v>
      </c>
      <c r="C159" s="113" t="s">
        <v>51</v>
      </c>
      <c r="D159" s="133" t="s">
        <v>158</v>
      </c>
      <c r="E159" s="133" t="s">
        <v>190</v>
      </c>
      <c r="F159" s="134" t="s">
        <v>48</v>
      </c>
      <c r="G159" s="111">
        <v>3774.2</v>
      </c>
      <c r="H159" s="163"/>
      <c r="I159" s="111">
        <v>3774.2</v>
      </c>
      <c r="J159" s="115">
        <v>0</v>
      </c>
      <c r="K159" s="109"/>
      <c r="L159" s="115">
        <v>0</v>
      </c>
      <c r="M159" s="111">
        <v>3774.2</v>
      </c>
      <c r="N159" s="167">
        <f>SUM(H159)</f>
        <v>0</v>
      </c>
      <c r="O159" s="111">
        <v>3774.2</v>
      </c>
      <c r="P159" s="97">
        <f t="shared" si="32"/>
        <v>3774.2</v>
      </c>
      <c r="Q159" s="97">
        <f t="shared" si="33"/>
        <v>0</v>
      </c>
    </row>
    <row r="160" spans="1:18" ht="36.6" customHeight="1" x14ac:dyDescent="0.2">
      <c r="A160" s="33" t="s">
        <v>191</v>
      </c>
      <c r="B160" s="110" t="s">
        <v>192</v>
      </c>
      <c r="C160" s="110" t="s">
        <v>51</v>
      </c>
      <c r="D160" s="131" t="s">
        <v>193</v>
      </c>
      <c r="E160" s="131" t="s">
        <v>11</v>
      </c>
      <c r="F160" s="132" t="s">
        <v>11</v>
      </c>
      <c r="G160" s="109">
        <f>G161</f>
        <v>7176.7000000000007</v>
      </c>
      <c r="H160" s="109">
        <f>H161</f>
        <v>0</v>
      </c>
      <c r="I160" s="109">
        <f>I161</f>
        <v>7176.7000000000007</v>
      </c>
      <c r="J160" s="112">
        <f>J161</f>
        <v>0</v>
      </c>
      <c r="K160" s="111">
        <f>K161+K167+K171</f>
        <v>0</v>
      </c>
      <c r="L160" s="112">
        <f>L161</f>
        <v>0</v>
      </c>
      <c r="M160" s="109">
        <f>M161</f>
        <v>7176.7000000000007</v>
      </c>
      <c r="N160" s="109">
        <f>N161</f>
        <v>0</v>
      </c>
      <c r="O160" s="169">
        <f>O161</f>
        <v>7176.7000000000007</v>
      </c>
      <c r="P160" s="97">
        <f t="shared" si="32"/>
        <v>7176.7000000000007</v>
      </c>
      <c r="Q160" s="97">
        <f t="shared" si="33"/>
        <v>0</v>
      </c>
      <c r="R160" s="168"/>
    </row>
    <row r="161" spans="1:17" ht="31.5" x14ac:dyDescent="0.2">
      <c r="A161" s="40"/>
      <c r="B161" s="113" t="s">
        <v>159</v>
      </c>
      <c r="C161" s="113" t="s">
        <v>51</v>
      </c>
      <c r="D161" s="133" t="s">
        <v>193</v>
      </c>
      <c r="E161" s="133" t="s">
        <v>160</v>
      </c>
      <c r="F161" s="134" t="s">
        <v>11</v>
      </c>
      <c r="G161" s="111">
        <f>G162+G168+G172</f>
        <v>7176.7000000000007</v>
      </c>
      <c r="H161" s="111">
        <f>H162</f>
        <v>0</v>
      </c>
      <c r="I161" s="111">
        <f>I162+I168+I172</f>
        <v>7176.7000000000007</v>
      </c>
      <c r="J161" s="114">
        <f>J162+J168+J172</f>
        <v>0</v>
      </c>
      <c r="K161" s="111">
        <f>K162</f>
        <v>0</v>
      </c>
      <c r="L161" s="114">
        <f>L162+L168+L172</f>
        <v>0</v>
      </c>
      <c r="M161" s="111">
        <f>M162+M168+M172</f>
        <v>7176.7000000000007</v>
      </c>
      <c r="N161" s="111">
        <f>N162+N168+N172</f>
        <v>0</v>
      </c>
      <c r="O161" s="111">
        <f>O162+O168+O172</f>
        <v>7176.7000000000007</v>
      </c>
      <c r="P161" s="97">
        <f t="shared" si="32"/>
        <v>7176.7000000000007</v>
      </c>
      <c r="Q161" s="97">
        <f t="shared" si="33"/>
        <v>0</v>
      </c>
    </row>
    <row r="162" spans="1:17" ht="31.5" x14ac:dyDescent="0.2">
      <c r="A162" s="40"/>
      <c r="B162" s="113" t="s">
        <v>194</v>
      </c>
      <c r="C162" s="113" t="s">
        <v>51</v>
      </c>
      <c r="D162" s="133" t="s">
        <v>193</v>
      </c>
      <c r="E162" s="133" t="s">
        <v>195</v>
      </c>
      <c r="F162" s="134" t="s">
        <v>11</v>
      </c>
      <c r="G162" s="111">
        <f>G163</f>
        <v>7061.7000000000007</v>
      </c>
      <c r="H162" s="111">
        <f>H163</f>
        <v>0</v>
      </c>
      <c r="I162" s="111">
        <f>I163</f>
        <v>7061.7000000000007</v>
      </c>
      <c r="J162" s="114">
        <f>J163</f>
        <v>0</v>
      </c>
      <c r="K162" s="111">
        <f>K163+K165</f>
        <v>0</v>
      </c>
      <c r="L162" s="114">
        <f>L163</f>
        <v>0</v>
      </c>
      <c r="M162" s="111">
        <f>M163</f>
        <v>7061.7000000000007</v>
      </c>
      <c r="N162" s="111">
        <f>N163</f>
        <v>0</v>
      </c>
      <c r="O162" s="111">
        <f>O163</f>
        <v>7061.7000000000007</v>
      </c>
      <c r="P162" s="97">
        <f t="shared" si="32"/>
        <v>7061.7000000000007</v>
      </c>
      <c r="Q162" s="97">
        <f t="shared" si="33"/>
        <v>0</v>
      </c>
    </row>
    <row r="163" spans="1:17" ht="47.25" x14ac:dyDescent="0.2">
      <c r="A163" s="40"/>
      <c r="B163" s="113" t="s">
        <v>196</v>
      </c>
      <c r="C163" s="113" t="s">
        <v>51</v>
      </c>
      <c r="D163" s="133" t="s">
        <v>193</v>
      </c>
      <c r="E163" s="133" t="s">
        <v>197</v>
      </c>
      <c r="F163" s="134" t="s">
        <v>11</v>
      </c>
      <c r="G163" s="111">
        <f>G164+G166</f>
        <v>7061.7000000000007</v>
      </c>
      <c r="H163" s="111">
        <f>H164+H166</f>
        <v>0</v>
      </c>
      <c r="I163" s="111">
        <f>I164+I166</f>
        <v>7061.7000000000007</v>
      </c>
      <c r="J163" s="114">
        <f>J164+J166</f>
        <v>0</v>
      </c>
      <c r="K163" s="111">
        <f>K164</f>
        <v>0</v>
      </c>
      <c r="L163" s="114">
        <f>L164+L166</f>
        <v>0</v>
      </c>
      <c r="M163" s="111">
        <f>M164+M166</f>
        <v>7061.7000000000007</v>
      </c>
      <c r="N163" s="111">
        <f>N164+N166</f>
        <v>0</v>
      </c>
      <c r="O163" s="111">
        <f>O164+O166</f>
        <v>7061.7000000000007</v>
      </c>
      <c r="P163" s="97">
        <f t="shared" si="32"/>
        <v>7061.7000000000007</v>
      </c>
      <c r="Q163" s="97">
        <f t="shared" si="33"/>
        <v>0</v>
      </c>
    </row>
    <row r="164" spans="1:17" ht="31.5" x14ac:dyDescent="0.2">
      <c r="A164" s="40"/>
      <c r="B164" s="113" t="s">
        <v>198</v>
      </c>
      <c r="C164" s="113" t="s">
        <v>51</v>
      </c>
      <c r="D164" s="133" t="s">
        <v>193</v>
      </c>
      <c r="E164" s="133" t="s">
        <v>199</v>
      </c>
      <c r="F164" s="134" t="s">
        <v>11</v>
      </c>
      <c r="G164" s="111">
        <f>G165</f>
        <v>1520.6</v>
      </c>
      <c r="H164" s="111">
        <f>SUM(H165)</f>
        <v>0</v>
      </c>
      <c r="I164" s="111">
        <f>I165</f>
        <v>1520.6</v>
      </c>
      <c r="J164" s="114">
        <f>J165</f>
        <v>0</v>
      </c>
      <c r="K164" s="111"/>
      <c r="L164" s="114">
        <f>L165</f>
        <v>0</v>
      </c>
      <c r="M164" s="111">
        <f>M165</f>
        <v>1520.6</v>
      </c>
      <c r="N164" s="111">
        <f>N165</f>
        <v>0</v>
      </c>
      <c r="O164" s="111">
        <f>O165</f>
        <v>1520.6</v>
      </c>
      <c r="P164" s="97">
        <f t="shared" si="32"/>
        <v>1520.6</v>
      </c>
      <c r="Q164" s="97">
        <f t="shared" si="33"/>
        <v>0</v>
      </c>
    </row>
    <row r="165" spans="1:17" ht="31.5" x14ac:dyDescent="0.2">
      <c r="A165" s="40"/>
      <c r="B165" s="113" t="s">
        <v>40</v>
      </c>
      <c r="C165" s="113" t="s">
        <v>51</v>
      </c>
      <c r="D165" s="133" t="s">
        <v>193</v>
      </c>
      <c r="E165" s="133" t="s">
        <v>199</v>
      </c>
      <c r="F165" s="134" t="s">
        <v>41</v>
      </c>
      <c r="G165" s="111">
        <v>1520.6</v>
      </c>
      <c r="H165" s="111"/>
      <c r="I165" s="111">
        <f>SUM(G165)+H165</f>
        <v>1520.6</v>
      </c>
      <c r="J165" s="115">
        <v>0</v>
      </c>
      <c r="K165" s="111"/>
      <c r="L165" s="115">
        <v>0</v>
      </c>
      <c r="M165" s="111">
        <f>SUM(G165)</f>
        <v>1520.6</v>
      </c>
      <c r="N165" s="111">
        <f>SUM(H165)</f>
        <v>0</v>
      </c>
      <c r="O165" s="111">
        <f>SUM(I165)</f>
        <v>1520.6</v>
      </c>
      <c r="P165" s="97">
        <f t="shared" si="32"/>
        <v>1520.6</v>
      </c>
      <c r="Q165" s="97">
        <f t="shared" si="33"/>
        <v>0</v>
      </c>
    </row>
    <row r="166" spans="1:17" ht="63" x14ac:dyDescent="0.2">
      <c r="A166" s="40"/>
      <c r="B166" s="113" t="s">
        <v>200</v>
      </c>
      <c r="C166" s="113" t="s">
        <v>51</v>
      </c>
      <c r="D166" s="133" t="s">
        <v>193</v>
      </c>
      <c r="E166" s="133" t="s">
        <v>201</v>
      </c>
      <c r="F166" s="134" t="s">
        <v>11</v>
      </c>
      <c r="G166" s="111">
        <f>G167</f>
        <v>5541.1</v>
      </c>
      <c r="H166" s="167">
        <f>SUM(H167)</f>
        <v>0</v>
      </c>
      <c r="I166" s="111">
        <f>I167</f>
        <v>5541.1</v>
      </c>
      <c r="J166" s="114">
        <f>J167</f>
        <v>0</v>
      </c>
      <c r="K166" s="111"/>
      <c r="L166" s="114">
        <f>L167</f>
        <v>0</v>
      </c>
      <c r="M166" s="111">
        <f>M167</f>
        <v>5541.1</v>
      </c>
      <c r="N166" s="111">
        <f>N167</f>
        <v>0</v>
      </c>
      <c r="O166" s="167">
        <f>O167</f>
        <v>5541.1</v>
      </c>
      <c r="P166" s="97">
        <f t="shared" si="32"/>
        <v>5541.1</v>
      </c>
      <c r="Q166" s="97">
        <f t="shared" si="33"/>
        <v>0</v>
      </c>
    </row>
    <row r="167" spans="1:17" ht="15.75" x14ac:dyDescent="0.2">
      <c r="A167" s="40"/>
      <c r="B167" s="113" t="s">
        <v>47</v>
      </c>
      <c r="C167" s="113" t="s">
        <v>51</v>
      </c>
      <c r="D167" s="133" t="s">
        <v>193</v>
      </c>
      <c r="E167" s="133" t="s">
        <v>201</v>
      </c>
      <c r="F167" s="134" t="s">
        <v>48</v>
      </c>
      <c r="G167" s="111">
        <v>5541.1</v>
      </c>
      <c r="H167" s="167"/>
      <c r="I167" s="111">
        <f>SUM(G167)+H167</f>
        <v>5541.1</v>
      </c>
      <c r="J167" s="115">
        <v>0</v>
      </c>
      <c r="K167" s="111"/>
      <c r="L167" s="115">
        <v>0</v>
      </c>
      <c r="M167" s="111">
        <f>SUM(G167)</f>
        <v>5541.1</v>
      </c>
      <c r="N167" s="111">
        <f>SUM(H167)</f>
        <v>0</v>
      </c>
      <c r="O167" s="111">
        <f>SUM(I167)</f>
        <v>5541.1</v>
      </c>
      <c r="P167" s="97">
        <f t="shared" si="32"/>
        <v>5541.1</v>
      </c>
      <c r="Q167" s="97">
        <f t="shared" si="33"/>
        <v>0</v>
      </c>
    </row>
    <row r="168" spans="1:17" ht="15.75" x14ac:dyDescent="0.2">
      <c r="A168" s="40"/>
      <c r="B168" s="113" t="s">
        <v>202</v>
      </c>
      <c r="C168" s="113" t="s">
        <v>51</v>
      </c>
      <c r="D168" s="133" t="s">
        <v>193</v>
      </c>
      <c r="E168" s="133" t="s">
        <v>203</v>
      </c>
      <c r="F168" s="134" t="s">
        <v>11</v>
      </c>
      <c r="G168" s="111">
        <f t="shared" ref="G168:O170" si="34">G169</f>
        <v>20</v>
      </c>
      <c r="H168" s="111">
        <f t="shared" si="34"/>
        <v>0</v>
      </c>
      <c r="I168" s="111">
        <f t="shared" si="34"/>
        <v>20</v>
      </c>
      <c r="J168" s="114">
        <f t="shared" si="34"/>
        <v>0</v>
      </c>
      <c r="K168" s="111">
        <f>K169</f>
        <v>0</v>
      </c>
      <c r="L168" s="114">
        <f t="shared" si="34"/>
        <v>0</v>
      </c>
      <c r="M168" s="111">
        <f t="shared" si="34"/>
        <v>20</v>
      </c>
      <c r="N168" s="111">
        <f t="shared" si="34"/>
        <v>0</v>
      </c>
      <c r="O168" s="111">
        <f t="shared" si="34"/>
        <v>20</v>
      </c>
      <c r="P168" s="97">
        <f t="shared" si="32"/>
        <v>20</v>
      </c>
      <c r="Q168" s="97">
        <f t="shared" si="33"/>
        <v>0</v>
      </c>
    </row>
    <row r="169" spans="1:17" ht="34.9" customHeight="1" x14ac:dyDescent="0.2">
      <c r="A169" s="40"/>
      <c r="B169" s="113" t="s">
        <v>204</v>
      </c>
      <c r="C169" s="113" t="s">
        <v>51</v>
      </c>
      <c r="D169" s="133" t="s">
        <v>193</v>
      </c>
      <c r="E169" s="133" t="s">
        <v>205</v>
      </c>
      <c r="F169" s="134" t="s">
        <v>11</v>
      </c>
      <c r="G169" s="111">
        <f t="shared" si="34"/>
        <v>20</v>
      </c>
      <c r="H169" s="111">
        <f t="shared" si="34"/>
        <v>0</v>
      </c>
      <c r="I169" s="111">
        <f t="shared" si="34"/>
        <v>20</v>
      </c>
      <c r="J169" s="114">
        <f t="shared" si="34"/>
        <v>0</v>
      </c>
      <c r="K169" s="111">
        <f>K170</f>
        <v>0</v>
      </c>
      <c r="L169" s="114">
        <f t="shared" si="34"/>
        <v>0</v>
      </c>
      <c r="M169" s="111">
        <f t="shared" si="34"/>
        <v>20</v>
      </c>
      <c r="N169" s="111">
        <f t="shared" si="34"/>
        <v>0</v>
      </c>
      <c r="O169" s="111">
        <f t="shared" si="34"/>
        <v>20</v>
      </c>
      <c r="P169" s="97">
        <f t="shared" si="32"/>
        <v>20</v>
      </c>
      <c r="Q169" s="97">
        <f t="shared" si="33"/>
        <v>0</v>
      </c>
    </row>
    <row r="170" spans="1:17" ht="15.75" x14ac:dyDescent="0.2">
      <c r="A170" s="40"/>
      <c r="B170" s="113" t="s">
        <v>206</v>
      </c>
      <c r="C170" s="113" t="s">
        <v>51</v>
      </c>
      <c r="D170" s="133" t="s">
        <v>193</v>
      </c>
      <c r="E170" s="133" t="s">
        <v>207</v>
      </c>
      <c r="F170" s="134" t="s">
        <v>11</v>
      </c>
      <c r="G170" s="111">
        <f>G171</f>
        <v>20</v>
      </c>
      <c r="H170" s="111"/>
      <c r="I170" s="111">
        <f>I171</f>
        <v>20</v>
      </c>
      <c r="J170" s="114">
        <f t="shared" si="34"/>
        <v>0</v>
      </c>
      <c r="K170" s="111"/>
      <c r="L170" s="114">
        <f t="shared" si="34"/>
        <v>0</v>
      </c>
      <c r="M170" s="111">
        <f t="shared" si="34"/>
        <v>20</v>
      </c>
      <c r="N170" s="111">
        <f t="shared" si="34"/>
        <v>0</v>
      </c>
      <c r="O170" s="111">
        <f t="shared" si="34"/>
        <v>20</v>
      </c>
      <c r="P170" s="97">
        <f t="shared" si="32"/>
        <v>20</v>
      </c>
      <c r="Q170" s="97">
        <f t="shared" si="33"/>
        <v>0</v>
      </c>
    </row>
    <row r="171" spans="1:17" ht="31.5" x14ac:dyDescent="0.2">
      <c r="A171" s="40"/>
      <c r="B171" s="113" t="s">
        <v>40</v>
      </c>
      <c r="C171" s="113" t="s">
        <v>51</v>
      </c>
      <c r="D171" s="133" t="s">
        <v>193</v>
      </c>
      <c r="E171" s="133" t="s">
        <v>207</v>
      </c>
      <c r="F171" s="134" t="s">
        <v>41</v>
      </c>
      <c r="G171" s="111">
        <v>20</v>
      </c>
      <c r="H171" s="111"/>
      <c r="I171" s="111">
        <v>20</v>
      </c>
      <c r="J171" s="115">
        <v>0</v>
      </c>
      <c r="K171" s="111"/>
      <c r="L171" s="115">
        <v>0</v>
      </c>
      <c r="M171" s="111">
        <v>20</v>
      </c>
      <c r="N171" s="111"/>
      <c r="O171" s="111">
        <v>20</v>
      </c>
      <c r="P171" s="97">
        <f t="shared" si="32"/>
        <v>20</v>
      </c>
      <c r="Q171" s="97">
        <f t="shared" si="33"/>
        <v>0</v>
      </c>
    </row>
    <row r="172" spans="1:17" ht="31.5" x14ac:dyDescent="0.2">
      <c r="A172" s="40"/>
      <c r="B172" s="113" t="s">
        <v>185</v>
      </c>
      <c r="C172" s="113" t="s">
        <v>51</v>
      </c>
      <c r="D172" s="133" t="s">
        <v>193</v>
      </c>
      <c r="E172" s="133" t="s">
        <v>186</v>
      </c>
      <c r="F172" s="134" t="s">
        <v>11</v>
      </c>
      <c r="G172" s="111">
        <f t="shared" ref="G172:O174" si="35">G173</f>
        <v>95</v>
      </c>
      <c r="H172" s="111">
        <f t="shared" si="35"/>
        <v>0</v>
      </c>
      <c r="I172" s="111">
        <f t="shared" si="35"/>
        <v>95</v>
      </c>
      <c r="J172" s="114">
        <f t="shared" si="35"/>
        <v>0</v>
      </c>
      <c r="K172" s="111">
        <f>K173</f>
        <v>0</v>
      </c>
      <c r="L172" s="114">
        <f t="shared" si="35"/>
        <v>0</v>
      </c>
      <c r="M172" s="111">
        <f t="shared" si="35"/>
        <v>95</v>
      </c>
      <c r="N172" s="111">
        <f t="shared" si="35"/>
        <v>0</v>
      </c>
      <c r="O172" s="111">
        <f t="shared" si="35"/>
        <v>95</v>
      </c>
      <c r="P172" s="97">
        <f t="shared" si="32"/>
        <v>95</v>
      </c>
      <c r="Q172" s="97">
        <f t="shared" si="33"/>
        <v>0</v>
      </c>
    </row>
    <row r="173" spans="1:17" ht="52.15" customHeight="1" x14ac:dyDescent="0.2">
      <c r="A173" s="40"/>
      <c r="B173" s="113" t="s">
        <v>208</v>
      </c>
      <c r="C173" s="113" t="s">
        <v>51</v>
      </c>
      <c r="D173" s="133" t="s">
        <v>193</v>
      </c>
      <c r="E173" s="133" t="s">
        <v>209</v>
      </c>
      <c r="F173" s="134" t="s">
        <v>11</v>
      </c>
      <c r="G173" s="111">
        <f t="shared" si="35"/>
        <v>95</v>
      </c>
      <c r="H173" s="111">
        <f t="shared" si="35"/>
        <v>0</v>
      </c>
      <c r="I173" s="111">
        <f t="shared" si="35"/>
        <v>95</v>
      </c>
      <c r="J173" s="114">
        <f t="shared" si="35"/>
        <v>0</v>
      </c>
      <c r="K173" s="111">
        <f>K174</f>
        <v>0</v>
      </c>
      <c r="L173" s="114">
        <f t="shared" si="35"/>
        <v>0</v>
      </c>
      <c r="M173" s="111">
        <f t="shared" si="35"/>
        <v>95</v>
      </c>
      <c r="N173" s="111">
        <f t="shared" si="35"/>
        <v>0</v>
      </c>
      <c r="O173" s="111">
        <f t="shared" si="35"/>
        <v>95</v>
      </c>
      <c r="P173" s="97">
        <f t="shared" si="32"/>
        <v>95</v>
      </c>
      <c r="Q173" s="97">
        <f t="shared" si="33"/>
        <v>0</v>
      </c>
    </row>
    <row r="174" spans="1:17" ht="20.45" customHeight="1" x14ac:dyDescent="0.2">
      <c r="A174" s="40"/>
      <c r="B174" s="113" t="s">
        <v>210</v>
      </c>
      <c r="C174" s="113" t="s">
        <v>51</v>
      </c>
      <c r="D174" s="133" t="s">
        <v>193</v>
      </c>
      <c r="E174" s="133" t="s">
        <v>211</v>
      </c>
      <c r="F174" s="134" t="s">
        <v>11</v>
      </c>
      <c r="G174" s="111">
        <f>G175</f>
        <v>95</v>
      </c>
      <c r="H174" s="111"/>
      <c r="I174" s="111">
        <f>I175</f>
        <v>95</v>
      </c>
      <c r="J174" s="114">
        <f t="shared" si="35"/>
        <v>0</v>
      </c>
      <c r="K174" s="111"/>
      <c r="L174" s="114">
        <f t="shared" si="35"/>
        <v>0</v>
      </c>
      <c r="M174" s="111">
        <f t="shared" si="35"/>
        <v>95</v>
      </c>
      <c r="N174" s="111">
        <f t="shared" si="35"/>
        <v>0</v>
      </c>
      <c r="O174" s="111">
        <f t="shared" si="35"/>
        <v>95</v>
      </c>
      <c r="P174" s="97">
        <f t="shared" si="32"/>
        <v>95</v>
      </c>
      <c r="Q174" s="97">
        <f t="shared" si="33"/>
        <v>0</v>
      </c>
    </row>
    <row r="175" spans="1:17" ht="31.5" x14ac:dyDescent="0.2">
      <c r="A175" s="40"/>
      <c r="B175" s="113" t="s">
        <v>40</v>
      </c>
      <c r="C175" s="113" t="s">
        <v>51</v>
      </c>
      <c r="D175" s="133" t="s">
        <v>193</v>
      </c>
      <c r="E175" s="133" t="s">
        <v>211</v>
      </c>
      <c r="F175" s="134" t="s">
        <v>41</v>
      </c>
      <c r="G175" s="111">
        <v>95</v>
      </c>
      <c r="H175" s="106"/>
      <c r="I175" s="111">
        <v>95</v>
      </c>
      <c r="J175" s="115">
        <v>0</v>
      </c>
      <c r="K175" s="106"/>
      <c r="L175" s="115">
        <v>0</v>
      </c>
      <c r="M175" s="111">
        <v>95</v>
      </c>
      <c r="N175" s="111"/>
      <c r="O175" s="111">
        <v>95</v>
      </c>
      <c r="P175" s="97">
        <f t="shared" si="32"/>
        <v>95</v>
      </c>
      <c r="Q175" s="97">
        <f t="shared" si="33"/>
        <v>0</v>
      </c>
    </row>
    <row r="176" spans="1:17" ht="15.75" x14ac:dyDescent="0.2">
      <c r="A176" s="20" t="s">
        <v>212</v>
      </c>
      <c r="B176" s="107" t="s">
        <v>213</v>
      </c>
      <c r="C176" s="107" t="s">
        <v>51</v>
      </c>
      <c r="D176" s="129" t="s">
        <v>214</v>
      </c>
      <c r="E176" s="129" t="s">
        <v>11</v>
      </c>
      <c r="F176" s="130" t="s">
        <v>11</v>
      </c>
      <c r="G176" s="106">
        <f t="shared" ref="G176:O176" si="36">G177+G185+G208+G214</f>
        <v>79785.3</v>
      </c>
      <c r="H176" s="106">
        <f>H177+H185+H208+H214</f>
        <v>0</v>
      </c>
      <c r="I176" s="106">
        <f t="shared" si="36"/>
        <v>79785.3</v>
      </c>
      <c r="J176" s="108">
        <f t="shared" si="36"/>
        <v>215446.9</v>
      </c>
      <c r="K176" s="108">
        <f t="shared" si="36"/>
        <v>0</v>
      </c>
      <c r="L176" s="108">
        <f t="shared" si="36"/>
        <v>215446.9</v>
      </c>
      <c r="M176" s="106">
        <f t="shared" si="36"/>
        <v>295232.2</v>
      </c>
      <c r="N176" s="106">
        <f t="shared" si="36"/>
        <v>0</v>
      </c>
      <c r="O176" s="106">
        <f t="shared" si="36"/>
        <v>295232.2</v>
      </c>
      <c r="P176" s="97">
        <f t="shared" si="32"/>
        <v>79785.3</v>
      </c>
      <c r="Q176" s="97">
        <f t="shared" si="33"/>
        <v>0</v>
      </c>
    </row>
    <row r="177" spans="1:17" ht="15.75" x14ac:dyDescent="0.2">
      <c r="A177" s="33" t="s">
        <v>215</v>
      </c>
      <c r="B177" s="110" t="s">
        <v>216</v>
      </c>
      <c r="C177" s="110" t="s">
        <v>51</v>
      </c>
      <c r="D177" s="131" t="s">
        <v>217</v>
      </c>
      <c r="E177" s="131" t="s">
        <v>11</v>
      </c>
      <c r="F177" s="132" t="s">
        <v>11</v>
      </c>
      <c r="G177" s="109">
        <f t="shared" ref="G177:O181" si="37">G178</f>
        <v>11222.4</v>
      </c>
      <c r="H177" s="111">
        <f t="shared" si="37"/>
        <v>0</v>
      </c>
      <c r="I177" s="109">
        <f t="shared" si="37"/>
        <v>11222.4</v>
      </c>
      <c r="J177" s="112">
        <f t="shared" si="37"/>
        <v>148194</v>
      </c>
      <c r="K177" s="111">
        <f>K178</f>
        <v>0</v>
      </c>
      <c r="L177" s="112">
        <f t="shared" si="37"/>
        <v>148194</v>
      </c>
      <c r="M177" s="109">
        <f>M178</f>
        <v>159416.4</v>
      </c>
      <c r="N177" s="109">
        <f t="shared" si="37"/>
        <v>0</v>
      </c>
      <c r="O177" s="109">
        <f t="shared" si="37"/>
        <v>159416.4</v>
      </c>
      <c r="P177" s="97">
        <f t="shared" si="32"/>
        <v>11222.4</v>
      </c>
      <c r="Q177" s="97">
        <f t="shared" si="33"/>
        <v>0</v>
      </c>
    </row>
    <row r="178" spans="1:17" ht="31.5" x14ac:dyDescent="0.2">
      <c r="A178" s="40"/>
      <c r="B178" s="113" t="s">
        <v>218</v>
      </c>
      <c r="C178" s="113" t="s">
        <v>51</v>
      </c>
      <c r="D178" s="133" t="s">
        <v>217</v>
      </c>
      <c r="E178" s="133" t="s">
        <v>219</v>
      </c>
      <c r="F178" s="134" t="s">
        <v>11</v>
      </c>
      <c r="G178" s="111">
        <f t="shared" si="37"/>
        <v>11222.4</v>
      </c>
      <c r="H178" s="111">
        <f t="shared" si="37"/>
        <v>0</v>
      </c>
      <c r="I178" s="111">
        <f t="shared" si="37"/>
        <v>11222.4</v>
      </c>
      <c r="J178" s="114">
        <f t="shared" si="37"/>
        <v>148194</v>
      </c>
      <c r="K178" s="111">
        <f>K179</f>
        <v>0</v>
      </c>
      <c r="L178" s="114">
        <f t="shared" si="37"/>
        <v>148194</v>
      </c>
      <c r="M178" s="111">
        <f t="shared" si="37"/>
        <v>159416.4</v>
      </c>
      <c r="N178" s="111">
        <f t="shared" si="37"/>
        <v>0</v>
      </c>
      <c r="O178" s="111">
        <f t="shared" si="37"/>
        <v>159416.4</v>
      </c>
      <c r="P178" s="97">
        <f t="shared" si="32"/>
        <v>11222.4</v>
      </c>
      <c r="Q178" s="97">
        <f t="shared" si="33"/>
        <v>0</v>
      </c>
    </row>
    <row r="179" spans="1:17" ht="31.5" x14ac:dyDescent="0.2">
      <c r="A179" s="40"/>
      <c r="B179" s="113" t="s">
        <v>185</v>
      </c>
      <c r="C179" s="113" t="s">
        <v>51</v>
      </c>
      <c r="D179" s="133" t="s">
        <v>217</v>
      </c>
      <c r="E179" s="133" t="s">
        <v>220</v>
      </c>
      <c r="F179" s="134" t="s">
        <v>11</v>
      </c>
      <c r="G179" s="111">
        <f t="shared" si="37"/>
        <v>11222.4</v>
      </c>
      <c r="H179" s="111">
        <f t="shared" si="37"/>
        <v>0</v>
      </c>
      <c r="I179" s="111">
        <f t="shared" si="37"/>
        <v>11222.4</v>
      </c>
      <c r="J179" s="114">
        <f t="shared" si="37"/>
        <v>148194</v>
      </c>
      <c r="K179" s="111">
        <f>K180</f>
        <v>0</v>
      </c>
      <c r="L179" s="114">
        <f t="shared" si="37"/>
        <v>148194</v>
      </c>
      <c r="M179" s="111">
        <f t="shared" si="37"/>
        <v>159416.4</v>
      </c>
      <c r="N179" s="111">
        <f t="shared" si="37"/>
        <v>0</v>
      </c>
      <c r="O179" s="111">
        <f t="shared" si="37"/>
        <v>159416.4</v>
      </c>
      <c r="P179" s="97">
        <f t="shared" si="32"/>
        <v>11222.4</v>
      </c>
      <c r="Q179" s="97">
        <f t="shared" si="33"/>
        <v>0</v>
      </c>
    </row>
    <row r="180" spans="1:17" ht="31.5" x14ac:dyDescent="0.2">
      <c r="A180" s="40"/>
      <c r="B180" s="113" t="s">
        <v>221</v>
      </c>
      <c r="C180" s="113" t="s">
        <v>51</v>
      </c>
      <c r="D180" s="133" t="s">
        <v>217</v>
      </c>
      <c r="E180" s="133" t="s">
        <v>222</v>
      </c>
      <c r="F180" s="134" t="s">
        <v>11</v>
      </c>
      <c r="G180" s="111">
        <f>G181+G183</f>
        <v>11222.4</v>
      </c>
      <c r="H180" s="111">
        <f>H181+H183</f>
        <v>0</v>
      </c>
      <c r="I180" s="111">
        <f>I181+I183</f>
        <v>11222.4</v>
      </c>
      <c r="J180" s="114">
        <f t="shared" si="37"/>
        <v>148194</v>
      </c>
      <c r="K180" s="111">
        <f>K181</f>
        <v>0</v>
      </c>
      <c r="L180" s="114">
        <f t="shared" si="37"/>
        <v>148194</v>
      </c>
      <c r="M180" s="111">
        <f>SUM(G180+J180)</f>
        <v>159416.4</v>
      </c>
      <c r="N180" s="111">
        <f>N181+N183</f>
        <v>0</v>
      </c>
      <c r="O180" s="111">
        <f>SUM(I180+L180)</f>
        <v>159416.4</v>
      </c>
      <c r="P180" s="97">
        <f t="shared" si="32"/>
        <v>11222.4</v>
      </c>
      <c r="Q180" s="97">
        <f t="shared" si="33"/>
        <v>0</v>
      </c>
    </row>
    <row r="181" spans="1:17" ht="84" customHeight="1" x14ac:dyDescent="0.2">
      <c r="A181" s="40"/>
      <c r="B181" s="113" t="s">
        <v>577</v>
      </c>
      <c r="C181" s="113" t="s">
        <v>51</v>
      </c>
      <c r="D181" s="133" t="s">
        <v>217</v>
      </c>
      <c r="E181" s="133" t="s">
        <v>224</v>
      </c>
      <c r="F181" s="134" t="s">
        <v>11</v>
      </c>
      <c r="G181" s="111">
        <f>G182</f>
        <v>7799.8</v>
      </c>
      <c r="H181" s="111"/>
      <c r="I181" s="111">
        <f>I182</f>
        <v>7799.8</v>
      </c>
      <c r="J181" s="114">
        <f t="shared" si="37"/>
        <v>148194</v>
      </c>
      <c r="K181" s="111">
        <f>SUM(K182)</f>
        <v>0</v>
      </c>
      <c r="L181" s="114">
        <f t="shared" si="37"/>
        <v>148194</v>
      </c>
      <c r="M181" s="111">
        <f t="shared" si="37"/>
        <v>155993.79999999999</v>
      </c>
      <c r="N181" s="111">
        <f>N182</f>
        <v>0</v>
      </c>
      <c r="O181" s="111">
        <f t="shared" si="37"/>
        <v>155993.79999999999</v>
      </c>
      <c r="P181" s="97">
        <f t="shared" si="32"/>
        <v>7799.8</v>
      </c>
      <c r="Q181" s="97">
        <f t="shared" si="33"/>
        <v>0</v>
      </c>
    </row>
    <row r="182" spans="1:17" ht="31.5" x14ac:dyDescent="0.2">
      <c r="A182" s="40"/>
      <c r="B182" s="113" t="s">
        <v>225</v>
      </c>
      <c r="C182" s="113" t="s">
        <v>51</v>
      </c>
      <c r="D182" s="133" t="s">
        <v>217</v>
      </c>
      <c r="E182" s="133" t="s">
        <v>224</v>
      </c>
      <c r="F182" s="134" t="s">
        <v>226</v>
      </c>
      <c r="G182" s="111">
        <v>7799.8</v>
      </c>
      <c r="H182" s="109"/>
      <c r="I182" s="111">
        <f>487.6+7312.2</f>
        <v>7799.8</v>
      </c>
      <c r="J182" s="115">
        <v>148194</v>
      </c>
      <c r="K182" s="109"/>
      <c r="L182" s="115">
        <f>SUM(J182)</f>
        <v>148194</v>
      </c>
      <c r="M182" s="111">
        <f>SUM(G182+J182)</f>
        <v>155993.79999999999</v>
      </c>
      <c r="N182" s="111">
        <f>SUM(K182)+H182</f>
        <v>0</v>
      </c>
      <c r="O182" s="111">
        <f>SUM(N182)+M182</f>
        <v>155993.79999999999</v>
      </c>
      <c r="P182" s="97">
        <f t="shared" si="32"/>
        <v>7799.8</v>
      </c>
      <c r="Q182" s="97">
        <f t="shared" si="33"/>
        <v>0</v>
      </c>
    </row>
    <row r="183" spans="1:17" ht="110.25" x14ac:dyDescent="0.2">
      <c r="A183" s="40"/>
      <c r="B183" s="140" t="s">
        <v>576</v>
      </c>
      <c r="C183" s="113">
        <v>992</v>
      </c>
      <c r="D183" s="133" t="s">
        <v>217</v>
      </c>
      <c r="E183" s="136" t="s">
        <v>562</v>
      </c>
      <c r="F183" s="134"/>
      <c r="G183" s="111">
        <f>SUM(G184)</f>
        <v>3422.6</v>
      </c>
      <c r="H183" s="111">
        <f>H184</f>
        <v>0</v>
      </c>
      <c r="I183" s="111">
        <f>SUM(G183:H183)</f>
        <v>3422.6</v>
      </c>
      <c r="J183" s="115"/>
      <c r="K183" s="109"/>
      <c r="L183" s="115"/>
      <c r="M183" s="111">
        <f>M184</f>
        <v>3422.6</v>
      </c>
      <c r="N183" s="111">
        <f t="shared" ref="M183:O184" si="38">SUM(H183)</f>
        <v>0</v>
      </c>
      <c r="O183" s="111">
        <f>SUM(I183)</f>
        <v>3422.6</v>
      </c>
      <c r="P183" s="97">
        <f t="shared" si="32"/>
        <v>3422.6</v>
      </c>
      <c r="Q183" s="97">
        <f t="shared" si="33"/>
        <v>0</v>
      </c>
    </row>
    <row r="184" spans="1:17" ht="31.5" x14ac:dyDescent="0.2">
      <c r="A184" s="40"/>
      <c r="B184" s="113" t="s">
        <v>225</v>
      </c>
      <c r="C184" s="113">
        <v>992</v>
      </c>
      <c r="D184" s="133" t="s">
        <v>217</v>
      </c>
      <c r="E184" s="136" t="s">
        <v>562</v>
      </c>
      <c r="F184" s="134">
        <v>400</v>
      </c>
      <c r="G184" s="111">
        <v>3422.6</v>
      </c>
      <c r="H184" s="111"/>
      <c r="I184" s="111">
        <f>SUM(H184)+G184</f>
        <v>3422.6</v>
      </c>
      <c r="J184" s="115"/>
      <c r="K184" s="109"/>
      <c r="L184" s="115"/>
      <c r="M184" s="111">
        <f t="shared" si="38"/>
        <v>3422.6</v>
      </c>
      <c r="N184" s="111">
        <f t="shared" si="38"/>
        <v>0</v>
      </c>
      <c r="O184" s="111">
        <f t="shared" si="38"/>
        <v>3422.6</v>
      </c>
      <c r="P184" s="97">
        <f t="shared" si="32"/>
        <v>3422.6</v>
      </c>
      <c r="Q184" s="97">
        <f t="shared" si="33"/>
        <v>0</v>
      </c>
    </row>
    <row r="185" spans="1:17" ht="15.75" x14ac:dyDescent="0.2">
      <c r="A185" s="33" t="s">
        <v>227</v>
      </c>
      <c r="B185" s="110" t="s">
        <v>228</v>
      </c>
      <c r="C185" s="110" t="s">
        <v>51</v>
      </c>
      <c r="D185" s="131" t="s">
        <v>229</v>
      </c>
      <c r="E185" s="131" t="s">
        <v>11</v>
      </c>
      <c r="F185" s="132" t="s">
        <v>11</v>
      </c>
      <c r="G185" s="109">
        <f>G186+G199+G205</f>
        <v>35532.799999999996</v>
      </c>
      <c r="H185" s="111">
        <f>H186+H199+H206</f>
        <v>0</v>
      </c>
      <c r="I185" s="109">
        <f>I186+I199+I205</f>
        <v>35532.799999999996</v>
      </c>
      <c r="J185" s="112">
        <f>J186+J199</f>
        <v>53692.5</v>
      </c>
      <c r="K185" s="109">
        <f>K186</f>
        <v>0</v>
      </c>
      <c r="L185" s="112">
        <f>L186+L199</f>
        <v>53692.5</v>
      </c>
      <c r="M185" s="109">
        <f>M186+M199+M205</f>
        <v>89225.3</v>
      </c>
      <c r="N185" s="109">
        <f>N186+N199+N206</f>
        <v>0</v>
      </c>
      <c r="O185" s="109">
        <f>O186+O199+O205</f>
        <v>89225.3</v>
      </c>
      <c r="P185" s="97">
        <f t="shared" si="32"/>
        <v>35532.799999999996</v>
      </c>
      <c r="Q185" s="97">
        <f t="shared" si="33"/>
        <v>0</v>
      </c>
    </row>
    <row r="186" spans="1:17" ht="47.25" x14ac:dyDescent="0.2">
      <c r="A186" s="40"/>
      <c r="B186" s="113" t="s">
        <v>230</v>
      </c>
      <c r="C186" s="113" t="s">
        <v>51</v>
      </c>
      <c r="D186" s="133" t="s">
        <v>229</v>
      </c>
      <c r="E186" s="133" t="s">
        <v>231</v>
      </c>
      <c r="F186" s="134" t="s">
        <v>11</v>
      </c>
      <c r="G186" s="111">
        <f>G187</f>
        <v>18456.2</v>
      </c>
      <c r="H186" s="111">
        <f>H187</f>
        <v>0</v>
      </c>
      <c r="I186" s="111">
        <f>I187</f>
        <v>18456.2</v>
      </c>
      <c r="J186" s="114">
        <f>J187</f>
        <v>53692.5</v>
      </c>
      <c r="K186" s="111">
        <f>K187+K195</f>
        <v>0</v>
      </c>
      <c r="L186" s="114">
        <f>L187</f>
        <v>53692.5</v>
      </c>
      <c r="M186" s="111">
        <f>M187</f>
        <v>72148.7</v>
      </c>
      <c r="N186" s="111">
        <f>N187</f>
        <v>0</v>
      </c>
      <c r="O186" s="111">
        <f>O187</f>
        <v>72148.7</v>
      </c>
      <c r="P186" s="97">
        <f t="shared" si="32"/>
        <v>18456.2</v>
      </c>
      <c r="Q186" s="97">
        <f t="shared" si="33"/>
        <v>0</v>
      </c>
    </row>
    <row r="187" spans="1:17" ht="47.25" x14ac:dyDescent="0.2">
      <c r="A187" s="40"/>
      <c r="B187" s="113" t="s">
        <v>232</v>
      </c>
      <c r="C187" s="113" t="s">
        <v>51</v>
      </c>
      <c r="D187" s="133" t="s">
        <v>229</v>
      </c>
      <c r="E187" s="133" t="s">
        <v>233</v>
      </c>
      <c r="F187" s="134" t="s">
        <v>11</v>
      </c>
      <c r="G187" s="111">
        <f>G188+G196</f>
        <v>18456.2</v>
      </c>
      <c r="H187" s="111">
        <f>H188+H196</f>
        <v>0</v>
      </c>
      <c r="I187" s="111">
        <f>I188+I196</f>
        <v>18456.2</v>
      </c>
      <c r="J187" s="114">
        <f>J188+J196</f>
        <v>53692.5</v>
      </c>
      <c r="K187" s="111">
        <f>K188</f>
        <v>0</v>
      </c>
      <c r="L187" s="114">
        <f>L188+L196</f>
        <v>53692.5</v>
      </c>
      <c r="M187" s="111">
        <f>M188+M196</f>
        <v>72148.7</v>
      </c>
      <c r="N187" s="111">
        <f>N188+N196</f>
        <v>0</v>
      </c>
      <c r="O187" s="111">
        <f>O188+O196</f>
        <v>72148.7</v>
      </c>
      <c r="P187" s="97">
        <f t="shared" si="32"/>
        <v>18456.2</v>
      </c>
      <c r="Q187" s="97">
        <f t="shared" si="33"/>
        <v>0</v>
      </c>
    </row>
    <row r="188" spans="1:17" ht="31.5" x14ac:dyDescent="0.2">
      <c r="A188" s="40"/>
      <c r="B188" s="113" t="s">
        <v>234</v>
      </c>
      <c r="C188" s="113" t="s">
        <v>51</v>
      </c>
      <c r="D188" s="133" t="s">
        <v>229</v>
      </c>
      <c r="E188" s="133" t="s">
        <v>235</v>
      </c>
      <c r="F188" s="134" t="s">
        <v>11</v>
      </c>
      <c r="G188" s="111">
        <f>G189+G194+G192</f>
        <v>10274.1</v>
      </c>
      <c r="H188" s="111">
        <f t="shared" ref="H188:O188" si="39">H189+H194+H192</f>
        <v>0</v>
      </c>
      <c r="I188" s="111">
        <f t="shared" si="39"/>
        <v>10274.1</v>
      </c>
      <c r="J188" s="111">
        <f t="shared" si="39"/>
        <v>53692.5</v>
      </c>
      <c r="K188" s="111">
        <f t="shared" si="39"/>
        <v>0</v>
      </c>
      <c r="L188" s="111">
        <f t="shared" si="39"/>
        <v>53692.5</v>
      </c>
      <c r="M188" s="111">
        <f t="shared" si="39"/>
        <v>63966.6</v>
      </c>
      <c r="N188" s="111">
        <f t="shared" si="39"/>
        <v>0</v>
      </c>
      <c r="O188" s="111">
        <f t="shared" si="39"/>
        <v>63966.6</v>
      </c>
      <c r="P188" s="97">
        <f t="shared" si="32"/>
        <v>10274.1</v>
      </c>
      <c r="Q188" s="97">
        <f t="shared" si="33"/>
        <v>0</v>
      </c>
    </row>
    <row r="189" spans="1:17" ht="63" x14ac:dyDescent="0.2">
      <c r="A189" s="40"/>
      <c r="B189" s="113" t="s">
        <v>236</v>
      </c>
      <c r="C189" s="113" t="s">
        <v>51</v>
      </c>
      <c r="D189" s="133" t="s">
        <v>229</v>
      </c>
      <c r="E189" s="133" t="s">
        <v>237</v>
      </c>
      <c r="F189" s="134" t="s">
        <v>11</v>
      </c>
      <c r="G189" s="111">
        <f>G190+G191</f>
        <v>10274.1</v>
      </c>
      <c r="H189" s="111">
        <f>H190+H191</f>
        <v>0</v>
      </c>
      <c r="I189" s="111">
        <f t="shared" ref="I189:O189" si="40">I190+I191</f>
        <v>10274.1</v>
      </c>
      <c r="J189" s="114">
        <f t="shared" si="40"/>
        <v>27036</v>
      </c>
      <c r="K189" s="114">
        <f t="shared" si="40"/>
        <v>0</v>
      </c>
      <c r="L189" s="114">
        <f t="shared" si="40"/>
        <v>27036</v>
      </c>
      <c r="M189" s="111">
        <f t="shared" si="40"/>
        <v>37310.1</v>
      </c>
      <c r="N189" s="111">
        <f t="shared" si="40"/>
        <v>0</v>
      </c>
      <c r="O189" s="111">
        <f t="shared" si="40"/>
        <v>37310.1</v>
      </c>
      <c r="P189" s="97">
        <f t="shared" si="32"/>
        <v>10274.1</v>
      </c>
      <c r="Q189" s="97">
        <f t="shared" si="33"/>
        <v>0</v>
      </c>
    </row>
    <row r="190" spans="1:17" ht="31.5" x14ac:dyDescent="0.2">
      <c r="A190" s="40"/>
      <c r="B190" s="113" t="s">
        <v>40</v>
      </c>
      <c r="C190" s="113" t="s">
        <v>51</v>
      </c>
      <c r="D190" s="133" t="s">
        <v>229</v>
      </c>
      <c r="E190" s="133" t="s">
        <v>237</v>
      </c>
      <c r="F190" s="134" t="s">
        <v>41</v>
      </c>
      <c r="G190" s="111">
        <v>9794.1</v>
      </c>
      <c r="H190" s="111"/>
      <c r="I190" s="111">
        <f>SUM(G190)+H190</f>
        <v>9794.1</v>
      </c>
      <c r="J190" s="115">
        <v>10000</v>
      </c>
      <c r="K190" s="111"/>
      <c r="L190" s="115">
        <v>10000</v>
      </c>
      <c r="M190" s="111">
        <f>SUM(G190+J190)</f>
        <v>19794.099999999999</v>
      </c>
      <c r="N190" s="111">
        <f>SUM(K190)+H190</f>
        <v>0</v>
      </c>
      <c r="O190" s="111">
        <f>SUM(I190+L190)</f>
        <v>19794.099999999999</v>
      </c>
      <c r="P190" s="97">
        <f t="shared" si="32"/>
        <v>9794.1</v>
      </c>
      <c r="Q190" s="97">
        <f t="shared" si="33"/>
        <v>0</v>
      </c>
    </row>
    <row r="191" spans="1:17" ht="31.5" x14ac:dyDescent="0.2">
      <c r="A191" s="40"/>
      <c r="B191" s="113" t="s">
        <v>225</v>
      </c>
      <c r="C191" s="118">
        <v>992</v>
      </c>
      <c r="D191" s="136" t="s">
        <v>229</v>
      </c>
      <c r="E191" s="136" t="s">
        <v>237</v>
      </c>
      <c r="F191" s="141" t="s">
        <v>226</v>
      </c>
      <c r="G191" s="111">
        <v>480</v>
      </c>
      <c r="H191" s="111"/>
      <c r="I191" s="111">
        <f>SUM(G191)+H191</f>
        <v>480</v>
      </c>
      <c r="J191" s="115">
        <v>17036</v>
      </c>
      <c r="K191" s="111"/>
      <c r="L191" s="115">
        <f>SUM(J191)</f>
        <v>17036</v>
      </c>
      <c r="M191" s="111">
        <f>SUM(G191+J191)</f>
        <v>17516</v>
      </c>
      <c r="N191" s="111">
        <f>SUM(K191)+H191</f>
        <v>0</v>
      </c>
      <c r="O191" s="111">
        <f>SUM(M191)+N191</f>
        <v>17516</v>
      </c>
      <c r="P191" s="97">
        <f t="shared" si="32"/>
        <v>480</v>
      </c>
      <c r="Q191" s="97">
        <f t="shared" si="33"/>
        <v>0</v>
      </c>
    </row>
    <row r="192" spans="1:17" ht="110.25" x14ac:dyDescent="0.2">
      <c r="A192" s="40"/>
      <c r="B192" s="135" t="s">
        <v>238</v>
      </c>
      <c r="C192" s="118">
        <v>992</v>
      </c>
      <c r="D192" s="136" t="s">
        <v>229</v>
      </c>
      <c r="E192" s="136" t="s">
        <v>239</v>
      </c>
      <c r="F192" s="141"/>
      <c r="G192" s="111">
        <f t="shared" ref="G192:O192" si="41">G193</f>
        <v>0</v>
      </c>
      <c r="H192" s="111">
        <f t="shared" si="41"/>
        <v>0</v>
      </c>
      <c r="I192" s="111">
        <f t="shared" si="41"/>
        <v>0</v>
      </c>
      <c r="J192" s="115">
        <f t="shared" si="41"/>
        <v>26656.5</v>
      </c>
      <c r="K192" s="111">
        <f t="shared" si="41"/>
        <v>0</v>
      </c>
      <c r="L192" s="115">
        <f t="shared" si="41"/>
        <v>26656.5</v>
      </c>
      <c r="M192" s="111">
        <f t="shared" si="41"/>
        <v>26656.5</v>
      </c>
      <c r="N192" s="111">
        <f t="shared" si="41"/>
        <v>0</v>
      </c>
      <c r="O192" s="111">
        <f t="shared" si="41"/>
        <v>26656.5</v>
      </c>
      <c r="P192" s="97">
        <f t="shared" si="32"/>
        <v>0</v>
      </c>
      <c r="Q192" s="97">
        <f t="shared" si="33"/>
        <v>0</v>
      </c>
    </row>
    <row r="193" spans="1:17" ht="31.5" x14ac:dyDescent="0.2">
      <c r="A193" s="40"/>
      <c r="B193" s="135" t="s">
        <v>40</v>
      </c>
      <c r="C193" s="118">
        <v>992</v>
      </c>
      <c r="D193" s="136" t="s">
        <v>229</v>
      </c>
      <c r="E193" s="136" t="s">
        <v>239</v>
      </c>
      <c r="F193" s="141" t="s">
        <v>41</v>
      </c>
      <c r="G193" s="111"/>
      <c r="H193" s="111"/>
      <c r="I193" s="111">
        <f>SUM(G193:H193)</f>
        <v>0</v>
      </c>
      <c r="J193" s="115">
        <v>26656.5</v>
      </c>
      <c r="K193" s="111"/>
      <c r="L193" s="115">
        <f>SUM(J193:K193)</f>
        <v>26656.5</v>
      </c>
      <c r="M193" s="111">
        <f>SUM(J193)</f>
        <v>26656.5</v>
      </c>
      <c r="N193" s="111">
        <f>H193+K193</f>
        <v>0</v>
      </c>
      <c r="O193" s="111">
        <f>I193+L193</f>
        <v>26656.5</v>
      </c>
      <c r="P193" s="97">
        <f t="shared" si="32"/>
        <v>0</v>
      </c>
      <c r="Q193" s="97">
        <f t="shared" si="33"/>
        <v>0</v>
      </c>
    </row>
    <row r="194" spans="1:17" ht="78.75" x14ac:dyDescent="0.2">
      <c r="A194" s="40"/>
      <c r="B194" s="113" t="s">
        <v>240</v>
      </c>
      <c r="C194" s="113" t="s">
        <v>51</v>
      </c>
      <c r="D194" s="133" t="s">
        <v>229</v>
      </c>
      <c r="E194" s="133" t="s">
        <v>241</v>
      </c>
      <c r="F194" s="134" t="s">
        <v>11</v>
      </c>
      <c r="G194" s="111">
        <f>G195</f>
        <v>0</v>
      </c>
      <c r="H194" s="111">
        <f>SUM(H195)</f>
        <v>0</v>
      </c>
      <c r="I194" s="111">
        <f>I195</f>
        <v>0</v>
      </c>
      <c r="J194" s="114">
        <f>J195</f>
        <v>0</v>
      </c>
      <c r="K194" s="111"/>
      <c r="L194" s="114">
        <f>L195</f>
        <v>0</v>
      </c>
      <c r="M194" s="111">
        <f>M195</f>
        <v>0</v>
      </c>
      <c r="N194" s="111">
        <f>N195</f>
        <v>0</v>
      </c>
      <c r="O194" s="111">
        <f>O195</f>
        <v>0</v>
      </c>
      <c r="P194" s="97">
        <f t="shared" si="32"/>
        <v>0</v>
      </c>
      <c r="Q194" s="97">
        <f t="shared" si="33"/>
        <v>0</v>
      </c>
    </row>
    <row r="195" spans="1:17" ht="31.5" x14ac:dyDescent="0.2">
      <c r="A195" s="40"/>
      <c r="B195" s="113" t="s">
        <v>40</v>
      </c>
      <c r="C195" s="113" t="s">
        <v>51</v>
      </c>
      <c r="D195" s="133" t="s">
        <v>229</v>
      </c>
      <c r="E195" s="133" t="s">
        <v>241</v>
      </c>
      <c r="F195" s="134" t="s">
        <v>41</v>
      </c>
      <c r="G195" s="111">
        <v>0</v>
      </c>
      <c r="H195" s="111"/>
      <c r="I195" s="111"/>
      <c r="J195" s="115">
        <v>0</v>
      </c>
      <c r="K195" s="111">
        <f t="shared" ref="G195:O197" si="42">K196</f>
        <v>0</v>
      </c>
      <c r="L195" s="115">
        <v>0</v>
      </c>
      <c r="M195" s="111"/>
      <c r="N195" s="111">
        <f>SUM(H195)</f>
        <v>0</v>
      </c>
      <c r="O195" s="111"/>
      <c r="P195" s="97">
        <f t="shared" si="32"/>
        <v>0</v>
      </c>
      <c r="Q195" s="97">
        <f t="shared" si="33"/>
        <v>0</v>
      </c>
    </row>
    <row r="196" spans="1:17" ht="31.5" x14ac:dyDescent="0.2">
      <c r="A196" s="40"/>
      <c r="B196" s="113" t="s">
        <v>242</v>
      </c>
      <c r="C196" s="113" t="s">
        <v>51</v>
      </c>
      <c r="D196" s="133" t="s">
        <v>229</v>
      </c>
      <c r="E196" s="133" t="s">
        <v>243</v>
      </c>
      <c r="F196" s="134" t="s">
        <v>11</v>
      </c>
      <c r="G196" s="111">
        <f t="shared" si="42"/>
        <v>8182.1</v>
      </c>
      <c r="H196" s="111">
        <f t="shared" si="42"/>
        <v>0</v>
      </c>
      <c r="I196" s="111">
        <f t="shared" si="42"/>
        <v>8182.1</v>
      </c>
      <c r="J196" s="114">
        <f t="shared" si="42"/>
        <v>0</v>
      </c>
      <c r="K196" s="111">
        <f t="shared" si="42"/>
        <v>0</v>
      </c>
      <c r="L196" s="114">
        <f t="shared" si="42"/>
        <v>0</v>
      </c>
      <c r="M196" s="111">
        <f t="shared" si="42"/>
        <v>8182.1</v>
      </c>
      <c r="N196" s="111">
        <f t="shared" si="42"/>
        <v>0</v>
      </c>
      <c r="O196" s="111">
        <f t="shared" si="42"/>
        <v>8182.1</v>
      </c>
      <c r="P196" s="97">
        <f t="shared" si="32"/>
        <v>8182.1</v>
      </c>
      <c r="Q196" s="97">
        <f t="shared" si="33"/>
        <v>0</v>
      </c>
    </row>
    <row r="197" spans="1:17" ht="78.75" x14ac:dyDescent="0.2">
      <c r="A197" s="40"/>
      <c r="B197" s="113" t="s">
        <v>240</v>
      </c>
      <c r="C197" s="113" t="s">
        <v>51</v>
      </c>
      <c r="D197" s="133" t="s">
        <v>229</v>
      </c>
      <c r="E197" s="133" t="s">
        <v>244</v>
      </c>
      <c r="F197" s="134" t="s">
        <v>11</v>
      </c>
      <c r="G197" s="111">
        <f t="shared" si="42"/>
        <v>8182.1</v>
      </c>
      <c r="H197" s="111">
        <f>SUM(H198)</f>
        <v>0</v>
      </c>
      <c r="I197" s="111">
        <f t="shared" si="42"/>
        <v>8182.1</v>
      </c>
      <c r="J197" s="114">
        <f t="shared" si="42"/>
        <v>0</v>
      </c>
      <c r="K197" s="111"/>
      <c r="L197" s="114">
        <f t="shared" si="42"/>
        <v>0</v>
      </c>
      <c r="M197" s="111">
        <f t="shared" si="42"/>
        <v>8182.1</v>
      </c>
      <c r="N197" s="111">
        <f t="shared" si="42"/>
        <v>0</v>
      </c>
      <c r="O197" s="111">
        <f t="shared" si="42"/>
        <v>8182.1</v>
      </c>
      <c r="P197" s="97">
        <f t="shared" si="32"/>
        <v>8182.1</v>
      </c>
      <c r="Q197" s="97">
        <f t="shared" si="33"/>
        <v>0</v>
      </c>
    </row>
    <row r="198" spans="1:17" ht="31.5" x14ac:dyDescent="0.2">
      <c r="A198" s="40"/>
      <c r="B198" s="113" t="s">
        <v>40</v>
      </c>
      <c r="C198" s="113" t="s">
        <v>51</v>
      </c>
      <c r="D198" s="133" t="s">
        <v>229</v>
      </c>
      <c r="E198" s="133" t="s">
        <v>244</v>
      </c>
      <c r="F198" s="134" t="s">
        <v>41</v>
      </c>
      <c r="G198" s="111">
        <v>8182.1</v>
      </c>
      <c r="H198" s="111"/>
      <c r="I198" s="111">
        <f>SUM(G198)+H198</f>
        <v>8182.1</v>
      </c>
      <c r="J198" s="115">
        <v>0</v>
      </c>
      <c r="K198" s="111"/>
      <c r="L198" s="115">
        <v>0</v>
      </c>
      <c r="M198" s="111">
        <f>SUM(G198)</f>
        <v>8182.1</v>
      </c>
      <c r="N198" s="111">
        <f>SUM(H198)</f>
        <v>0</v>
      </c>
      <c r="O198" s="111">
        <f>SUM(I198)</f>
        <v>8182.1</v>
      </c>
      <c r="P198" s="97">
        <f t="shared" si="32"/>
        <v>8182.1</v>
      </c>
      <c r="Q198" s="97">
        <f t="shared" si="33"/>
        <v>0</v>
      </c>
    </row>
    <row r="199" spans="1:17" ht="31.5" x14ac:dyDescent="0.2">
      <c r="A199" s="40"/>
      <c r="B199" s="113" t="s">
        <v>245</v>
      </c>
      <c r="C199" s="113" t="s">
        <v>51</v>
      </c>
      <c r="D199" s="133" t="s">
        <v>229</v>
      </c>
      <c r="E199" s="133" t="s">
        <v>246</v>
      </c>
      <c r="F199" s="134" t="s">
        <v>11</v>
      </c>
      <c r="G199" s="111">
        <f t="shared" ref="G199:O202" si="43">G200</f>
        <v>15743</v>
      </c>
      <c r="H199" s="111">
        <f t="shared" si="43"/>
        <v>0</v>
      </c>
      <c r="I199" s="111">
        <f t="shared" si="43"/>
        <v>15743</v>
      </c>
      <c r="J199" s="114">
        <f t="shared" si="43"/>
        <v>0</v>
      </c>
      <c r="K199" s="111">
        <f>K200</f>
        <v>0</v>
      </c>
      <c r="L199" s="114">
        <f t="shared" si="43"/>
        <v>0</v>
      </c>
      <c r="M199" s="111">
        <f t="shared" si="43"/>
        <v>15743</v>
      </c>
      <c r="N199" s="111">
        <f t="shared" si="43"/>
        <v>0</v>
      </c>
      <c r="O199" s="111">
        <f t="shared" si="43"/>
        <v>15743</v>
      </c>
      <c r="P199" s="97">
        <f t="shared" si="32"/>
        <v>15743</v>
      </c>
      <c r="Q199" s="97">
        <f t="shared" si="33"/>
        <v>0</v>
      </c>
    </row>
    <row r="200" spans="1:17" ht="15.75" x14ac:dyDescent="0.2">
      <c r="A200" s="40"/>
      <c r="B200" s="113" t="s">
        <v>247</v>
      </c>
      <c r="C200" s="113" t="s">
        <v>51</v>
      </c>
      <c r="D200" s="133" t="s">
        <v>229</v>
      </c>
      <c r="E200" s="133" t="s">
        <v>248</v>
      </c>
      <c r="F200" s="134" t="s">
        <v>11</v>
      </c>
      <c r="G200" s="111">
        <f t="shared" si="43"/>
        <v>15743</v>
      </c>
      <c r="H200" s="111">
        <f t="shared" si="43"/>
        <v>0</v>
      </c>
      <c r="I200" s="111">
        <f t="shared" si="43"/>
        <v>15743</v>
      </c>
      <c r="J200" s="114">
        <f t="shared" si="43"/>
        <v>0</v>
      </c>
      <c r="K200" s="111">
        <f>K201</f>
        <v>0</v>
      </c>
      <c r="L200" s="114">
        <f t="shared" si="43"/>
        <v>0</v>
      </c>
      <c r="M200" s="111">
        <f t="shared" si="43"/>
        <v>15743</v>
      </c>
      <c r="N200" s="111">
        <f t="shared" si="43"/>
        <v>0</v>
      </c>
      <c r="O200" s="111">
        <f t="shared" si="43"/>
        <v>15743</v>
      </c>
      <c r="P200" s="97">
        <f t="shared" si="32"/>
        <v>15743</v>
      </c>
      <c r="Q200" s="97">
        <f t="shared" si="33"/>
        <v>0</v>
      </c>
    </row>
    <row r="201" spans="1:17" ht="47.25" x14ac:dyDescent="0.2">
      <c r="A201" s="40"/>
      <c r="B201" s="113" t="s">
        <v>249</v>
      </c>
      <c r="C201" s="113" t="s">
        <v>51</v>
      </c>
      <c r="D201" s="133" t="s">
        <v>229</v>
      </c>
      <c r="E201" s="133" t="s">
        <v>250</v>
      </c>
      <c r="F201" s="134" t="s">
        <v>11</v>
      </c>
      <c r="G201" s="111">
        <f t="shared" si="43"/>
        <v>15743</v>
      </c>
      <c r="H201" s="111">
        <f>SUM(H202)</f>
        <v>0</v>
      </c>
      <c r="I201" s="111">
        <f t="shared" si="43"/>
        <v>15743</v>
      </c>
      <c r="J201" s="114">
        <f t="shared" si="43"/>
        <v>0</v>
      </c>
      <c r="K201" s="111">
        <f>K202</f>
        <v>0</v>
      </c>
      <c r="L201" s="114">
        <f t="shared" si="43"/>
        <v>0</v>
      </c>
      <c r="M201" s="111">
        <f t="shared" si="43"/>
        <v>15743</v>
      </c>
      <c r="N201" s="111">
        <f>SUM(H201)</f>
        <v>0</v>
      </c>
      <c r="O201" s="111">
        <f t="shared" si="43"/>
        <v>15743</v>
      </c>
      <c r="P201" s="97">
        <f t="shared" si="32"/>
        <v>15743</v>
      </c>
      <c r="Q201" s="97">
        <f t="shared" si="33"/>
        <v>0</v>
      </c>
    </row>
    <row r="202" spans="1:17" ht="31.5" x14ac:dyDescent="0.2">
      <c r="A202" s="40"/>
      <c r="B202" s="113" t="s">
        <v>134</v>
      </c>
      <c r="C202" s="113" t="s">
        <v>51</v>
      </c>
      <c r="D202" s="133" t="s">
        <v>229</v>
      </c>
      <c r="E202" s="133" t="s">
        <v>251</v>
      </c>
      <c r="F202" s="134" t="s">
        <v>11</v>
      </c>
      <c r="G202" s="111">
        <f>G203</f>
        <v>15743</v>
      </c>
      <c r="H202" s="111">
        <f>SUM(H203)</f>
        <v>0</v>
      </c>
      <c r="I202" s="111">
        <f>I203</f>
        <v>15743</v>
      </c>
      <c r="J202" s="114">
        <f t="shared" si="43"/>
        <v>0</v>
      </c>
      <c r="K202" s="111"/>
      <c r="L202" s="114">
        <f t="shared" si="43"/>
        <v>0</v>
      </c>
      <c r="M202" s="111">
        <f t="shared" si="43"/>
        <v>15743</v>
      </c>
      <c r="N202" s="111">
        <f t="shared" si="43"/>
        <v>0</v>
      </c>
      <c r="O202" s="111">
        <f t="shared" si="43"/>
        <v>15743</v>
      </c>
      <c r="P202" s="97">
        <f t="shared" si="32"/>
        <v>15743</v>
      </c>
      <c r="Q202" s="97">
        <f t="shared" si="33"/>
        <v>0</v>
      </c>
    </row>
    <row r="203" spans="1:17" ht="34.9" customHeight="1" x14ac:dyDescent="0.2">
      <c r="A203" s="40"/>
      <c r="B203" s="113" t="s">
        <v>95</v>
      </c>
      <c r="C203" s="113" t="s">
        <v>51</v>
      </c>
      <c r="D203" s="133" t="s">
        <v>229</v>
      </c>
      <c r="E203" s="133" t="s">
        <v>251</v>
      </c>
      <c r="F203" s="134" t="s">
        <v>96</v>
      </c>
      <c r="G203" s="111">
        <v>15743</v>
      </c>
      <c r="H203" s="117"/>
      <c r="I203" s="111">
        <f>SUM(G203)+H203</f>
        <v>15743</v>
      </c>
      <c r="J203" s="115">
        <v>0</v>
      </c>
      <c r="K203" s="109"/>
      <c r="L203" s="115">
        <v>0</v>
      </c>
      <c r="M203" s="111">
        <f>SUM(G203)</f>
        <v>15743</v>
      </c>
      <c r="N203" s="111">
        <f>SUM(H203)</f>
        <v>0</v>
      </c>
      <c r="O203" s="111">
        <f>SUM(M203)+N203</f>
        <v>15743</v>
      </c>
      <c r="P203" s="97">
        <f t="shared" si="32"/>
        <v>15743</v>
      </c>
      <c r="Q203" s="97">
        <f t="shared" si="33"/>
        <v>0</v>
      </c>
    </row>
    <row r="204" spans="1:17" ht="21" customHeight="1" x14ac:dyDescent="0.2">
      <c r="A204" s="40"/>
      <c r="B204" s="118" t="s">
        <v>583</v>
      </c>
      <c r="C204" s="118" t="s">
        <v>51</v>
      </c>
      <c r="D204" s="136" t="s">
        <v>229</v>
      </c>
      <c r="E204" s="136" t="s">
        <v>460</v>
      </c>
      <c r="F204" s="134"/>
      <c r="G204" s="111">
        <f>G205</f>
        <v>1333.6</v>
      </c>
      <c r="H204" s="117"/>
      <c r="I204" s="111">
        <f>I205</f>
        <v>1333.6</v>
      </c>
      <c r="J204" s="115"/>
      <c r="K204" s="109"/>
      <c r="L204" s="115"/>
      <c r="M204" s="111">
        <f>M205</f>
        <v>1333.6</v>
      </c>
      <c r="N204" s="111"/>
      <c r="O204" s="111">
        <f>O205</f>
        <v>1333.6</v>
      </c>
      <c r="P204" s="97">
        <f t="shared" si="32"/>
        <v>1333.6</v>
      </c>
      <c r="Q204" s="97">
        <f t="shared" si="33"/>
        <v>0</v>
      </c>
    </row>
    <row r="205" spans="1:17" ht="34.9" customHeight="1" x14ac:dyDescent="0.2">
      <c r="A205" s="40"/>
      <c r="B205" s="135" t="s">
        <v>461</v>
      </c>
      <c r="C205" s="113">
        <v>992</v>
      </c>
      <c r="D205" s="133" t="s">
        <v>229</v>
      </c>
      <c r="E205" s="136" t="s">
        <v>462</v>
      </c>
      <c r="F205" s="134"/>
      <c r="G205" s="117">
        <f t="shared" ref="G205:I206" si="44">SUM(G206)</f>
        <v>1333.6</v>
      </c>
      <c r="H205" s="117">
        <f t="shared" si="44"/>
        <v>0</v>
      </c>
      <c r="I205" s="117">
        <f t="shared" si="44"/>
        <v>1333.6</v>
      </c>
      <c r="J205" s="115"/>
      <c r="K205" s="109"/>
      <c r="L205" s="115"/>
      <c r="M205" s="111">
        <f>SUM(G205)</f>
        <v>1333.6</v>
      </c>
      <c r="N205" s="111">
        <f t="shared" ref="N205:O207" si="45">SUM(H205)</f>
        <v>0</v>
      </c>
      <c r="O205" s="111">
        <f t="shared" si="45"/>
        <v>1333.6</v>
      </c>
      <c r="P205" s="97">
        <f t="shared" si="32"/>
        <v>1333.6</v>
      </c>
      <c r="Q205" s="97">
        <f t="shared" si="33"/>
        <v>0</v>
      </c>
    </row>
    <row r="206" spans="1:17" ht="37.15" customHeight="1" x14ac:dyDescent="0.2">
      <c r="A206" s="40"/>
      <c r="B206" s="135" t="s">
        <v>463</v>
      </c>
      <c r="C206" s="113">
        <v>992</v>
      </c>
      <c r="D206" s="133" t="s">
        <v>229</v>
      </c>
      <c r="E206" s="133">
        <v>1300122640</v>
      </c>
      <c r="F206" s="134"/>
      <c r="G206" s="117">
        <f t="shared" si="44"/>
        <v>1333.6</v>
      </c>
      <c r="H206" s="117">
        <f t="shared" si="44"/>
        <v>0</v>
      </c>
      <c r="I206" s="117">
        <f t="shared" si="44"/>
        <v>1333.6</v>
      </c>
      <c r="J206" s="115"/>
      <c r="K206" s="109"/>
      <c r="L206" s="115"/>
      <c r="M206" s="111">
        <f>SUM(G206)</f>
        <v>1333.6</v>
      </c>
      <c r="N206" s="111">
        <f t="shared" si="45"/>
        <v>0</v>
      </c>
      <c r="O206" s="111">
        <f t="shared" si="45"/>
        <v>1333.6</v>
      </c>
      <c r="P206" s="97">
        <f t="shared" si="32"/>
        <v>1333.6</v>
      </c>
      <c r="Q206" s="97">
        <f t="shared" si="33"/>
        <v>0</v>
      </c>
    </row>
    <row r="207" spans="1:17" ht="34.5" customHeight="1" x14ac:dyDescent="0.2">
      <c r="A207" s="40"/>
      <c r="B207" s="113" t="s">
        <v>95</v>
      </c>
      <c r="C207" s="113">
        <v>992</v>
      </c>
      <c r="D207" s="133" t="s">
        <v>229</v>
      </c>
      <c r="E207" s="133">
        <v>1300122640</v>
      </c>
      <c r="F207" s="134">
        <v>200</v>
      </c>
      <c r="G207" s="111">
        <v>1333.6</v>
      </c>
      <c r="H207" s="117"/>
      <c r="I207" s="117">
        <f>SUM(G207)+H207</f>
        <v>1333.6</v>
      </c>
      <c r="J207" s="115"/>
      <c r="K207" s="109"/>
      <c r="L207" s="115"/>
      <c r="M207" s="111">
        <f>SUM(G207)</f>
        <v>1333.6</v>
      </c>
      <c r="N207" s="111">
        <f t="shared" si="45"/>
        <v>0</v>
      </c>
      <c r="O207" s="111">
        <f t="shared" si="45"/>
        <v>1333.6</v>
      </c>
      <c r="P207" s="97">
        <f t="shared" si="32"/>
        <v>1333.6</v>
      </c>
      <c r="Q207" s="97">
        <f t="shared" si="33"/>
        <v>0</v>
      </c>
    </row>
    <row r="208" spans="1:17" ht="23.25" customHeight="1" x14ac:dyDescent="0.2">
      <c r="A208" s="33" t="s">
        <v>252</v>
      </c>
      <c r="B208" s="110" t="s">
        <v>253</v>
      </c>
      <c r="C208" s="110" t="s">
        <v>51</v>
      </c>
      <c r="D208" s="131" t="s">
        <v>254</v>
      </c>
      <c r="E208" s="131" t="s">
        <v>11</v>
      </c>
      <c r="F208" s="132" t="s">
        <v>11</v>
      </c>
      <c r="G208" s="109">
        <f t="shared" ref="G208:O212" si="46">G209</f>
        <v>2261.9</v>
      </c>
      <c r="H208" s="111">
        <f t="shared" si="46"/>
        <v>0</v>
      </c>
      <c r="I208" s="109">
        <f t="shared" si="46"/>
        <v>2261.9</v>
      </c>
      <c r="J208" s="112">
        <f t="shared" si="46"/>
        <v>0</v>
      </c>
      <c r="K208" s="111">
        <f>K209</f>
        <v>0</v>
      </c>
      <c r="L208" s="112">
        <f t="shared" si="46"/>
        <v>0</v>
      </c>
      <c r="M208" s="109">
        <f t="shared" si="46"/>
        <v>2261.9</v>
      </c>
      <c r="N208" s="109">
        <f t="shared" si="46"/>
        <v>0</v>
      </c>
      <c r="O208" s="109">
        <f t="shared" si="46"/>
        <v>2261.9</v>
      </c>
      <c r="P208" s="97">
        <f t="shared" si="32"/>
        <v>2261.9</v>
      </c>
      <c r="Q208" s="97">
        <f t="shared" si="33"/>
        <v>0</v>
      </c>
    </row>
    <row r="209" spans="1:17" ht="31.5" x14ac:dyDescent="0.2">
      <c r="A209" s="40"/>
      <c r="B209" s="113" t="s">
        <v>97</v>
      </c>
      <c r="C209" s="113" t="s">
        <v>51</v>
      </c>
      <c r="D209" s="133" t="s">
        <v>254</v>
      </c>
      <c r="E209" s="133" t="s">
        <v>98</v>
      </c>
      <c r="F209" s="134" t="s">
        <v>11</v>
      </c>
      <c r="G209" s="111">
        <f t="shared" si="46"/>
        <v>2261.9</v>
      </c>
      <c r="H209" s="111">
        <f t="shared" si="46"/>
        <v>0</v>
      </c>
      <c r="I209" s="111">
        <f t="shared" si="46"/>
        <v>2261.9</v>
      </c>
      <c r="J209" s="114">
        <f t="shared" si="46"/>
        <v>0</v>
      </c>
      <c r="K209" s="111">
        <f>K210</f>
        <v>0</v>
      </c>
      <c r="L209" s="114">
        <f t="shared" si="46"/>
        <v>0</v>
      </c>
      <c r="M209" s="111">
        <f t="shared" si="46"/>
        <v>2261.9</v>
      </c>
      <c r="N209" s="111">
        <f t="shared" si="46"/>
        <v>0</v>
      </c>
      <c r="O209" s="111">
        <f t="shared" si="46"/>
        <v>2261.9</v>
      </c>
      <c r="P209" s="97">
        <f t="shared" si="32"/>
        <v>2261.9</v>
      </c>
      <c r="Q209" s="97">
        <f t="shared" si="33"/>
        <v>0</v>
      </c>
    </row>
    <row r="210" spans="1:17" ht="15.75" x14ac:dyDescent="0.2">
      <c r="A210" s="40"/>
      <c r="B210" s="113" t="s">
        <v>255</v>
      </c>
      <c r="C210" s="113" t="s">
        <v>51</v>
      </c>
      <c r="D210" s="133" t="s">
        <v>254</v>
      </c>
      <c r="E210" s="133" t="s">
        <v>256</v>
      </c>
      <c r="F210" s="134" t="s">
        <v>11</v>
      </c>
      <c r="G210" s="111">
        <f t="shared" si="46"/>
        <v>2261.9</v>
      </c>
      <c r="H210" s="111">
        <f t="shared" si="46"/>
        <v>0</v>
      </c>
      <c r="I210" s="111">
        <f t="shared" si="46"/>
        <v>2261.9</v>
      </c>
      <c r="J210" s="114">
        <f t="shared" si="46"/>
        <v>0</v>
      </c>
      <c r="K210" s="111">
        <f>K211</f>
        <v>0</v>
      </c>
      <c r="L210" s="114">
        <f t="shared" si="46"/>
        <v>0</v>
      </c>
      <c r="M210" s="111">
        <f t="shared" si="46"/>
        <v>2261.9</v>
      </c>
      <c r="N210" s="111">
        <f t="shared" si="46"/>
        <v>0</v>
      </c>
      <c r="O210" s="111">
        <f t="shared" si="46"/>
        <v>2261.9</v>
      </c>
      <c r="P210" s="97">
        <f t="shared" si="32"/>
        <v>2261.9</v>
      </c>
      <c r="Q210" s="97">
        <f t="shared" si="33"/>
        <v>0</v>
      </c>
    </row>
    <row r="211" spans="1:17" ht="31.5" x14ac:dyDescent="0.2">
      <c r="A211" s="40"/>
      <c r="B211" s="113" t="s">
        <v>257</v>
      </c>
      <c r="C211" s="113" t="s">
        <v>51</v>
      </c>
      <c r="D211" s="133" t="s">
        <v>254</v>
      </c>
      <c r="E211" s="133" t="s">
        <v>258</v>
      </c>
      <c r="F211" s="134" t="s">
        <v>11</v>
      </c>
      <c r="G211" s="111">
        <f t="shared" si="46"/>
        <v>2261.9</v>
      </c>
      <c r="H211" s="111">
        <f t="shared" si="46"/>
        <v>0</v>
      </c>
      <c r="I211" s="111">
        <f t="shared" si="46"/>
        <v>2261.9</v>
      </c>
      <c r="J211" s="114">
        <f t="shared" si="46"/>
        <v>0</v>
      </c>
      <c r="K211" s="111">
        <f>K212</f>
        <v>0</v>
      </c>
      <c r="L211" s="114">
        <f t="shared" si="46"/>
        <v>0</v>
      </c>
      <c r="M211" s="111">
        <f t="shared" si="46"/>
        <v>2261.9</v>
      </c>
      <c r="N211" s="111">
        <f t="shared" si="46"/>
        <v>0</v>
      </c>
      <c r="O211" s="111">
        <f t="shared" si="46"/>
        <v>2261.9</v>
      </c>
      <c r="P211" s="97">
        <f t="shared" si="32"/>
        <v>2261.9</v>
      </c>
      <c r="Q211" s="97">
        <f t="shared" si="33"/>
        <v>0</v>
      </c>
    </row>
    <row r="212" spans="1:17" ht="32.450000000000003" customHeight="1" x14ac:dyDescent="0.2">
      <c r="A212" s="40"/>
      <c r="B212" s="113" t="s">
        <v>103</v>
      </c>
      <c r="C212" s="113" t="s">
        <v>51</v>
      </c>
      <c r="D212" s="133" t="s">
        <v>254</v>
      </c>
      <c r="E212" s="133" t="s">
        <v>259</v>
      </c>
      <c r="F212" s="134" t="s">
        <v>11</v>
      </c>
      <c r="G212" s="111">
        <f>G213</f>
        <v>2261.9</v>
      </c>
      <c r="H212" s="109">
        <f>SUM(H213)</f>
        <v>0</v>
      </c>
      <c r="I212" s="111">
        <f>I213</f>
        <v>2261.9</v>
      </c>
      <c r="J212" s="114">
        <f t="shared" si="46"/>
        <v>0</v>
      </c>
      <c r="K212" s="111"/>
      <c r="L212" s="114">
        <f t="shared" si="46"/>
        <v>0</v>
      </c>
      <c r="M212" s="111">
        <f t="shared" si="46"/>
        <v>2261.9</v>
      </c>
      <c r="N212" s="111">
        <f t="shared" si="46"/>
        <v>0</v>
      </c>
      <c r="O212" s="111">
        <f t="shared" si="46"/>
        <v>2261.9</v>
      </c>
      <c r="P212" s="97">
        <f t="shared" si="32"/>
        <v>2261.9</v>
      </c>
      <c r="Q212" s="97">
        <f t="shared" si="33"/>
        <v>0</v>
      </c>
    </row>
    <row r="213" spans="1:17" ht="31.5" x14ac:dyDescent="0.2">
      <c r="A213" s="40"/>
      <c r="B213" s="113" t="s">
        <v>40</v>
      </c>
      <c r="C213" s="113" t="s">
        <v>51</v>
      </c>
      <c r="D213" s="133" t="s">
        <v>254</v>
      </c>
      <c r="E213" s="133" t="s">
        <v>259</v>
      </c>
      <c r="F213" s="134" t="s">
        <v>41</v>
      </c>
      <c r="G213" s="111">
        <v>2261.9</v>
      </c>
      <c r="H213" s="109"/>
      <c r="I213" s="111">
        <f>SUM(G213)+H213</f>
        <v>2261.9</v>
      </c>
      <c r="J213" s="115">
        <v>0</v>
      </c>
      <c r="K213" s="109"/>
      <c r="L213" s="115">
        <v>0</v>
      </c>
      <c r="M213" s="111">
        <f>SUM(G213)</f>
        <v>2261.9</v>
      </c>
      <c r="N213" s="111">
        <f>SUM(H213)</f>
        <v>0</v>
      </c>
      <c r="O213" s="111">
        <f>SUM(I213)</f>
        <v>2261.9</v>
      </c>
      <c r="P213" s="97">
        <f t="shared" si="32"/>
        <v>2261.9</v>
      </c>
      <c r="Q213" s="97">
        <f t="shared" si="33"/>
        <v>0</v>
      </c>
    </row>
    <row r="214" spans="1:17" ht="24" customHeight="1" x14ac:dyDescent="0.2">
      <c r="A214" s="33" t="s">
        <v>260</v>
      </c>
      <c r="B214" s="110" t="s">
        <v>261</v>
      </c>
      <c r="C214" s="110" t="s">
        <v>51</v>
      </c>
      <c r="D214" s="131" t="s">
        <v>262</v>
      </c>
      <c r="E214" s="131" t="s">
        <v>11</v>
      </c>
      <c r="F214" s="132" t="s">
        <v>11</v>
      </c>
      <c r="G214" s="109">
        <f>G215+G244+G239</f>
        <v>30768.2</v>
      </c>
      <c r="H214" s="109">
        <f>H215+H257+H255+H240+H250</f>
        <v>0</v>
      </c>
      <c r="I214" s="109">
        <f>I215+I244+I239</f>
        <v>30768.2</v>
      </c>
      <c r="J214" s="112">
        <f>J215+J244</f>
        <v>13560.400000000001</v>
      </c>
      <c r="K214" s="111">
        <f>K215</f>
        <v>0</v>
      </c>
      <c r="L214" s="112">
        <f>L215+L244</f>
        <v>13560.400000000001</v>
      </c>
      <c r="M214" s="109">
        <f>M215+M239+M244</f>
        <v>44328.6</v>
      </c>
      <c r="N214" s="109">
        <f>N215+N257+N255+N240+N250</f>
        <v>0</v>
      </c>
      <c r="O214" s="109">
        <f>O215+O239+O244</f>
        <v>44328.6</v>
      </c>
      <c r="P214" s="97">
        <f t="shared" si="32"/>
        <v>30768.2</v>
      </c>
      <c r="Q214" s="97">
        <f t="shared" si="33"/>
        <v>0</v>
      </c>
    </row>
    <row r="215" spans="1:17" ht="47.25" x14ac:dyDescent="0.2">
      <c r="A215" s="40"/>
      <c r="B215" s="113" t="s">
        <v>230</v>
      </c>
      <c r="C215" s="113" t="s">
        <v>51</v>
      </c>
      <c r="D215" s="133" t="s">
        <v>262</v>
      </c>
      <c r="E215" s="133" t="s">
        <v>231</v>
      </c>
      <c r="F215" s="134" t="s">
        <v>11</v>
      </c>
      <c r="G215" s="111">
        <f>G216+G226</f>
        <v>19185.400000000001</v>
      </c>
      <c r="H215" s="111">
        <f>H216+H226</f>
        <v>0</v>
      </c>
      <c r="I215" s="111">
        <f>I216+I226</f>
        <v>19185.400000000001</v>
      </c>
      <c r="J215" s="114">
        <f>J216+J226</f>
        <v>13560.400000000001</v>
      </c>
      <c r="K215" s="111">
        <f>K216</f>
        <v>0</v>
      </c>
      <c r="L215" s="114">
        <f>L216+L226</f>
        <v>13560.400000000001</v>
      </c>
      <c r="M215" s="111">
        <f>M216+M226</f>
        <v>32745.800000000003</v>
      </c>
      <c r="N215" s="111">
        <f>N216+N226</f>
        <v>0</v>
      </c>
      <c r="O215" s="111">
        <f>O216+O226</f>
        <v>32745.800000000003</v>
      </c>
      <c r="P215" s="97">
        <f t="shared" si="32"/>
        <v>19185.400000000001</v>
      </c>
      <c r="Q215" s="97">
        <f t="shared" si="33"/>
        <v>0</v>
      </c>
    </row>
    <row r="216" spans="1:17" ht="36" customHeight="1" x14ac:dyDescent="0.2">
      <c r="A216" s="40"/>
      <c r="B216" s="113" t="s">
        <v>263</v>
      </c>
      <c r="C216" s="113" t="s">
        <v>51</v>
      </c>
      <c r="D216" s="133" t="s">
        <v>262</v>
      </c>
      <c r="E216" s="133" t="s">
        <v>264</v>
      </c>
      <c r="F216" s="134" t="s">
        <v>11</v>
      </c>
      <c r="G216" s="111">
        <f>G217</f>
        <v>1449.1000000000001</v>
      </c>
      <c r="H216" s="111">
        <f>H217</f>
        <v>0</v>
      </c>
      <c r="I216" s="111">
        <f>I217</f>
        <v>1449.1000000000001</v>
      </c>
      <c r="J216" s="114">
        <f>J217</f>
        <v>13560.400000000001</v>
      </c>
      <c r="K216" s="111">
        <f>K217</f>
        <v>0</v>
      </c>
      <c r="L216" s="114">
        <f>L217</f>
        <v>13560.400000000001</v>
      </c>
      <c r="M216" s="111">
        <f>M217</f>
        <v>15009.500000000002</v>
      </c>
      <c r="N216" s="111">
        <f>N217</f>
        <v>0</v>
      </c>
      <c r="O216" s="111">
        <f>O217</f>
        <v>15009.500000000002</v>
      </c>
      <c r="P216" s="97">
        <f t="shared" si="32"/>
        <v>1449.1000000000001</v>
      </c>
      <c r="Q216" s="97">
        <f t="shared" si="33"/>
        <v>0</v>
      </c>
    </row>
    <row r="217" spans="1:17" ht="47.25" x14ac:dyDescent="0.2">
      <c r="A217" s="40"/>
      <c r="B217" s="113" t="s">
        <v>265</v>
      </c>
      <c r="C217" s="113" t="s">
        <v>51</v>
      </c>
      <c r="D217" s="133" t="s">
        <v>262</v>
      </c>
      <c r="E217" s="133" t="s">
        <v>266</v>
      </c>
      <c r="F217" s="134" t="s">
        <v>11</v>
      </c>
      <c r="G217" s="111">
        <f>G224+G218+G220+G222</f>
        <v>1449.1000000000001</v>
      </c>
      <c r="H217" s="111">
        <f>H224+H218+H220+H222</f>
        <v>0</v>
      </c>
      <c r="I217" s="111">
        <f>I224+I218+I220+I222</f>
        <v>1449.1000000000001</v>
      </c>
      <c r="J217" s="114">
        <f>SUM(J224)+J220+J222</f>
        <v>13560.400000000001</v>
      </c>
      <c r="K217" s="111">
        <f>K224+K218+K220+K222</f>
        <v>0</v>
      </c>
      <c r="L217" s="114">
        <f>SUM(L224)+L220+L222</f>
        <v>13560.400000000001</v>
      </c>
      <c r="M217" s="111">
        <f>SUM(G216+J216)</f>
        <v>15009.500000000002</v>
      </c>
      <c r="N217" s="111">
        <f>SUM(H217+K217)</f>
        <v>0</v>
      </c>
      <c r="O217" s="111">
        <f>SUM(I216+L216)</f>
        <v>15009.500000000002</v>
      </c>
      <c r="P217" s="97">
        <f t="shared" si="32"/>
        <v>1449.1000000000001</v>
      </c>
      <c r="Q217" s="97">
        <f t="shared" si="33"/>
        <v>0</v>
      </c>
    </row>
    <row r="218" spans="1:17" ht="31.5" x14ac:dyDescent="0.2">
      <c r="A218" s="40"/>
      <c r="B218" s="140" t="s">
        <v>267</v>
      </c>
      <c r="C218" s="113">
        <v>992</v>
      </c>
      <c r="D218" s="133" t="s">
        <v>262</v>
      </c>
      <c r="E218" s="136" t="s">
        <v>268</v>
      </c>
      <c r="F218" s="134"/>
      <c r="G218" s="111">
        <v>735.3</v>
      </c>
      <c r="H218" s="111">
        <f>SUM(H219)</f>
        <v>0</v>
      </c>
      <c r="I218" s="111">
        <f>SUM(G218)</f>
        <v>735.3</v>
      </c>
      <c r="J218" s="114"/>
      <c r="K218" s="111"/>
      <c r="L218" s="114"/>
      <c r="M218" s="111">
        <f>SUM(G218)</f>
        <v>735.3</v>
      </c>
      <c r="N218" s="111">
        <f>SUM(N219)</f>
        <v>0</v>
      </c>
      <c r="O218" s="111">
        <f>SUM(M218)</f>
        <v>735.3</v>
      </c>
      <c r="P218" s="97">
        <f t="shared" si="32"/>
        <v>735.3</v>
      </c>
      <c r="Q218" s="97">
        <f t="shared" si="33"/>
        <v>0</v>
      </c>
    </row>
    <row r="219" spans="1:17" ht="31.5" x14ac:dyDescent="0.2">
      <c r="A219" s="40"/>
      <c r="B219" s="113" t="s">
        <v>40</v>
      </c>
      <c r="C219" s="113">
        <v>992</v>
      </c>
      <c r="D219" s="133" t="s">
        <v>262</v>
      </c>
      <c r="E219" s="136" t="s">
        <v>268</v>
      </c>
      <c r="F219" s="134">
        <v>200</v>
      </c>
      <c r="G219" s="111">
        <v>735.3</v>
      </c>
      <c r="H219" s="111"/>
      <c r="I219" s="111">
        <f>SUM(G219)</f>
        <v>735.3</v>
      </c>
      <c r="J219" s="114"/>
      <c r="K219" s="111"/>
      <c r="L219" s="114"/>
      <c r="M219" s="111">
        <f>SUM(G219)</f>
        <v>735.3</v>
      </c>
      <c r="N219" s="111">
        <f>SUM(H219)</f>
        <v>0</v>
      </c>
      <c r="O219" s="111">
        <f>SUM(M219)</f>
        <v>735.3</v>
      </c>
      <c r="P219" s="97">
        <f t="shared" si="32"/>
        <v>735.3</v>
      </c>
      <c r="Q219" s="97">
        <f t="shared" si="33"/>
        <v>0</v>
      </c>
    </row>
    <row r="220" spans="1:17" ht="30.75" customHeight="1" x14ac:dyDescent="0.2">
      <c r="A220" s="40"/>
      <c r="B220" s="113" t="s">
        <v>548</v>
      </c>
      <c r="C220" s="113">
        <v>992</v>
      </c>
      <c r="D220" s="133" t="s">
        <v>262</v>
      </c>
      <c r="E220" s="133" t="s">
        <v>547</v>
      </c>
      <c r="F220" s="134"/>
      <c r="G220" s="111">
        <v>0</v>
      </c>
      <c r="H220" s="111"/>
      <c r="I220" s="111">
        <f>SUM(G221)+H220</f>
        <v>0</v>
      </c>
      <c r="J220" s="114">
        <f>SUM(J221)</f>
        <v>0</v>
      </c>
      <c r="K220" s="111"/>
      <c r="L220" s="114">
        <f>SUM(J220)+K220</f>
        <v>0</v>
      </c>
      <c r="M220" s="111">
        <f t="shared" ref="M220:O221" si="47">SUM(G220+J220)</f>
        <v>0</v>
      </c>
      <c r="N220" s="111">
        <f t="shared" si="47"/>
        <v>0</v>
      </c>
      <c r="O220" s="111">
        <f t="shared" si="47"/>
        <v>0</v>
      </c>
      <c r="P220" s="97">
        <f t="shared" ref="P220:P285" si="48">G220+H220</f>
        <v>0</v>
      </c>
      <c r="Q220" s="97">
        <f t="shared" ref="Q220:Q285" si="49">I220-P220</f>
        <v>0</v>
      </c>
    </row>
    <row r="221" spans="1:17" ht="30.75" customHeight="1" x14ac:dyDescent="0.2">
      <c r="A221" s="40"/>
      <c r="B221" s="113" t="s">
        <v>40</v>
      </c>
      <c r="C221" s="113">
        <v>992</v>
      </c>
      <c r="D221" s="133" t="s">
        <v>262</v>
      </c>
      <c r="E221" s="133" t="s">
        <v>547</v>
      </c>
      <c r="F221" s="134">
        <v>200</v>
      </c>
      <c r="G221" s="111">
        <v>0</v>
      </c>
      <c r="H221" s="111"/>
      <c r="I221" s="111">
        <v>0</v>
      </c>
      <c r="J221" s="114">
        <v>0</v>
      </c>
      <c r="K221" s="111"/>
      <c r="L221" s="114">
        <f>SUM(J221)+K221</f>
        <v>0</v>
      </c>
      <c r="M221" s="111">
        <f t="shared" si="47"/>
        <v>0</v>
      </c>
      <c r="N221" s="111">
        <f t="shared" si="47"/>
        <v>0</v>
      </c>
      <c r="O221" s="111">
        <f t="shared" si="47"/>
        <v>0</v>
      </c>
      <c r="P221" s="97">
        <f t="shared" si="48"/>
        <v>0</v>
      </c>
      <c r="Q221" s="97">
        <f t="shared" si="49"/>
        <v>0</v>
      </c>
    </row>
    <row r="222" spans="1:17" ht="30.75" customHeight="1" x14ac:dyDescent="0.2">
      <c r="A222" s="40"/>
      <c r="B222" s="113" t="s">
        <v>548</v>
      </c>
      <c r="C222" s="113">
        <v>992</v>
      </c>
      <c r="D222" s="133" t="s">
        <v>262</v>
      </c>
      <c r="E222" s="133" t="s">
        <v>561</v>
      </c>
      <c r="F222" s="134"/>
      <c r="G222" s="111">
        <v>294.2</v>
      </c>
      <c r="H222" s="111"/>
      <c r="I222" s="111">
        <f>SUM(G222)</f>
        <v>294.2</v>
      </c>
      <c r="J222" s="114">
        <v>5589.3</v>
      </c>
      <c r="K222" s="111"/>
      <c r="L222" s="114">
        <f>SUM(J222)</f>
        <v>5589.3</v>
      </c>
      <c r="M222" s="111">
        <f t="shared" ref="M222:O223" si="50">SUM(G222)+J222</f>
        <v>5883.5</v>
      </c>
      <c r="N222" s="111">
        <f t="shared" si="50"/>
        <v>0</v>
      </c>
      <c r="O222" s="111">
        <f t="shared" si="50"/>
        <v>5883.5</v>
      </c>
      <c r="P222" s="97">
        <f t="shared" si="48"/>
        <v>294.2</v>
      </c>
      <c r="Q222" s="97">
        <f t="shared" si="49"/>
        <v>0</v>
      </c>
    </row>
    <row r="223" spans="1:17" ht="30.75" customHeight="1" x14ac:dyDescent="0.2">
      <c r="A223" s="40"/>
      <c r="B223" s="113" t="s">
        <v>40</v>
      </c>
      <c r="C223" s="113">
        <v>992</v>
      </c>
      <c r="D223" s="133" t="s">
        <v>262</v>
      </c>
      <c r="E223" s="133" t="s">
        <v>561</v>
      </c>
      <c r="F223" s="134">
        <v>200</v>
      </c>
      <c r="G223" s="111">
        <v>294.2</v>
      </c>
      <c r="H223" s="111"/>
      <c r="I223" s="111">
        <f>SUM(G223)</f>
        <v>294.2</v>
      </c>
      <c r="J223" s="114">
        <v>5589.3</v>
      </c>
      <c r="K223" s="111"/>
      <c r="L223" s="114">
        <f>SUM(J223)</f>
        <v>5589.3</v>
      </c>
      <c r="M223" s="111">
        <f t="shared" si="50"/>
        <v>5883.5</v>
      </c>
      <c r="N223" s="111">
        <f t="shared" si="50"/>
        <v>0</v>
      </c>
      <c r="O223" s="111">
        <f t="shared" si="50"/>
        <v>5883.5</v>
      </c>
      <c r="P223" s="97">
        <f t="shared" si="48"/>
        <v>294.2</v>
      </c>
      <c r="Q223" s="97">
        <f t="shared" si="49"/>
        <v>0</v>
      </c>
    </row>
    <row r="224" spans="1:17" ht="47.25" x14ac:dyDescent="0.2">
      <c r="A224" s="40"/>
      <c r="B224" s="113" t="s">
        <v>269</v>
      </c>
      <c r="C224" s="113" t="s">
        <v>51</v>
      </c>
      <c r="D224" s="133" t="s">
        <v>262</v>
      </c>
      <c r="E224" s="133" t="s">
        <v>270</v>
      </c>
      <c r="F224" s="134" t="s">
        <v>11</v>
      </c>
      <c r="G224" s="111">
        <f>G225</f>
        <v>419.6</v>
      </c>
      <c r="H224" s="111">
        <f>SUM(H225)</f>
        <v>0</v>
      </c>
      <c r="I224" s="111">
        <f>I225</f>
        <v>419.6</v>
      </c>
      <c r="J224" s="114">
        <f>J225</f>
        <v>7971.1</v>
      </c>
      <c r="K224" s="111">
        <f>SUM(K225)</f>
        <v>0</v>
      </c>
      <c r="L224" s="114">
        <f>L225</f>
        <v>7971.1</v>
      </c>
      <c r="M224" s="111">
        <f>M225</f>
        <v>8390.7000000000007</v>
      </c>
      <c r="N224" s="111">
        <f>N225</f>
        <v>0</v>
      </c>
      <c r="O224" s="111">
        <f>O225</f>
        <v>8390.7000000000007</v>
      </c>
      <c r="P224" s="97">
        <f t="shared" si="48"/>
        <v>419.6</v>
      </c>
      <c r="Q224" s="97">
        <f t="shared" si="49"/>
        <v>0</v>
      </c>
    </row>
    <row r="225" spans="1:17" ht="31.5" x14ac:dyDescent="0.2">
      <c r="A225" s="40"/>
      <c r="B225" s="113" t="s">
        <v>40</v>
      </c>
      <c r="C225" s="113" t="s">
        <v>51</v>
      </c>
      <c r="D225" s="133" t="s">
        <v>262</v>
      </c>
      <c r="E225" s="133" t="s">
        <v>270</v>
      </c>
      <c r="F225" s="134" t="s">
        <v>41</v>
      </c>
      <c r="G225" s="111">
        <v>419.6</v>
      </c>
      <c r="H225" s="111"/>
      <c r="I225" s="111">
        <f>419.6+H225</f>
        <v>419.6</v>
      </c>
      <c r="J225" s="115">
        <v>7971.1</v>
      </c>
      <c r="K225" s="111"/>
      <c r="L225" s="115">
        <f>7971.1+K225</f>
        <v>7971.1</v>
      </c>
      <c r="M225" s="111">
        <f>419.6+J225</f>
        <v>8390.7000000000007</v>
      </c>
      <c r="N225" s="111">
        <f>SUM(H225+K225)</f>
        <v>0</v>
      </c>
      <c r="O225" s="111">
        <f>SUM(I225+L225)</f>
        <v>8390.7000000000007</v>
      </c>
      <c r="P225" s="97">
        <f t="shared" si="48"/>
        <v>419.6</v>
      </c>
      <c r="Q225" s="97">
        <f t="shared" si="49"/>
        <v>0</v>
      </c>
    </row>
    <row r="226" spans="1:17" ht="31.5" x14ac:dyDescent="0.2">
      <c r="A226" s="40"/>
      <c r="B226" s="113" t="s">
        <v>185</v>
      </c>
      <c r="C226" s="113" t="s">
        <v>51</v>
      </c>
      <c r="D226" s="133" t="s">
        <v>262</v>
      </c>
      <c r="E226" s="133" t="s">
        <v>271</v>
      </c>
      <c r="F226" s="134" t="s">
        <v>11</v>
      </c>
      <c r="G226" s="111">
        <f>G227+G235+G231</f>
        <v>17736.300000000003</v>
      </c>
      <c r="H226" s="111">
        <f>H227+H231+H235</f>
        <v>0</v>
      </c>
      <c r="I226" s="111">
        <f>I227+I235+I231</f>
        <v>17736.300000000003</v>
      </c>
      <c r="J226" s="114">
        <f>J227+J235</f>
        <v>0</v>
      </c>
      <c r="K226" s="111">
        <f>K227</f>
        <v>0</v>
      </c>
      <c r="L226" s="114">
        <f>L227+L235</f>
        <v>0</v>
      </c>
      <c r="M226" s="111">
        <f>M227+M235+M231</f>
        <v>17736.300000000003</v>
      </c>
      <c r="N226" s="111">
        <f>SUM(H226)</f>
        <v>0</v>
      </c>
      <c r="O226" s="111">
        <f>O227+O235+O231</f>
        <v>17736.300000000003</v>
      </c>
      <c r="P226" s="97">
        <f t="shared" si="48"/>
        <v>17736.300000000003</v>
      </c>
      <c r="Q226" s="97">
        <f t="shared" si="49"/>
        <v>0</v>
      </c>
    </row>
    <row r="227" spans="1:17" ht="51.6" customHeight="1" x14ac:dyDescent="0.2">
      <c r="A227" s="40"/>
      <c r="B227" s="113" t="s">
        <v>272</v>
      </c>
      <c r="C227" s="113" t="s">
        <v>51</v>
      </c>
      <c r="D227" s="133" t="s">
        <v>262</v>
      </c>
      <c r="E227" s="133" t="s">
        <v>273</v>
      </c>
      <c r="F227" s="134" t="s">
        <v>11</v>
      </c>
      <c r="G227" s="111">
        <f>G228</f>
        <v>9290.5</v>
      </c>
      <c r="H227" s="111">
        <f>H228+H229</f>
        <v>0</v>
      </c>
      <c r="I227" s="111">
        <f>I228</f>
        <v>9290.5</v>
      </c>
      <c r="J227" s="114">
        <f>J228</f>
        <v>0</v>
      </c>
      <c r="K227" s="111">
        <f>K228+K229</f>
        <v>0</v>
      </c>
      <c r="L227" s="114">
        <f>L228</f>
        <v>0</v>
      </c>
      <c r="M227" s="111">
        <f>M228</f>
        <v>9290.5</v>
      </c>
      <c r="N227" s="111">
        <f>N228</f>
        <v>0</v>
      </c>
      <c r="O227" s="111">
        <f>O228</f>
        <v>9290.5</v>
      </c>
      <c r="P227" s="97">
        <f t="shared" si="48"/>
        <v>9290.5</v>
      </c>
      <c r="Q227" s="97">
        <f t="shared" si="49"/>
        <v>0</v>
      </c>
    </row>
    <row r="228" spans="1:17" ht="31.5" x14ac:dyDescent="0.2">
      <c r="A228" s="40"/>
      <c r="B228" s="113" t="s">
        <v>134</v>
      </c>
      <c r="C228" s="113" t="s">
        <v>51</v>
      </c>
      <c r="D228" s="133" t="s">
        <v>262</v>
      </c>
      <c r="E228" s="133" t="s">
        <v>274</v>
      </c>
      <c r="F228" s="134" t="s">
        <v>11</v>
      </c>
      <c r="G228" s="111">
        <f>G229+G230</f>
        <v>9290.5</v>
      </c>
      <c r="H228" s="111">
        <f>SUM(H230)</f>
        <v>0</v>
      </c>
      <c r="I228" s="111">
        <f>I229+I230</f>
        <v>9290.5</v>
      </c>
      <c r="J228" s="114">
        <f>J229+J230</f>
        <v>0</v>
      </c>
      <c r="K228" s="111"/>
      <c r="L228" s="114">
        <f>L229+L230</f>
        <v>0</v>
      </c>
      <c r="M228" s="111">
        <f>M229+M230</f>
        <v>9290.5</v>
      </c>
      <c r="N228" s="111">
        <f>N229+N230</f>
        <v>0</v>
      </c>
      <c r="O228" s="111">
        <f>O229+O230</f>
        <v>9290.5</v>
      </c>
      <c r="P228" s="97">
        <f t="shared" si="48"/>
        <v>9290.5</v>
      </c>
      <c r="Q228" s="97">
        <f t="shared" si="49"/>
        <v>0</v>
      </c>
    </row>
    <row r="229" spans="1:17" ht="25.9" customHeight="1" x14ac:dyDescent="0.2">
      <c r="A229" s="40"/>
      <c r="B229" s="113" t="s">
        <v>61</v>
      </c>
      <c r="C229" s="113" t="s">
        <v>51</v>
      </c>
      <c r="D229" s="133" t="s">
        <v>262</v>
      </c>
      <c r="E229" s="133" t="s">
        <v>274</v>
      </c>
      <c r="F229" s="134" t="s">
        <v>62</v>
      </c>
      <c r="G229" s="111">
        <v>8871.2000000000007</v>
      </c>
      <c r="H229" s="111"/>
      <c r="I229" s="111">
        <f>SUM(G229)</f>
        <v>8871.2000000000007</v>
      </c>
      <c r="J229" s="115">
        <v>0</v>
      </c>
      <c r="K229" s="111"/>
      <c r="L229" s="115">
        <v>0</v>
      </c>
      <c r="M229" s="111">
        <f>SUM(G229)</f>
        <v>8871.2000000000007</v>
      </c>
      <c r="N229" s="111">
        <f>SUM(H229)</f>
        <v>0</v>
      </c>
      <c r="O229" s="111">
        <f>SUM(M229)</f>
        <v>8871.2000000000007</v>
      </c>
      <c r="P229" s="97">
        <f t="shared" si="48"/>
        <v>8871.2000000000007</v>
      </c>
      <c r="Q229" s="97">
        <f t="shared" si="49"/>
        <v>0</v>
      </c>
    </row>
    <row r="230" spans="1:17" ht="31.5" x14ac:dyDescent="0.2">
      <c r="A230" s="40"/>
      <c r="B230" s="113" t="s">
        <v>40</v>
      </c>
      <c r="C230" s="113" t="s">
        <v>51</v>
      </c>
      <c r="D230" s="133" t="s">
        <v>262</v>
      </c>
      <c r="E230" s="133" t="s">
        <v>274</v>
      </c>
      <c r="F230" s="134" t="s">
        <v>41</v>
      </c>
      <c r="G230" s="111">
        <v>419.3</v>
      </c>
      <c r="H230" s="111"/>
      <c r="I230" s="111">
        <f>SUM(G230)+H230</f>
        <v>419.3</v>
      </c>
      <c r="J230" s="115">
        <v>0</v>
      </c>
      <c r="K230" s="111"/>
      <c r="L230" s="115">
        <v>0</v>
      </c>
      <c r="M230" s="111">
        <f t="shared" ref="M230:N234" si="51">SUM(G230)</f>
        <v>419.3</v>
      </c>
      <c r="N230" s="111">
        <f t="shared" si="51"/>
        <v>0</v>
      </c>
      <c r="O230" s="111">
        <f>SUM(M230)+N230</f>
        <v>419.3</v>
      </c>
      <c r="P230" s="97">
        <f t="shared" si="48"/>
        <v>419.3</v>
      </c>
      <c r="Q230" s="97">
        <f t="shared" si="49"/>
        <v>0</v>
      </c>
    </row>
    <row r="231" spans="1:17" ht="15.75" x14ac:dyDescent="0.2">
      <c r="A231" s="40"/>
      <c r="B231" s="113" t="s">
        <v>275</v>
      </c>
      <c r="C231" s="113">
        <v>992</v>
      </c>
      <c r="D231" s="133" t="s">
        <v>262</v>
      </c>
      <c r="E231" s="136" t="s">
        <v>276</v>
      </c>
      <c r="F231" s="134"/>
      <c r="G231" s="111">
        <f>SUM(F231)+G232</f>
        <v>914.9</v>
      </c>
      <c r="H231" s="111">
        <f>SUM(H232)</f>
        <v>0</v>
      </c>
      <c r="I231" s="111">
        <f>SUM(H231)+G231</f>
        <v>914.9</v>
      </c>
      <c r="J231" s="115"/>
      <c r="K231" s="111"/>
      <c r="L231" s="115"/>
      <c r="M231" s="111">
        <f t="shared" si="51"/>
        <v>914.9</v>
      </c>
      <c r="N231" s="111">
        <f t="shared" si="51"/>
        <v>0</v>
      </c>
      <c r="O231" s="111">
        <f>SUM(I231)</f>
        <v>914.9</v>
      </c>
      <c r="P231" s="97">
        <f t="shared" si="48"/>
        <v>914.9</v>
      </c>
      <c r="Q231" s="97">
        <f t="shared" si="49"/>
        <v>0</v>
      </c>
    </row>
    <row r="232" spans="1:17" ht="15.75" x14ac:dyDescent="0.2">
      <c r="A232" s="40"/>
      <c r="B232" s="113" t="s">
        <v>277</v>
      </c>
      <c r="C232" s="113">
        <v>992</v>
      </c>
      <c r="D232" s="133" t="s">
        <v>262</v>
      </c>
      <c r="E232" s="136" t="s">
        <v>276</v>
      </c>
      <c r="F232" s="134"/>
      <c r="G232" s="111">
        <f>SUM(F232)+G233+G234</f>
        <v>914.9</v>
      </c>
      <c r="H232" s="111"/>
      <c r="I232" s="111">
        <f>SUM(H232)+G232</f>
        <v>914.9</v>
      </c>
      <c r="J232" s="115"/>
      <c r="K232" s="111"/>
      <c r="L232" s="115"/>
      <c r="M232" s="111">
        <f t="shared" si="51"/>
        <v>914.9</v>
      </c>
      <c r="N232" s="111">
        <f t="shared" si="51"/>
        <v>0</v>
      </c>
      <c r="O232" s="111">
        <f>SUM(I232)</f>
        <v>914.9</v>
      </c>
      <c r="P232" s="97">
        <f t="shared" si="48"/>
        <v>914.9</v>
      </c>
      <c r="Q232" s="97">
        <f t="shared" si="49"/>
        <v>0</v>
      </c>
    </row>
    <row r="233" spans="1:17" ht="31.5" x14ac:dyDescent="0.2">
      <c r="A233" s="40"/>
      <c r="B233" s="113" t="s">
        <v>40</v>
      </c>
      <c r="C233" s="113">
        <v>992</v>
      </c>
      <c r="D233" s="133" t="s">
        <v>262</v>
      </c>
      <c r="E233" s="136" t="s">
        <v>278</v>
      </c>
      <c r="F233" s="134">
        <v>200</v>
      </c>
      <c r="G233" s="111">
        <v>799.9</v>
      </c>
      <c r="H233" s="111"/>
      <c r="I233" s="111">
        <f>SUM(H233)+G233</f>
        <v>799.9</v>
      </c>
      <c r="J233" s="115"/>
      <c r="K233" s="111"/>
      <c r="L233" s="115"/>
      <c r="M233" s="111">
        <f t="shared" si="51"/>
        <v>799.9</v>
      </c>
      <c r="N233" s="111">
        <f t="shared" si="51"/>
        <v>0</v>
      </c>
      <c r="O233" s="111">
        <f>SUM(I233)</f>
        <v>799.9</v>
      </c>
      <c r="P233" s="97">
        <f t="shared" si="48"/>
        <v>799.9</v>
      </c>
      <c r="Q233" s="97">
        <f t="shared" si="49"/>
        <v>0</v>
      </c>
    </row>
    <row r="234" spans="1:17" ht="15.75" x14ac:dyDescent="0.2">
      <c r="A234" s="40"/>
      <c r="B234" s="113" t="s">
        <v>70</v>
      </c>
      <c r="C234" s="113">
        <v>992</v>
      </c>
      <c r="D234" s="133" t="s">
        <v>262</v>
      </c>
      <c r="E234" s="136" t="s">
        <v>278</v>
      </c>
      <c r="F234" s="134">
        <v>800</v>
      </c>
      <c r="G234" s="111">
        <v>115</v>
      </c>
      <c r="H234" s="111"/>
      <c r="I234" s="111">
        <f>SUM(H234)+G234</f>
        <v>115</v>
      </c>
      <c r="J234" s="115"/>
      <c r="K234" s="111"/>
      <c r="L234" s="115"/>
      <c r="M234" s="111">
        <f t="shared" si="51"/>
        <v>115</v>
      </c>
      <c r="N234" s="111">
        <f>SUM(H234)</f>
        <v>0</v>
      </c>
      <c r="O234" s="111">
        <f>SUM(I234)</f>
        <v>115</v>
      </c>
      <c r="P234" s="97"/>
      <c r="Q234" s="97"/>
    </row>
    <row r="235" spans="1:17" ht="52.15" customHeight="1" x14ac:dyDescent="0.2">
      <c r="A235" s="40"/>
      <c r="B235" s="113" t="s">
        <v>279</v>
      </c>
      <c r="C235" s="113" t="s">
        <v>51</v>
      </c>
      <c r="D235" s="133" t="s">
        <v>262</v>
      </c>
      <c r="E235" s="133" t="s">
        <v>280</v>
      </c>
      <c r="F235" s="134" t="s">
        <v>11</v>
      </c>
      <c r="G235" s="111">
        <f t="shared" ref="G235:O236" si="52">G236</f>
        <v>7530.9</v>
      </c>
      <c r="H235" s="111">
        <f t="shared" si="52"/>
        <v>0</v>
      </c>
      <c r="I235" s="111">
        <f t="shared" si="52"/>
        <v>7530.9</v>
      </c>
      <c r="J235" s="114">
        <f t="shared" si="52"/>
        <v>0</v>
      </c>
      <c r="K235" s="111">
        <f t="shared" si="52"/>
        <v>0</v>
      </c>
      <c r="L235" s="114">
        <f t="shared" si="52"/>
        <v>0</v>
      </c>
      <c r="M235" s="111">
        <f t="shared" si="52"/>
        <v>7530.9</v>
      </c>
      <c r="N235" s="111">
        <f t="shared" si="52"/>
        <v>0</v>
      </c>
      <c r="O235" s="111">
        <f t="shared" si="52"/>
        <v>7530.9</v>
      </c>
      <c r="P235" s="97">
        <f t="shared" si="48"/>
        <v>7530.9</v>
      </c>
      <c r="Q235" s="97">
        <f t="shared" si="49"/>
        <v>0</v>
      </c>
    </row>
    <row r="236" spans="1:17" ht="31.5" x14ac:dyDescent="0.2">
      <c r="A236" s="40"/>
      <c r="B236" s="113" t="s">
        <v>134</v>
      </c>
      <c r="C236" s="113" t="s">
        <v>51</v>
      </c>
      <c r="D236" s="133" t="s">
        <v>262</v>
      </c>
      <c r="E236" s="133" t="s">
        <v>281</v>
      </c>
      <c r="F236" s="134" t="s">
        <v>11</v>
      </c>
      <c r="G236" s="111">
        <f t="shared" si="52"/>
        <v>7530.9</v>
      </c>
      <c r="H236" s="111">
        <f>SUM(H237)</f>
        <v>0</v>
      </c>
      <c r="I236" s="111">
        <f t="shared" si="52"/>
        <v>7530.9</v>
      </c>
      <c r="J236" s="114">
        <f t="shared" si="52"/>
        <v>0</v>
      </c>
      <c r="K236" s="111"/>
      <c r="L236" s="114">
        <f t="shared" si="52"/>
        <v>0</v>
      </c>
      <c r="M236" s="111">
        <f t="shared" si="52"/>
        <v>7530.9</v>
      </c>
      <c r="N236" s="111">
        <f t="shared" si="52"/>
        <v>0</v>
      </c>
      <c r="O236" s="111">
        <f t="shared" si="52"/>
        <v>7530.9</v>
      </c>
      <c r="P236" s="97">
        <f t="shared" si="48"/>
        <v>7530.9</v>
      </c>
      <c r="Q236" s="97">
        <f t="shared" si="49"/>
        <v>0</v>
      </c>
    </row>
    <row r="237" spans="1:17" ht="37.9" customHeight="1" x14ac:dyDescent="0.2">
      <c r="A237" s="40"/>
      <c r="B237" s="113" t="s">
        <v>95</v>
      </c>
      <c r="C237" s="113" t="s">
        <v>51</v>
      </c>
      <c r="D237" s="133" t="s">
        <v>262</v>
      </c>
      <c r="E237" s="133" t="s">
        <v>281</v>
      </c>
      <c r="F237" s="134" t="s">
        <v>96</v>
      </c>
      <c r="G237" s="111">
        <v>7530.9</v>
      </c>
      <c r="H237" s="111"/>
      <c r="I237" s="111">
        <f>SUM(G237)</f>
        <v>7530.9</v>
      </c>
      <c r="J237" s="115">
        <v>0</v>
      </c>
      <c r="K237" s="111"/>
      <c r="L237" s="115">
        <v>0</v>
      </c>
      <c r="M237" s="111">
        <f>SUM(G237)</f>
        <v>7530.9</v>
      </c>
      <c r="N237" s="111">
        <f>SUM(H237)</f>
        <v>0</v>
      </c>
      <c r="O237" s="111">
        <f>SUM(M237)</f>
        <v>7530.9</v>
      </c>
      <c r="P237" s="97">
        <f t="shared" si="48"/>
        <v>7530.9</v>
      </c>
      <c r="Q237" s="97">
        <f t="shared" si="49"/>
        <v>0</v>
      </c>
    </row>
    <row r="238" spans="1:17" ht="37.9" customHeight="1" x14ac:dyDescent="0.2">
      <c r="A238" s="40"/>
      <c r="B238" s="118" t="s">
        <v>245</v>
      </c>
      <c r="C238" s="118">
        <v>992</v>
      </c>
      <c r="D238" s="136" t="s">
        <v>262</v>
      </c>
      <c r="E238" s="136" t="s">
        <v>246</v>
      </c>
      <c r="F238" s="141"/>
      <c r="G238" s="111">
        <f t="shared" ref="G238:O238" si="53">G239</f>
        <v>6256.7</v>
      </c>
      <c r="H238" s="111">
        <f t="shared" si="53"/>
        <v>0</v>
      </c>
      <c r="I238" s="111">
        <f t="shared" si="53"/>
        <v>6256.7</v>
      </c>
      <c r="J238" s="115">
        <f t="shared" si="53"/>
        <v>0</v>
      </c>
      <c r="K238" s="111">
        <f t="shared" si="53"/>
        <v>0</v>
      </c>
      <c r="L238" s="115">
        <f t="shared" si="53"/>
        <v>0</v>
      </c>
      <c r="M238" s="111">
        <f t="shared" si="53"/>
        <v>6256.7</v>
      </c>
      <c r="N238" s="111">
        <f t="shared" si="53"/>
        <v>0</v>
      </c>
      <c r="O238" s="111">
        <f t="shared" si="53"/>
        <v>6256.7</v>
      </c>
      <c r="P238" s="97">
        <f t="shared" si="48"/>
        <v>6256.7</v>
      </c>
      <c r="Q238" s="97">
        <f t="shared" si="49"/>
        <v>0</v>
      </c>
    </row>
    <row r="239" spans="1:17" ht="37.9" customHeight="1" x14ac:dyDescent="0.2">
      <c r="A239" s="40"/>
      <c r="B239" s="96" t="s">
        <v>282</v>
      </c>
      <c r="C239" s="113">
        <v>992</v>
      </c>
      <c r="D239" s="133" t="s">
        <v>262</v>
      </c>
      <c r="E239" s="136" t="s">
        <v>248</v>
      </c>
      <c r="F239" s="134"/>
      <c r="G239" s="111">
        <f>SUM(G242)+G240</f>
        <v>6256.7</v>
      </c>
      <c r="H239" s="111">
        <f>SUM(H242)+H240</f>
        <v>0</v>
      </c>
      <c r="I239" s="111">
        <f>SUM(G239)+H239</f>
        <v>6256.7</v>
      </c>
      <c r="J239" s="115"/>
      <c r="K239" s="111"/>
      <c r="L239" s="115"/>
      <c r="M239" s="111">
        <f>SUM(G239)</f>
        <v>6256.7</v>
      </c>
      <c r="N239" s="111">
        <f t="shared" ref="N239:O243" si="54">SUM(H239)</f>
        <v>0</v>
      </c>
      <c r="O239" s="111">
        <f t="shared" si="54"/>
        <v>6256.7</v>
      </c>
      <c r="P239" s="97">
        <f t="shared" si="48"/>
        <v>6256.7</v>
      </c>
      <c r="Q239" s="97">
        <f t="shared" si="49"/>
        <v>0</v>
      </c>
    </row>
    <row r="240" spans="1:17" ht="43.5" customHeight="1" x14ac:dyDescent="0.2">
      <c r="A240" s="40"/>
      <c r="B240" s="135" t="s">
        <v>134</v>
      </c>
      <c r="C240" s="113">
        <v>992</v>
      </c>
      <c r="D240" s="133" t="s">
        <v>262</v>
      </c>
      <c r="E240" s="136" t="s">
        <v>251</v>
      </c>
      <c r="F240" s="134"/>
      <c r="G240" s="111">
        <f>SUM(G241)</f>
        <v>5097.7</v>
      </c>
      <c r="H240" s="111">
        <f>SUM(H241)</f>
        <v>0</v>
      </c>
      <c r="I240" s="111">
        <f>SUM(I241)</f>
        <v>5097.7</v>
      </c>
      <c r="J240" s="115"/>
      <c r="K240" s="111"/>
      <c r="L240" s="115"/>
      <c r="M240" s="111">
        <f>SUM(G240)</f>
        <v>5097.7</v>
      </c>
      <c r="N240" s="111">
        <f>SUM(H240)</f>
        <v>0</v>
      </c>
      <c r="O240" s="111">
        <f>SUM(I240)</f>
        <v>5097.7</v>
      </c>
      <c r="P240" s="97">
        <f t="shared" si="48"/>
        <v>5097.7</v>
      </c>
      <c r="Q240" s="97">
        <f t="shared" si="49"/>
        <v>0</v>
      </c>
    </row>
    <row r="241" spans="1:17" ht="46.5" customHeight="1" x14ac:dyDescent="0.2">
      <c r="A241" s="40"/>
      <c r="B241" s="113" t="s">
        <v>95</v>
      </c>
      <c r="C241" s="113">
        <v>992</v>
      </c>
      <c r="D241" s="133" t="s">
        <v>262</v>
      </c>
      <c r="E241" s="136" t="s">
        <v>251</v>
      </c>
      <c r="F241" s="134">
        <v>600</v>
      </c>
      <c r="G241" s="111">
        <v>5097.7</v>
      </c>
      <c r="H241" s="111"/>
      <c r="I241" s="111">
        <v>5097.7</v>
      </c>
      <c r="J241" s="115"/>
      <c r="K241" s="111"/>
      <c r="L241" s="115"/>
      <c r="M241" s="111">
        <f>SUM(G241)</f>
        <v>5097.7</v>
      </c>
      <c r="N241" s="111">
        <f>SUM(H241)</f>
        <v>0</v>
      </c>
      <c r="O241" s="111">
        <f>SUM(I241)</f>
        <v>5097.7</v>
      </c>
      <c r="P241" s="97">
        <f t="shared" si="48"/>
        <v>5097.7</v>
      </c>
      <c r="Q241" s="97">
        <f t="shared" si="49"/>
        <v>0</v>
      </c>
    </row>
    <row r="242" spans="1:17" ht="54" customHeight="1" x14ac:dyDescent="0.2">
      <c r="A242" s="40"/>
      <c r="B242" s="142" t="s">
        <v>283</v>
      </c>
      <c r="C242" s="113">
        <v>992</v>
      </c>
      <c r="D242" s="133" t="s">
        <v>262</v>
      </c>
      <c r="E242" s="136" t="s">
        <v>284</v>
      </c>
      <c r="F242" s="134"/>
      <c r="G242" s="111">
        <f>SUM(G243)</f>
        <v>1159</v>
      </c>
      <c r="H242" s="111">
        <f>SUM(H243)</f>
        <v>0</v>
      </c>
      <c r="I242" s="111">
        <f>SUM(G242)+H242</f>
        <v>1159</v>
      </c>
      <c r="J242" s="115"/>
      <c r="K242" s="111"/>
      <c r="L242" s="115"/>
      <c r="M242" s="111">
        <f>SUM(G243)</f>
        <v>1159</v>
      </c>
      <c r="N242" s="111">
        <f t="shared" si="54"/>
        <v>0</v>
      </c>
      <c r="O242" s="111">
        <f t="shared" si="54"/>
        <v>1159</v>
      </c>
      <c r="P242" s="97">
        <f t="shared" si="48"/>
        <v>1159</v>
      </c>
      <c r="Q242" s="97">
        <f t="shared" si="49"/>
        <v>0</v>
      </c>
    </row>
    <row r="243" spans="1:17" ht="37.9" customHeight="1" x14ac:dyDescent="0.2">
      <c r="A243" s="40"/>
      <c r="B243" s="113" t="s">
        <v>95</v>
      </c>
      <c r="C243" s="113">
        <v>992</v>
      </c>
      <c r="D243" s="133" t="s">
        <v>262</v>
      </c>
      <c r="E243" s="136" t="s">
        <v>284</v>
      </c>
      <c r="F243" s="134">
        <v>600</v>
      </c>
      <c r="G243" s="111">
        <v>1159</v>
      </c>
      <c r="H243" s="111"/>
      <c r="I243" s="111">
        <f>SUM(G243)+H243</f>
        <v>1159</v>
      </c>
      <c r="J243" s="115"/>
      <c r="K243" s="111"/>
      <c r="L243" s="115"/>
      <c r="M243" s="111">
        <f>SUM(G243)</f>
        <v>1159</v>
      </c>
      <c r="N243" s="111">
        <f t="shared" si="54"/>
        <v>0</v>
      </c>
      <c r="O243" s="111">
        <f t="shared" si="54"/>
        <v>1159</v>
      </c>
      <c r="P243" s="97">
        <f t="shared" si="48"/>
        <v>1159</v>
      </c>
      <c r="Q243" s="97">
        <f t="shared" si="49"/>
        <v>0</v>
      </c>
    </row>
    <row r="244" spans="1:17" ht="31.5" x14ac:dyDescent="0.2">
      <c r="A244" s="40"/>
      <c r="B244" s="113" t="s">
        <v>218</v>
      </c>
      <c r="C244" s="113" t="s">
        <v>51</v>
      </c>
      <c r="D244" s="133" t="s">
        <v>262</v>
      </c>
      <c r="E244" s="133" t="s">
        <v>219</v>
      </c>
      <c r="F244" s="134" t="s">
        <v>11</v>
      </c>
      <c r="G244" s="111">
        <f>G245+G250+G257</f>
        <v>5326.1</v>
      </c>
      <c r="H244" s="111">
        <f>H245+H250</f>
        <v>0</v>
      </c>
      <c r="I244" s="111">
        <f>I245+I250+I257</f>
        <v>5326.1</v>
      </c>
      <c r="J244" s="114">
        <f>J245+J250+J257</f>
        <v>0</v>
      </c>
      <c r="K244" s="111">
        <f>K245</f>
        <v>0</v>
      </c>
      <c r="L244" s="114">
        <f>L245+L250+L257</f>
        <v>0</v>
      </c>
      <c r="M244" s="111">
        <f>M245+M250+M257</f>
        <v>5326.1</v>
      </c>
      <c r="N244" s="111">
        <f>N245+N250+N257</f>
        <v>0</v>
      </c>
      <c r="O244" s="111">
        <f>O245+O250+O257</f>
        <v>5326.1</v>
      </c>
      <c r="P244" s="97">
        <f t="shared" si="48"/>
        <v>5326.1</v>
      </c>
      <c r="Q244" s="97">
        <f t="shared" si="49"/>
        <v>0</v>
      </c>
    </row>
    <row r="245" spans="1:17" ht="31.5" x14ac:dyDescent="0.2">
      <c r="A245" s="40"/>
      <c r="B245" s="113" t="s">
        <v>285</v>
      </c>
      <c r="C245" s="113" t="s">
        <v>51</v>
      </c>
      <c r="D245" s="133" t="s">
        <v>262</v>
      </c>
      <c r="E245" s="133" t="s">
        <v>286</v>
      </c>
      <c r="F245" s="134" t="s">
        <v>11</v>
      </c>
      <c r="G245" s="111">
        <f>G246</f>
        <v>330</v>
      </c>
      <c r="H245" s="111">
        <f>H246</f>
        <v>0</v>
      </c>
      <c r="I245" s="111">
        <f>I246</f>
        <v>330</v>
      </c>
      <c r="J245" s="114">
        <f t="shared" ref="J245:O246" si="55">J246</f>
        <v>0</v>
      </c>
      <c r="K245" s="111">
        <f>K246</f>
        <v>0</v>
      </c>
      <c r="L245" s="114">
        <f t="shared" si="55"/>
        <v>0</v>
      </c>
      <c r="M245" s="111">
        <f t="shared" si="55"/>
        <v>330</v>
      </c>
      <c r="N245" s="111">
        <f t="shared" si="55"/>
        <v>0</v>
      </c>
      <c r="O245" s="111">
        <f t="shared" si="55"/>
        <v>330</v>
      </c>
      <c r="P245" s="97">
        <f t="shared" si="48"/>
        <v>330</v>
      </c>
      <c r="Q245" s="97">
        <f t="shared" si="49"/>
        <v>0</v>
      </c>
    </row>
    <row r="246" spans="1:17" ht="31.5" x14ac:dyDescent="0.2">
      <c r="A246" s="40"/>
      <c r="B246" s="113" t="s">
        <v>287</v>
      </c>
      <c r="C246" s="113" t="s">
        <v>51</v>
      </c>
      <c r="D246" s="133" t="s">
        <v>262</v>
      </c>
      <c r="E246" s="133" t="s">
        <v>288</v>
      </c>
      <c r="F246" s="134" t="s">
        <v>11</v>
      </c>
      <c r="G246" s="111">
        <f>G247</f>
        <v>330</v>
      </c>
      <c r="H246" s="111">
        <f>H248+H247</f>
        <v>0</v>
      </c>
      <c r="I246" s="111">
        <f>I247</f>
        <v>330</v>
      </c>
      <c r="J246" s="114">
        <f t="shared" si="55"/>
        <v>0</v>
      </c>
      <c r="K246" s="111">
        <f>K248+K247</f>
        <v>0</v>
      </c>
      <c r="L246" s="114">
        <f t="shared" si="55"/>
        <v>0</v>
      </c>
      <c r="M246" s="111">
        <f t="shared" si="55"/>
        <v>330</v>
      </c>
      <c r="N246" s="111">
        <f t="shared" si="55"/>
        <v>0</v>
      </c>
      <c r="O246" s="111">
        <f t="shared" si="55"/>
        <v>330</v>
      </c>
      <c r="P246" s="97">
        <f t="shared" si="48"/>
        <v>330</v>
      </c>
      <c r="Q246" s="97">
        <f t="shared" si="49"/>
        <v>0</v>
      </c>
    </row>
    <row r="247" spans="1:17" ht="31.5" x14ac:dyDescent="0.2">
      <c r="A247" s="40"/>
      <c r="B247" s="113" t="s">
        <v>285</v>
      </c>
      <c r="C247" s="113" t="s">
        <v>51</v>
      </c>
      <c r="D247" s="133" t="s">
        <v>262</v>
      </c>
      <c r="E247" s="133" t="s">
        <v>289</v>
      </c>
      <c r="F247" s="134" t="s">
        <v>11</v>
      </c>
      <c r="G247" s="111">
        <f>G249+G248</f>
        <v>330</v>
      </c>
      <c r="H247" s="111"/>
      <c r="I247" s="111">
        <f>I249+I248</f>
        <v>330</v>
      </c>
      <c r="J247" s="114">
        <f>J249+J248</f>
        <v>0</v>
      </c>
      <c r="K247" s="111"/>
      <c r="L247" s="114">
        <f>L249+L248</f>
        <v>0</v>
      </c>
      <c r="M247" s="111">
        <f>M249+M248</f>
        <v>330</v>
      </c>
      <c r="N247" s="111">
        <f>N249+N248</f>
        <v>0</v>
      </c>
      <c r="O247" s="111">
        <f>O249+O248</f>
        <v>330</v>
      </c>
      <c r="P247" s="97">
        <f t="shared" si="48"/>
        <v>330</v>
      </c>
      <c r="Q247" s="97">
        <f t="shared" si="49"/>
        <v>0</v>
      </c>
    </row>
    <row r="248" spans="1:17" ht="31.5" x14ac:dyDescent="0.2">
      <c r="A248" s="40"/>
      <c r="B248" s="113" t="s">
        <v>40</v>
      </c>
      <c r="C248" s="113" t="s">
        <v>51</v>
      </c>
      <c r="D248" s="133" t="s">
        <v>262</v>
      </c>
      <c r="E248" s="133" t="s">
        <v>289</v>
      </c>
      <c r="F248" s="134">
        <v>200</v>
      </c>
      <c r="G248" s="111">
        <v>200</v>
      </c>
      <c r="H248" s="111"/>
      <c r="I248" s="111">
        <v>200</v>
      </c>
      <c r="J248" s="114">
        <v>0</v>
      </c>
      <c r="K248" s="111"/>
      <c r="L248" s="114">
        <v>0</v>
      </c>
      <c r="M248" s="111">
        <v>200</v>
      </c>
      <c r="N248" s="111"/>
      <c r="O248" s="111">
        <v>200</v>
      </c>
      <c r="P248" s="97">
        <f t="shared" si="48"/>
        <v>200</v>
      </c>
      <c r="Q248" s="97">
        <f t="shared" si="49"/>
        <v>0</v>
      </c>
    </row>
    <row r="249" spans="1:17" ht="15.75" x14ac:dyDescent="0.2">
      <c r="A249" s="40"/>
      <c r="B249" s="113" t="s">
        <v>70</v>
      </c>
      <c r="C249" s="113" t="s">
        <v>51</v>
      </c>
      <c r="D249" s="133" t="s">
        <v>262</v>
      </c>
      <c r="E249" s="133" t="s">
        <v>289</v>
      </c>
      <c r="F249" s="134" t="s">
        <v>71</v>
      </c>
      <c r="G249" s="111">
        <v>130</v>
      </c>
      <c r="H249" s="111"/>
      <c r="I249" s="111">
        <v>130</v>
      </c>
      <c r="J249" s="115">
        <v>0</v>
      </c>
      <c r="K249" s="111"/>
      <c r="L249" s="115">
        <v>0</v>
      </c>
      <c r="M249" s="111">
        <v>130</v>
      </c>
      <c r="N249" s="111"/>
      <c r="O249" s="111">
        <v>130</v>
      </c>
      <c r="P249" s="97">
        <f t="shared" si="48"/>
        <v>130</v>
      </c>
      <c r="Q249" s="97">
        <f t="shared" si="49"/>
        <v>0</v>
      </c>
    </row>
    <row r="250" spans="1:17" ht="31.5" x14ac:dyDescent="0.2">
      <c r="A250" s="40"/>
      <c r="B250" s="113" t="s">
        <v>290</v>
      </c>
      <c r="C250" s="113" t="s">
        <v>51</v>
      </c>
      <c r="D250" s="133" t="s">
        <v>262</v>
      </c>
      <c r="E250" s="133" t="s">
        <v>291</v>
      </c>
      <c r="F250" s="134" t="s">
        <v>11</v>
      </c>
      <c r="G250" s="111">
        <f t="shared" ref="G250:O251" si="56">G251</f>
        <v>4396.1000000000004</v>
      </c>
      <c r="H250" s="111">
        <f t="shared" si="56"/>
        <v>0</v>
      </c>
      <c r="I250" s="111">
        <f t="shared" si="56"/>
        <v>4396.1000000000004</v>
      </c>
      <c r="J250" s="114">
        <f t="shared" si="56"/>
        <v>0</v>
      </c>
      <c r="K250" s="111">
        <f t="shared" si="56"/>
        <v>0</v>
      </c>
      <c r="L250" s="114">
        <f t="shared" si="56"/>
        <v>0</v>
      </c>
      <c r="M250" s="111">
        <f t="shared" si="56"/>
        <v>4396.1000000000004</v>
      </c>
      <c r="N250" s="111">
        <f t="shared" si="56"/>
        <v>0</v>
      </c>
      <c r="O250" s="111">
        <f t="shared" si="56"/>
        <v>4396.1000000000004</v>
      </c>
      <c r="P250" s="97">
        <f t="shared" si="48"/>
        <v>4396.1000000000004</v>
      </c>
      <c r="Q250" s="97">
        <f t="shared" si="49"/>
        <v>0</v>
      </c>
    </row>
    <row r="251" spans="1:17" ht="47.25" x14ac:dyDescent="0.2">
      <c r="A251" s="40"/>
      <c r="B251" s="113" t="s">
        <v>292</v>
      </c>
      <c r="C251" s="113" t="s">
        <v>51</v>
      </c>
      <c r="D251" s="133" t="s">
        <v>262</v>
      </c>
      <c r="E251" s="133" t="s">
        <v>293</v>
      </c>
      <c r="F251" s="134" t="s">
        <v>11</v>
      </c>
      <c r="G251" s="111">
        <f t="shared" si="56"/>
        <v>4396.1000000000004</v>
      </c>
      <c r="H251" s="111">
        <f t="shared" si="56"/>
        <v>0</v>
      </c>
      <c r="I251" s="111">
        <f t="shared" si="56"/>
        <v>4396.1000000000004</v>
      </c>
      <c r="J251" s="114">
        <f t="shared" si="56"/>
        <v>0</v>
      </c>
      <c r="K251" s="111">
        <f>K252+K253</f>
        <v>0</v>
      </c>
      <c r="L251" s="114">
        <f t="shared" si="56"/>
        <v>0</v>
      </c>
      <c r="M251" s="111">
        <f t="shared" si="56"/>
        <v>4396.1000000000004</v>
      </c>
      <c r="N251" s="111">
        <f>SUM(H251)</f>
        <v>0</v>
      </c>
      <c r="O251" s="111">
        <f t="shared" si="56"/>
        <v>4396.1000000000004</v>
      </c>
      <c r="P251" s="97">
        <f t="shared" si="48"/>
        <v>4396.1000000000004</v>
      </c>
      <c r="Q251" s="97">
        <f t="shared" si="49"/>
        <v>0</v>
      </c>
    </row>
    <row r="252" spans="1:17" ht="31.5" x14ac:dyDescent="0.2">
      <c r="A252" s="40"/>
      <c r="B252" s="113" t="s">
        <v>134</v>
      </c>
      <c r="C252" s="113" t="s">
        <v>51</v>
      </c>
      <c r="D252" s="133" t="s">
        <v>262</v>
      </c>
      <c r="E252" s="133" t="s">
        <v>294</v>
      </c>
      <c r="F252" s="134" t="s">
        <v>11</v>
      </c>
      <c r="G252" s="111">
        <f>G253+G254</f>
        <v>4396.1000000000004</v>
      </c>
      <c r="H252" s="111"/>
      <c r="I252" s="111">
        <f>I253+I254</f>
        <v>4396.1000000000004</v>
      </c>
      <c r="J252" s="114">
        <f>J253+J254</f>
        <v>0</v>
      </c>
      <c r="K252" s="111"/>
      <c r="L252" s="114">
        <f>L253+L254</f>
        <v>0</v>
      </c>
      <c r="M252" s="111">
        <f>M253+M254</f>
        <v>4396.1000000000004</v>
      </c>
      <c r="N252" s="111">
        <f>N253+N254</f>
        <v>0</v>
      </c>
      <c r="O252" s="111">
        <f>O253+O254</f>
        <v>4396.1000000000004</v>
      </c>
      <c r="P252" s="97">
        <f t="shared" si="48"/>
        <v>4396.1000000000004</v>
      </c>
      <c r="Q252" s="97">
        <f t="shared" si="49"/>
        <v>0</v>
      </c>
    </row>
    <row r="253" spans="1:17" ht="31.9" customHeight="1" x14ac:dyDescent="0.2">
      <c r="A253" s="40"/>
      <c r="B253" s="113" t="s">
        <v>61</v>
      </c>
      <c r="C253" s="113" t="s">
        <v>51</v>
      </c>
      <c r="D253" s="133" t="s">
        <v>262</v>
      </c>
      <c r="E253" s="133" t="s">
        <v>294</v>
      </c>
      <c r="F253" s="134" t="s">
        <v>62</v>
      </c>
      <c r="G253" s="111">
        <v>4250.6000000000004</v>
      </c>
      <c r="H253" s="111"/>
      <c r="I253" s="111">
        <f>SUM(G253)</f>
        <v>4250.6000000000004</v>
      </c>
      <c r="J253" s="115">
        <v>0</v>
      </c>
      <c r="K253" s="111"/>
      <c r="L253" s="115">
        <v>0</v>
      </c>
      <c r="M253" s="111">
        <f>SUM(G253)</f>
        <v>4250.6000000000004</v>
      </c>
      <c r="N253" s="111">
        <f>SUM(H253)</f>
        <v>0</v>
      </c>
      <c r="O253" s="111">
        <f>SUM(I253)</f>
        <v>4250.6000000000004</v>
      </c>
      <c r="P253" s="97">
        <f t="shared" si="48"/>
        <v>4250.6000000000004</v>
      </c>
      <c r="Q253" s="97">
        <f t="shared" si="49"/>
        <v>0</v>
      </c>
    </row>
    <row r="254" spans="1:17" ht="31.5" x14ac:dyDescent="0.2">
      <c r="A254" s="40"/>
      <c r="B254" s="113" t="s">
        <v>40</v>
      </c>
      <c r="C254" s="113" t="s">
        <v>51</v>
      </c>
      <c r="D254" s="133" t="s">
        <v>262</v>
      </c>
      <c r="E254" s="133" t="s">
        <v>294</v>
      </c>
      <c r="F254" s="134" t="s">
        <v>41</v>
      </c>
      <c r="G254" s="111">
        <v>145.5</v>
      </c>
      <c r="H254" s="111"/>
      <c r="I254" s="111">
        <v>145.5</v>
      </c>
      <c r="J254" s="115">
        <v>0</v>
      </c>
      <c r="K254" s="111"/>
      <c r="L254" s="115">
        <v>0</v>
      </c>
      <c r="M254" s="111">
        <v>145.5</v>
      </c>
      <c r="N254" s="111"/>
      <c r="O254" s="111">
        <v>145.5</v>
      </c>
      <c r="P254" s="97">
        <f t="shared" si="48"/>
        <v>145.5</v>
      </c>
      <c r="Q254" s="97">
        <f t="shared" si="49"/>
        <v>0</v>
      </c>
    </row>
    <row r="255" spans="1:17" ht="63" hidden="1" x14ac:dyDescent="0.2">
      <c r="A255" s="40"/>
      <c r="B255" s="135" t="s">
        <v>560</v>
      </c>
      <c r="C255" s="113">
        <v>992</v>
      </c>
      <c r="D255" s="133" t="s">
        <v>262</v>
      </c>
      <c r="E255" s="133" t="s">
        <v>559</v>
      </c>
      <c r="F255" s="134"/>
      <c r="G255" s="111"/>
      <c r="H255" s="111"/>
      <c r="I255" s="111">
        <f>SUM(H255)</f>
        <v>0</v>
      </c>
      <c r="J255" s="115"/>
      <c r="K255" s="111"/>
      <c r="L255" s="115"/>
      <c r="M255" s="111"/>
      <c r="N255" s="111">
        <f>SUM(H255)</f>
        <v>0</v>
      </c>
      <c r="O255" s="111">
        <f>SUM(H255)</f>
        <v>0</v>
      </c>
      <c r="P255" s="97">
        <f t="shared" si="48"/>
        <v>0</v>
      </c>
      <c r="Q255" s="97">
        <f t="shared" si="49"/>
        <v>0</v>
      </c>
    </row>
    <row r="256" spans="1:17" ht="15.75" hidden="1" x14ac:dyDescent="0.2">
      <c r="A256" s="40"/>
      <c r="B256" s="113" t="s">
        <v>47</v>
      </c>
      <c r="C256" s="113">
        <v>992</v>
      </c>
      <c r="D256" s="133" t="s">
        <v>262</v>
      </c>
      <c r="E256" s="133" t="s">
        <v>559</v>
      </c>
      <c r="F256" s="134">
        <v>500</v>
      </c>
      <c r="G256" s="111"/>
      <c r="H256" s="111"/>
      <c r="I256" s="111">
        <f>SUM(H256)</f>
        <v>0</v>
      </c>
      <c r="J256" s="115"/>
      <c r="K256" s="111"/>
      <c r="L256" s="115"/>
      <c r="M256" s="111"/>
      <c r="N256" s="111">
        <f>SUM(H256)</f>
        <v>0</v>
      </c>
      <c r="O256" s="111">
        <f>SUM(H256)</f>
        <v>0</v>
      </c>
      <c r="P256" s="97">
        <f t="shared" si="48"/>
        <v>0</v>
      </c>
      <c r="Q256" s="97">
        <f t="shared" si="49"/>
        <v>0</v>
      </c>
    </row>
    <row r="257" spans="1:17" ht="63" x14ac:dyDescent="0.2">
      <c r="A257" s="40"/>
      <c r="B257" s="113" t="s">
        <v>295</v>
      </c>
      <c r="C257" s="113" t="s">
        <v>51</v>
      </c>
      <c r="D257" s="133" t="s">
        <v>262</v>
      </c>
      <c r="E257" s="133" t="s">
        <v>296</v>
      </c>
      <c r="F257" s="134" t="s">
        <v>11</v>
      </c>
      <c r="G257" s="111">
        <f t="shared" ref="G257:O259" si="57">G258</f>
        <v>600</v>
      </c>
      <c r="H257" s="111">
        <f t="shared" si="57"/>
        <v>0</v>
      </c>
      <c r="I257" s="111">
        <f t="shared" si="57"/>
        <v>600</v>
      </c>
      <c r="J257" s="114">
        <f t="shared" si="57"/>
        <v>0</v>
      </c>
      <c r="K257" s="111">
        <f>K258</f>
        <v>0</v>
      </c>
      <c r="L257" s="114">
        <f t="shared" si="57"/>
        <v>0</v>
      </c>
      <c r="M257" s="111">
        <f t="shared" si="57"/>
        <v>600</v>
      </c>
      <c r="N257" s="111">
        <f t="shared" si="57"/>
        <v>0</v>
      </c>
      <c r="O257" s="111">
        <f t="shared" si="57"/>
        <v>600</v>
      </c>
      <c r="P257" s="97">
        <f t="shared" si="48"/>
        <v>600</v>
      </c>
      <c r="Q257" s="97">
        <f t="shared" si="49"/>
        <v>0</v>
      </c>
    </row>
    <row r="258" spans="1:17" ht="47.25" x14ac:dyDescent="0.2">
      <c r="A258" s="40"/>
      <c r="B258" s="113" t="s">
        <v>297</v>
      </c>
      <c r="C258" s="113" t="s">
        <v>51</v>
      </c>
      <c r="D258" s="133" t="s">
        <v>262</v>
      </c>
      <c r="E258" s="133" t="s">
        <v>298</v>
      </c>
      <c r="F258" s="134" t="s">
        <v>11</v>
      </c>
      <c r="G258" s="111">
        <f t="shared" si="57"/>
        <v>600</v>
      </c>
      <c r="H258" s="111">
        <f>H259</f>
        <v>0</v>
      </c>
      <c r="I258" s="111">
        <f t="shared" si="57"/>
        <v>600</v>
      </c>
      <c r="J258" s="114">
        <f t="shared" si="57"/>
        <v>0</v>
      </c>
      <c r="K258" s="111">
        <f>K259</f>
        <v>0</v>
      </c>
      <c r="L258" s="114">
        <f t="shared" si="57"/>
        <v>0</v>
      </c>
      <c r="M258" s="111">
        <f t="shared" si="57"/>
        <v>600</v>
      </c>
      <c r="N258" s="111">
        <f t="shared" si="57"/>
        <v>0</v>
      </c>
      <c r="O258" s="111">
        <f t="shared" si="57"/>
        <v>600</v>
      </c>
      <c r="P258" s="97">
        <f t="shared" si="48"/>
        <v>600</v>
      </c>
      <c r="Q258" s="97">
        <f t="shared" si="49"/>
        <v>0</v>
      </c>
    </row>
    <row r="259" spans="1:17" ht="31.5" x14ac:dyDescent="0.2">
      <c r="A259" s="40"/>
      <c r="B259" s="113" t="s">
        <v>299</v>
      </c>
      <c r="C259" s="113" t="s">
        <v>51</v>
      </c>
      <c r="D259" s="133" t="s">
        <v>262</v>
      </c>
      <c r="E259" s="133" t="s">
        <v>300</v>
      </c>
      <c r="F259" s="134" t="s">
        <v>11</v>
      </c>
      <c r="G259" s="111">
        <f>G260</f>
        <v>600</v>
      </c>
      <c r="H259" s="111">
        <f>H260</f>
        <v>0</v>
      </c>
      <c r="I259" s="111">
        <f>I260</f>
        <v>600</v>
      </c>
      <c r="J259" s="114">
        <f t="shared" si="57"/>
        <v>0</v>
      </c>
      <c r="K259" s="111"/>
      <c r="L259" s="114">
        <f t="shared" si="57"/>
        <v>0</v>
      </c>
      <c r="M259" s="111">
        <f t="shared" si="57"/>
        <v>600</v>
      </c>
      <c r="N259" s="111">
        <f t="shared" si="57"/>
        <v>0</v>
      </c>
      <c r="O259" s="111">
        <f t="shared" si="57"/>
        <v>600</v>
      </c>
      <c r="P259" s="97">
        <f t="shared" si="48"/>
        <v>600</v>
      </c>
      <c r="Q259" s="97">
        <f t="shared" si="49"/>
        <v>0</v>
      </c>
    </row>
    <row r="260" spans="1:17" ht="31.5" x14ac:dyDescent="0.2">
      <c r="A260" s="40"/>
      <c r="B260" s="113" t="s">
        <v>40</v>
      </c>
      <c r="C260" s="113" t="s">
        <v>51</v>
      </c>
      <c r="D260" s="133" t="s">
        <v>262</v>
      </c>
      <c r="E260" s="133" t="s">
        <v>300</v>
      </c>
      <c r="F260" s="134" t="s">
        <v>41</v>
      </c>
      <c r="G260" s="111">
        <v>600</v>
      </c>
      <c r="H260" s="111"/>
      <c r="I260" s="111">
        <f>G260+H260</f>
        <v>600</v>
      </c>
      <c r="J260" s="115"/>
      <c r="K260" s="106"/>
      <c r="L260" s="115"/>
      <c r="M260" s="111">
        <f>SUM(G260)</f>
        <v>600</v>
      </c>
      <c r="N260" s="111">
        <f>SUM(H260)</f>
        <v>0</v>
      </c>
      <c r="O260" s="111">
        <f>SUM(I260)</f>
        <v>600</v>
      </c>
      <c r="P260" s="97">
        <f t="shared" si="48"/>
        <v>600</v>
      </c>
      <c r="Q260" s="97">
        <f t="shared" si="49"/>
        <v>0</v>
      </c>
    </row>
    <row r="261" spans="1:17" ht="15.75" x14ac:dyDescent="0.2">
      <c r="A261" s="20" t="s">
        <v>301</v>
      </c>
      <c r="B261" s="107" t="s">
        <v>302</v>
      </c>
      <c r="C261" s="107" t="s">
        <v>51</v>
      </c>
      <c r="D261" s="129" t="s">
        <v>303</v>
      </c>
      <c r="E261" s="129" t="s">
        <v>11</v>
      </c>
      <c r="F261" s="134" t="s">
        <v>11</v>
      </c>
      <c r="G261" s="106">
        <f>SUM(G289+G332+G393)+G262</f>
        <v>259534.30000000005</v>
      </c>
      <c r="H261" s="106">
        <f>SUM(H289+H332+H393)+H262</f>
        <v>2548</v>
      </c>
      <c r="I261" s="106">
        <f>SUM(I289+I332+I393)+I262</f>
        <v>262082.30000000002</v>
      </c>
      <c r="J261" s="108">
        <f>J263+J289+J332+J393</f>
        <v>1769766.4999999998</v>
      </c>
      <c r="K261" s="109">
        <f>K263+K289+K332</f>
        <v>0</v>
      </c>
      <c r="L261" s="108">
        <f>L263+L289+L332+L393</f>
        <v>1769766.4999999998</v>
      </c>
      <c r="M261" s="106">
        <f>SUM(M289+M332+M393)+M262</f>
        <v>2029300.8</v>
      </c>
      <c r="N261" s="106">
        <f>SUM(N289+N332+N393)+N262</f>
        <v>2548</v>
      </c>
      <c r="O261" s="106">
        <f>SUM(O289+O332+O393)+O262</f>
        <v>2031848.8</v>
      </c>
      <c r="P261" s="97">
        <f t="shared" si="48"/>
        <v>262082.30000000005</v>
      </c>
      <c r="Q261" s="97">
        <f t="shared" si="49"/>
        <v>0</v>
      </c>
    </row>
    <row r="262" spans="1:17" ht="15.75" x14ac:dyDescent="0.2">
      <c r="A262" s="20"/>
      <c r="B262" s="110" t="s">
        <v>305</v>
      </c>
      <c r="C262" s="107">
        <v>992</v>
      </c>
      <c r="D262" s="131" t="s">
        <v>306</v>
      </c>
      <c r="E262" s="129"/>
      <c r="F262" s="134"/>
      <c r="G262" s="106">
        <f>SUM(G278)+G263</f>
        <v>7532.7</v>
      </c>
      <c r="H262" s="106">
        <f>SUM(H278)</f>
        <v>86.4</v>
      </c>
      <c r="I262" s="106">
        <f>SUM(I278)+I263</f>
        <v>7619.0999999999995</v>
      </c>
      <c r="J262" s="108"/>
      <c r="K262" s="109"/>
      <c r="L262" s="108"/>
      <c r="M262" s="106">
        <f>SUM(G262)</f>
        <v>7532.7</v>
      </c>
      <c r="N262" s="106">
        <f>SUM(H262)</f>
        <v>86.4</v>
      </c>
      <c r="O262" s="106">
        <f>SUM(I262)</f>
        <v>7619.0999999999995</v>
      </c>
      <c r="P262" s="97"/>
      <c r="Q262" s="97"/>
    </row>
    <row r="263" spans="1:17" ht="47.25" x14ac:dyDescent="0.2">
      <c r="A263" s="33" t="s">
        <v>304</v>
      </c>
      <c r="B263" s="113" t="s">
        <v>230</v>
      </c>
      <c r="C263" s="110" t="s">
        <v>51</v>
      </c>
      <c r="D263" s="131" t="s">
        <v>306</v>
      </c>
      <c r="E263" s="137" t="s">
        <v>231</v>
      </c>
      <c r="F263" s="134" t="s">
        <v>11</v>
      </c>
      <c r="G263" s="109">
        <f>G269</f>
        <v>320.2</v>
      </c>
      <c r="H263" s="109">
        <f>H274+H264</f>
        <v>0</v>
      </c>
      <c r="I263" s="109">
        <f>I269</f>
        <v>320.2</v>
      </c>
      <c r="J263" s="112">
        <f>J278</f>
        <v>0</v>
      </c>
      <c r="K263" s="111">
        <f>K278</f>
        <v>0</v>
      </c>
      <c r="L263" s="112">
        <f>L278</f>
        <v>0</v>
      </c>
      <c r="M263" s="109">
        <f>M269</f>
        <v>320.2</v>
      </c>
      <c r="N263" s="111">
        <f>SUM(H263)</f>
        <v>0</v>
      </c>
      <c r="O263" s="109">
        <f>O269</f>
        <v>320.2</v>
      </c>
      <c r="P263" s="97">
        <f t="shared" si="48"/>
        <v>320.2</v>
      </c>
      <c r="Q263" s="97">
        <f t="shared" si="49"/>
        <v>0</v>
      </c>
    </row>
    <row r="264" spans="1:17" ht="30.75" customHeight="1" x14ac:dyDescent="0.2">
      <c r="A264" s="33"/>
      <c r="B264" s="113" t="s">
        <v>185</v>
      </c>
      <c r="C264" s="118">
        <v>992</v>
      </c>
      <c r="D264" s="136" t="s">
        <v>306</v>
      </c>
      <c r="E264" s="136" t="s">
        <v>271</v>
      </c>
      <c r="F264" s="134"/>
      <c r="G264" s="111">
        <f>G269</f>
        <v>320.2</v>
      </c>
      <c r="H264" s="111">
        <f>H269+H265</f>
        <v>0</v>
      </c>
      <c r="I264" s="111">
        <f>SUM(G264:H264)</f>
        <v>320.2</v>
      </c>
      <c r="J264" s="112"/>
      <c r="K264" s="111"/>
      <c r="L264" s="112"/>
      <c r="M264" s="111">
        <f>M269</f>
        <v>320.2</v>
      </c>
      <c r="N264" s="111">
        <f>SUM(N266)</f>
        <v>0</v>
      </c>
      <c r="O264" s="111">
        <f>O269+N264</f>
        <v>320.2</v>
      </c>
      <c r="P264" s="97">
        <f t="shared" si="48"/>
        <v>320.2</v>
      </c>
      <c r="Q264" s="97">
        <f t="shared" si="49"/>
        <v>0</v>
      </c>
    </row>
    <row r="265" spans="1:17" ht="47.25" hidden="1" x14ac:dyDescent="0.2">
      <c r="A265" s="33"/>
      <c r="B265" s="113" t="s">
        <v>591</v>
      </c>
      <c r="C265" s="118" t="s">
        <v>51</v>
      </c>
      <c r="D265" s="136" t="s">
        <v>306</v>
      </c>
      <c r="E265" s="136" t="s">
        <v>276</v>
      </c>
      <c r="F265" s="134"/>
      <c r="G265" s="111"/>
      <c r="H265" s="111"/>
      <c r="I265" s="111">
        <f>SUM(H265)</f>
        <v>0</v>
      </c>
      <c r="J265" s="112"/>
      <c r="K265" s="111"/>
      <c r="L265" s="112"/>
      <c r="M265" s="111"/>
      <c r="N265" s="111">
        <f t="shared" ref="N265:O267" si="58">SUM(H265)</f>
        <v>0</v>
      </c>
      <c r="O265" s="111">
        <f t="shared" si="58"/>
        <v>0</v>
      </c>
      <c r="P265" s="97">
        <f t="shared" si="48"/>
        <v>0</v>
      </c>
      <c r="Q265" s="97">
        <f t="shared" si="49"/>
        <v>0</v>
      </c>
    </row>
    <row r="266" spans="1:17" ht="31.5" hidden="1" x14ac:dyDescent="0.2">
      <c r="A266" s="33"/>
      <c r="B266" s="113" t="s">
        <v>592</v>
      </c>
      <c r="C266" s="118" t="s">
        <v>51</v>
      </c>
      <c r="D266" s="136" t="s">
        <v>306</v>
      </c>
      <c r="E266" s="136" t="s">
        <v>590</v>
      </c>
      <c r="F266" s="134"/>
      <c r="G266" s="111"/>
      <c r="H266" s="111"/>
      <c r="I266" s="111">
        <f>SUM(H266)</f>
        <v>0</v>
      </c>
      <c r="J266" s="112"/>
      <c r="K266" s="111"/>
      <c r="L266" s="112"/>
      <c r="M266" s="111"/>
      <c r="N266" s="111">
        <f t="shared" si="58"/>
        <v>0</v>
      </c>
      <c r="O266" s="111">
        <f t="shared" si="58"/>
        <v>0</v>
      </c>
      <c r="P266" s="97">
        <f t="shared" si="48"/>
        <v>0</v>
      </c>
      <c r="Q266" s="97">
        <f t="shared" si="49"/>
        <v>0</v>
      </c>
    </row>
    <row r="267" spans="1:17" ht="31.5" hidden="1" x14ac:dyDescent="0.2">
      <c r="A267" s="33"/>
      <c r="B267" s="113" t="s">
        <v>225</v>
      </c>
      <c r="C267" s="118" t="s">
        <v>51</v>
      </c>
      <c r="D267" s="136" t="s">
        <v>306</v>
      </c>
      <c r="E267" s="136" t="s">
        <v>590</v>
      </c>
      <c r="F267" s="134">
        <v>400</v>
      </c>
      <c r="G267" s="111"/>
      <c r="H267" s="111"/>
      <c r="I267" s="111">
        <f>SUM(H267)</f>
        <v>0</v>
      </c>
      <c r="J267" s="112"/>
      <c r="K267" s="111"/>
      <c r="L267" s="112"/>
      <c r="M267" s="111"/>
      <c r="N267" s="111">
        <f t="shared" si="58"/>
        <v>0</v>
      </c>
      <c r="O267" s="111">
        <f t="shared" si="58"/>
        <v>0</v>
      </c>
      <c r="P267" s="97">
        <f t="shared" si="48"/>
        <v>0</v>
      </c>
      <c r="Q267" s="97">
        <f t="shared" si="49"/>
        <v>0</v>
      </c>
    </row>
    <row r="268" spans="1:17" ht="0.75" customHeight="1" x14ac:dyDescent="0.2">
      <c r="A268" s="33"/>
      <c r="B268" s="113"/>
      <c r="C268" s="118"/>
      <c r="D268" s="136"/>
      <c r="E268" s="136"/>
      <c r="F268" s="134"/>
      <c r="G268" s="111"/>
      <c r="H268" s="111"/>
      <c r="I268" s="111"/>
      <c r="J268" s="112"/>
      <c r="K268" s="111"/>
      <c r="L268" s="112"/>
      <c r="M268" s="111"/>
      <c r="N268" s="111"/>
      <c r="O268" s="111"/>
      <c r="P268" s="97">
        <f t="shared" si="48"/>
        <v>0</v>
      </c>
      <c r="Q268" s="97">
        <f t="shared" si="49"/>
        <v>0</v>
      </c>
    </row>
    <row r="269" spans="1:17" ht="31.5" x14ac:dyDescent="0.2">
      <c r="A269" s="33"/>
      <c r="B269" s="113" t="s">
        <v>307</v>
      </c>
      <c r="C269" s="113">
        <v>992</v>
      </c>
      <c r="D269" s="133" t="s">
        <v>306</v>
      </c>
      <c r="E269" s="136" t="s">
        <v>308</v>
      </c>
      <c r="F269" s="134"/>
      <c r="G269" s="111">
        <f>SUM(G270)</f>
        <v>320.2</v>
      </c>
      <c r="H269" s="111">
        <f>SUM(H270)</f>
        <v>0</v>
      </c>
      <c r="I269" s="111">
        <f>SUM(G269:H269)</f>
        <v>320.2</v>
      </c>
      <c r="J269" s="112"/>
      <c r="K269" s="111"/>
      <c r="L269" s="112"/>
      <c r="M269" s="111">
        <f t="shared" ref="M269:O272" si="59">SUM(G269)</f>
        <v>320.2</v>
      </c>
      <c r="N269" s="111">
        <f t="shared" si="59"/>
        <v>0</v>
      </c>
      <c r="O269" s="111">
        <f t="shared" si="59"/>
        <v>320.2</v>
      </c>
      <c r="P269" s="97">
        <f t="shared" si="48"/>
        <v>320.2</v>
      </c>
      <c r="Q269" s="97">
        <f t="shared" si="49"/>
        <v>0</v>
      </c>
    </row>
    <row r="270" spans="1:17" ht="31.5" x14ac:dyDescent="0.2">
      <c r="A270" s="33"/>
      <c r="B270" s="135" t="s">
        <v>309</v>
      </c>
      <c r="C270" s="113">
        <v>992</v>
      </c>
      <c r="D270" s="133" t="s">
        <v>306</v>
      </c>
      <c r="E270" s="136" t="s">
        <v>310</v>
      </c>
      <c r="F270" s="134"/>
      <c r="G270" s="111">
        <f>SUM(G272)+G271</f>
        <v>320.2</v>
      </c>
      <c r="H270" s="111">
        <f>SUM(H272)+H271</f>
        <v>0</v>
      </c>
      <c r="I270" s="111">
        <f>SUM(G270:H270)</f>
        <v>320.2</v>
      </c>
      <c r="J270" s="112"/>
      <c r="K270" s="111"/>
      <c r="L270" s="112"/>
      <c r="M270" s="111">
        <f>SUM(G270)</f>
        <v>320.2</v>
      </c>
      <c r="N270" s="111">
        <f t="shared" si="59"/>
        <v>0</v>
      </c>
      <c r="O270" s="111">
        <f>SUM(I270)</f>
        <v>320.2</v>
      </c>
      <c r="P270" s="97">
        <f t="shared" si="48"/>
        <v>320.2</v>
      </c>
      <c r="Q270" s="97">
        <f t="shared" si="49"/>
        <v>0</v>
      </c>
    </row>
    <row r="271" spans="1:17" ht="31.5" x14ac:dyDescent="0.2">
      <c r="A271" s="33"/>
      <c r="B271" s="113" t="s">
        <v>40</v>
      </c>
      <c r="C271" s="113">
        <v>992</v>
      </c>
      <c r="D271" s="133" t="s">
        <v>306</v>
      </c>
      <c r="E271" s="136" t="s">
        <v>310</v>
      </c>
      <c r="F271" s="134">
        <v>200</v>
      </c>
      <c r="G271" s="111">
        <v>320.2</v>
      </c>
      <c r="H271" s="111"/>
      <c r="I271" s="111">
        <f>SUM(G271)+H271</f>
        <v>320.2</v>
      </c>
      <c r="J271" s="112"/>
      <c r="K271" s="111"/>
      <c r="L271" s="112"/>
      <c r="M271" s="111">
        <f>SUM(G271)</f>
        <v>320.2</v>
      </c>
      <c r="N271" s="111">
        <f>SUM(H271)</f>
        <v>0</v>
      </c>
      <c r="O271" s="111">
        <f t="shared" si="59"/>
        <v>320.2</v>
      </c>
      <c r="P271" s="97">
        <f t="shared" si="48"/>
        <v>320.2</v>
      </c>
      <c r="Q271" s="97">
        <f t="shared" si="49"/>
        <v>0</v>
      </c>
    </row>
    <row r="272" spans="1:17" ht="28.5" customHeight="1" x14ac:dyDescent="0.2">
      <c r="A272" s="33"/>
      <c r="B272" s="113" t="s">
        <v>225</v>
      </c>
      <c r="C272" s="113">
        <v>992</v>
      </c>
      <c r="D272" s="133" t="s">
        <v>306</v>
      </c>
      <c r="E272" s="136" t="s">
        <v>310</v>
      </c>
      <c r="F272" s="134">
        <v>400</v>
      </c>
      <c r="G272" s="111">
        <v>0</v>
      </c>
      <c r="H272" s="111"/>
      <c r="I272" s="111">
        <f>SUM(G272)+H272</f>
        <v>0</v>
      </c>
      <c r="J272" s="112"/>
      <c r="K272" s="111"/>
      <c r="L272" s="112"/>
      <c r="M272" s="111">
        <f>SUM(G272)</f>
        <v>0</v>
      </c>
      <c r="N272" s="111">
        <f t="shared" si="59"/>
        <v>0</v>
      </c>
      <c r="O272" s="111">
        <f t="shared" si="59"/>
        <v>0</v>
      </c>
      <c r="P272" s="97">
        <f t="shared" si="48"/>
        <v>0</v>
      </c>
      <c r="Q272" s="97">
        <f t="shared" si="49"/>
        <v>0</v>
      </c>
    </row>
    <row r="273" spans="1:17" ht="15.75" hidden="1" x14ac:dyDescent="0.2">
      <c r="A273" s="33"/>
      <c r="B273" s="110"/>
      <c r="C273" s="110"/>
      <c r="D273" s="131"/>
      <c r="E273" s="131"/>
      <c r="F273" s="132"/>
      <c r="G273" s="111"/>
      <c r="H273" s="111"/>
      <c r="I273" s="111"/>
      <c r="J273" s="112"/>
      <c r="K273" s="111"/>
      <c r="L273" s="112"/>
      <c r="M273" s="109"/>
      <c r="N273" s="109"/>
      <c r="O273" s="109"/>
      <c r="P273" s="97">
        <f t="shared" si="48"/>
        <v>0</v>
      </c>
      <c r="Q273" s="97">
        <f t="shared" si="49"/>
        <v>0</v>
      </c>
    </row>
    <row r="274" spans="1:17" ht="15.75" hidden="1" x14ac:dyDescent="0.2">
      <c r="A274" s="33"/>
      <c r="B274" s="110"/>
      <c r="C274" s="152">
        <v>992</v>
      </c>
      <c r="D274" s="133" t="s">
        <v>306</v>
      </c>
      <c r="E274" s="131"/>
      <c r="F274" s="132"/>
      <c r="G274" s="111"/>
      <c r="H274" s="111"/>
      <c r="I274" s="111">
        <f>SUM(H274)</f>
        <v>0</v>
      </c>
      <c r="J274" s="112"/>
      <c r="K274" s="111"/>
      <c r="L274" s="112"/>
      <c r="M274" s="109"/>
      <c r="N274" s="109"/>
      <c r="O274" s="109">
        <f>SUM(I274)</f>
        <v>0</v>
      </c>
      <c r="P274" s="97">
        <f t="shared" si="48"/>
        <v>0</v>
      </c>
      <c r="Q274" s="97">
        <f t="shared" si="49"/>
        <v>0</v>
      </c>
    </row>
    <row r="275" spans="1:17" ht="15.75" hidden="1" x14ac:dyDescent="0.2">
      <c r="A275" s="33"/>
      <c r="B275" s="110"/>
      <c r="C275" s="110"/>
      <c r="D275" s="131"/>
      <c r="E275" s="131"/>
      <c r="F275" s="132"/>
      <c r="G275" s="111"/>
      <c r="H275" s="111"/>
      <c r="I275" s="111">
        <f>SUM(H275)</f>
        <v>0</v>
      </c>
      <c r="J275" s="112"/>
      <c r="K275" s="111"/>
      <c r="L275" s="112"/>
      <c r="M275" s="109"/>
      <c r="N275" s="109"/>
      <c r="O275" s="109">
        <f>SUM(I275)</f>
        <v>0</v>
      </c>
      <c r="P275" s="97">
        <f t="shared" si="48"/>
        <v>0</v>
      </c>
      <c r="Q275" s="97">
        <f t="shared" si="49"/>
        <v>0</v>
      </c>
    </row>
    <row r="276" spans="1:17" ht="15.75" hidden="1" x14ac:dyDescent="0.2">
      <c r="A276" s="33"/>
      <c r="B276" s="110"/>
      <c r="C276" s="110"/>
      <c r="D276" s="131"/>
      <c r="E276" s="131"/>
      <c r="F276" s="132"/>
      <c r="G276" s="111"/>
      <c r="H276" s="111"/>
      <c r="I276" s="111">
        <f>SUM(H276)</f>
        <v>0</v>
      </c>
      <c r="J276" s="112"/>
      <c r="K276" s="111"/>
      <c r="L276" s="112"/>
      <c r="M276" s="109"/>
      <c r="N276" s="109">
        <f>SUM(H276)</f>
        <v>0</v>
      </c>
      <c r="O276" s="109">
        <f>SUM(I276)</f>
        <v>0</v>
      </c>
      <c r="P276" s="97">
        <f t="shared" si="48"/>
        <v>0</v>
      </c>
      <c r="Q276" s="97">
        <f t="shared" si="49"/>
        <v>0</v>
      </c>
    </row>
    <row r="277" spans="1:17" ht="31.5" hidden="1" x14ac:dyDescent="0.2">
      <c r="A277" s="33"/>
      <c r="B277" s="113" t="s">
        <v>225</v>
      </c>
      <c r="C277" s="110"/>
      <c r="D277" s="131"/>
      <c r="E277" s="131"/>
      <c r="F277" s="132">
        <v>400</v>
      </c>
      <c r="G277" s="111"/>
      <c r="H277" s="111"/>
      <c r="I277" s="111">
        <f>SUM(H277)</f>
        <v>0</v>
      </c>
      <c r="J277" s="112"/>
      <c r="K277" s="111"/>
      <c r="L277" s="112"/>
      <c r="M277" s="109"/>
      <c r="N277" s="109">
        <f>SUM(H277)</f>
        <v>0</v>
      </c>
      <c r="O277" s="109">
        <f>SUM(I277)</f>
        <v>0</v>
      </c>
      <c r="P277" s="97">
        <f t="shared" si="48"/>
        <v>0</v>
      </c>
      <c r="Q277" s="97">
        <f t="shared" si="49"/>
        <v>0</v>
      </c>
    </row>
    <row r="278" spans="1:17" ht="31.5" x14ac:dyDescent="0.2">
      <c r="A278" s="40"/>
      <c r="B278" s="113" t="s">
        <v>245</v>
      </c>
      <c r="C278" s="113" t="s">
        <v>51</v>
      </c>
      <c r="D278" s="133" t="s">
        <v>306</v>
      </c>
      <c r="E278" s="133" t="s">
        <v>246</v>
      </c>
      <c r="F278" s="134" t="s">
        <v>11</v>
      </c>
      <c r="G278" s="111">
        <f>G283</f>
        <v>7212.5</v>
      </c>
      <c r="H278" s="111">
        <f>H283+H279</f>
        <v>86.4</v>
      </c>
      <c r="I278" s="111">
        <f>I283+I279</f>
        <v>7298.9</v>
      </c>
      <c r="J278" s="114">
        <f>J283</f>
        <v>0</v>
      </c>
      <c r="K278" s="111">
        <f>K283</f>
        <v>0</v>
      </c>
      <c r="L278" s="114">
        <f>L283</f>
        <v>0</v>
      </c>
      <c r="M278" s="111">
        <f>M283</f>
        <v>7212.5</v>
      </c>
      <c r="N278" s="111">
        <f>N283+N279</f>
        <v>86.4</v>
      </c>
      <c r="O278" s="111">
        <f>O283+O279</f>
        <v>7298.9</v>
      </c>
      <c r="P278" s="97">
        <f t="shared" si="48"/>
        <v>7298.9</v>
      </c>
      <c r="Q278" s="97">
        <f t="shared" si="49"/>
        <v>0</v>
      </c>
    </row>
    <row r="279" spans="1:17" ht="31.5" hidden="1" x14ac:dyDescent="0.2">
      <c r="A279" s="40"/>
      <c r="B279" s="113" t="s">
        <v>595</v>
      </c>
      <c r="C279" s="113">
        <v>992</v>
      </c>
      <c r="D279" s="133" t="s">
        <v>306</v>
      </c>
      <c r="E279" s="136" t="s">
        <v>439</v>
      </c>
      <c r="F279" s="134"/>
      <c r="G279" s="111"/>
      <c r="H279" s="111">
        <f>SUM(H280)</f>
        <v>0</v>
      </c>
      <c r="I279" s="111">
        <f>SUM(H279)</f>
        <v>0</v>
      </c>
      <c r="J279" s="114"/>
      <c r="K279" s="111"/>
      <c r="L279" s="114"/>
      <c r="M279" s="111"/>
      <c r="N279" s="111">
        <f t="shared" ref="N279:O282" si="60">SUM(H279)</f>
        <v>0</v>
      </c>
      <c r="O279" s="111">
        <f t="shared" si="60"/>
        <v>0</v>
      </c>
      <c r="P279" s="97">
        <f t="shared" si="48"/>
        <v>0</v>
      </c>
      <c r="Q279" s="97">
        <f t="shared" si="49"/>
        <v>0</v>
      </c>
    </row>
    <row r="280" spans="1:17" ht="15.75" hidden="1" x14ac:dyDescent="0.2">
      <c r="A280" s="40"/>
      <c r="B280" s="113" t="s">
        <v>596</v>
      </c>
      <c r="C280" s="113">
        <v>992</v>
      </c>
      <c r="D280" s="133" t="s">
        <v>306</v>
      </c>
      <c r="E280" s="136" t="s">
        <v>593</v>
      </c>
      <c r="F280" s="134"/>
      <c r="G280" s="111"/>
      <c r="H280" s="111">
        <f>SUM(H281)</f>
        <v>0</v>
      </c>
      <c r="I280" s="111">
        <f>SUM(H280)</f>
        <v>0</v>
      </c>
      <c r="J280" s="114"/>
      <c r="K280" s="111"/>
      <c r="L280" s="114"/>
      <c r="M280" s="111"/>
      <c r="N280" s="111">
        <f t="shared" si="60"/>
        <v>0</v>
      </c>
      <c r="O280" s="111">
        <f t="shared" si="60"/>
        <v>0</v>
      </c>
      <c r="P280" s="97">
        <f t="shared" si="48"/>
        <v>0</v>
      </c>
      <c r="Q280" s="97">
        <f t="shared" si="49"/>
        <v>0</v>
      </c>
    </row>
    <row r="281" spans="1:17" ht="47.25" hidden="1" x14ac:dyDescent="0.2">
      <c r="A281" s="40"/>
      <c r="B281" s="113" t="s">
        <v>597</v>
      </c>
      <c r="C281" s="113">
        <v>992</v>
      </c>
      <c r="D281" s="133" t="s">
        <v>306</v>
      </c>
      <c r="E281" s="136" t="s">
        <v>594</v>
      </c>
      <c r="F281" s="134"/>
      <c r="G281" s="111"/>
      <c r="H281" s="111">
        <f>SUM(H282)</f>
        <v>0</v>
      </c>
      <c r="I281" s="111">
        <f>SUM(H281)</f>
        <v>0</v>
      </c>
      <c r="J281" s="114"/>
      <c r="K281" s="111"/>
      <c r="L281" s="114"/>
      <c r="M281" s="111"/>
      <c r="N281" s="111">
        <f t="shared" si="60"/>
        <v>0</v>
      </c>
      <c r="O281" s="111">
        <f t="shared" si="60"/>
        <v>0</v>
      </c>
      <c r="P281" s="97">
        <f t="shared" si="48"/>
        <v>0</v>
      </c>
      <c r="Q281" s="97">
        <f t="shared" si="49"/>
        <v>0</v>
      </c>
    </row>
    <row r="282" spans="1:17" ht="31.5" hidden="1" x14ac:dyDescent="0.2">
      <c r="A282" s="40"/>
      <c r="B282" s="113" t="s">
        <v>225</v>
      </c>
      <c r="C282" s="113">
        <v>992</v>
      </c>
      <c r="D282" s="133" t="s">
        <v>306</v>
      </c>
      <c r="E282" s="136" t="s">
        <v>594</v>
      </c>
      <c r="F282" s="134">
        <v>400</v>
      </c>
      <c r="G282" s="111"/>
      <c r="H282" s="111"/>
      <c r="I282" s="111">
        <f>SUM(H282)</f>
        <v>0</v>
      </c>
      <c r="J282" s="114"/>
      <c r="K282" s="111"/>
      <c r="L282" s="114"/>
      <c r="M282" s="111"/>
      <c r="N282" s="111">
        <f t="shared" si="60"/>
        <v>0</v>
      </c>
      <c r="O282" s="111">
        <f t="shared" si="60"/>
        <v>0</v>
      </c>
      <c r="P282" s="97">
        <f t="shared" si="48"/>
        <v>0</v>
      </c>
      <c r="Q282" s="97">
        <f t="shared" si="49"/>
        <v>0</v>
      </c>
    </row>
    <row r="283" spans="1:17" ht="31.5" x14ac:dyDescent="0.2">
      <c r="A283" s="40"/>
      <c r="B283" s="113" t="s">
        <v>311</v>
      </c>
      <c r="C283" s="113" t="s">
        <v>51</v>
      </c>
      <c r="D283" s="133" t="s">
        <v>306</v>
      </c>
      <c r="E283" s="133" t="s">
        <v>312</v>
      </c>
      <c r="F283" s="134" t="s">
        <v>11</v>
      </c>
      <c r="G283" s="111">
        <f>G284</f>
        <v>7212.5</v>
      </c>
      <c r="H283" s="111">
        <f>H284</f>
        <v>86.4</v>
      </c>
      <c r="I283" s="111">
        <f>I284</f>
        <v>7298.9</v>
      </c>
      <c r="J283" s="114">
        <f t="shared" ref="J283:O283" si="61">J284</f>
        <v>0</v>
      </c>
      <c r="K283" s="111">
        <f>K284+K286</f>
        <v>0</v>
      </c>
      <c r="L283" s="114">
        <f t="shared" si="61"/>
        <v>0</v>
      </c>
      <c r="M283" s="111">
        <f t="shared" si="61"/>
        <v>7212.5</v>
      </c>
      <c r="N283" s="111">
        <f t="shared" si="61"/>
        <v>86.4</v>
      </c>
      <c r="O283" s="111">
        <f t="shared" si="61"/>
        <v>7298.9</v>
      </c>
      <c r="P283" s="97">
        <f t="shared" si="48"/>
        <v>7298.9</v>
      </c>
      <c r="Q283" s="97">
        <f t="shared" si="49"/>
        <v>0</v>
      </c>
    </row>
    <row r="284" spans="1:17" ht="31.5" x14ac:dyDescent="0.2">
      <c r="A284" s="40"/>
      <c r="B284" s="113" t="s">
        <v>313</v>
      </c>
      <c r="C284" s="113" t="s">
        <v>51</v>
      </c>
      <c r="D284" s="133" t="s">
        <v>306</v>
      </c>
      <c r="E284" s="133" t="s">
        <v>314</v>
      </c>
      <c r="F284" s="134" t="s">
        <v>11</v>
      </c>
      <c r="G284" s="111">
        <f>G285+G287</f>
        <v>7212.5</v>
      </c>
      <c r="H284" s="111">
        <f>H285+H287</f>
        <v>86.4</v>
      </c>
      <c r="I284" s="111">
        <f>I285+I287</f>
        <v>7298.9</v>
      </c>
      <c r="J284" s="114">
        <f>J285+J287</f>
        <v>0</v>
      </c>
      <c r="K284" s="111">
        <f>K285</f>
        <v>0</v>
      </c>
      <c r="L284" s="114">
        <f>L285+L287</f>
        <v>0</v>
      </c>
      <c r="M284" s="111">
        <f>M285+M287</f>
        <v>7212.5</v>
      </c>
      <c r="N284" s="111">
        <f>N285+N287</f>
        <v>86.4</v>
      </c>
      <c r="O284" s="111">
        <f>O285+O287</f>
        <v>7298.9</v>
      </c>
      <c r="P284" s="97">
        <f t="shared" si="48"/>
        <v>7298.9</v>
      </c>
      <c r="Q284" s="97">
        <f t="shared" si="49"/>
        <v>0</v>
      </c>
    </row>
    <row r="285" spans="1:17" ht="47.25" x14ac:dyDescent="0.2">
      <c r="A285" s="40"/>
      <c r="B285" s="113" t="s">
        <v>315</v>
      </c>
      <c r="C285" s="113" t="s">
        <v>51</v>
      </c>
      <c r="D285" s="133" t="s">
        <v>306</v>
      </c>
      <c r="E285" s="133" t="s">
        <v>316</v>
      </c>
      <c r="F285" s="134" t="s">
        <v>11</v>
      </c>
      <c r="G285" s="111">
        <f>G286</f>
        <v>3111.7</v>
      </c>
      <c r="H285" s="111">
        <f>H286</f>
        <v>0</v>
      </c>
      <c r="I285" s="111">
        <f>I286</f>
        <v>3111.7</v>
      </c>
      <c r="J285" s="114">
        <f>J286</f>
        <v>0</v>
      </c>
      <c r="K285" s="111"/>
      <c r="L285" s="114">
        <f>L286</f>
        <v>0</v>
      </c>
      <c r="M285" s="111">
        <f>M286</f>
        <v>3111.7</v>
      </c>
      <c r="N285" s="111">
        <f>N286</f>
        <v>0</v>
      </c>
      <c r="O285" s="111">
        <f>O286</f>
        <v>3111.7</v>
      </c>
      <c r="P285" s="97">
        <f t="shared" si="48"/>
        <v>3111.7</v>
      </c>
      <c r="Q285" s="97">
        <f t="shared" si="49"/>
        <v>0</v>
      </c>
    </row>
    <row r="286" spans="1:17" ht="31.5" x14ac:dyDescent="0.2">
      <c r="A286" s="40"/>
      <c r="B286" s="113" t="s">
        <v>40</v>
      </c>
      <c r="C286" s="113" t="s">
        <v>51</v>
      </c>
      <c r="D286" s="133" t="s">
        <v>306</v>
      </c>
      <c r="E286" s="133" t="s">
        <v>316</v>
      </c>
      <c r="F286" s="134" t="s">
        <v>41</v>
      </c>
      <c r="G286" s="111">
        <v>3111.7</v>
      </c>
      <c r="H286" s="111"/>
      <c r="I286" s="111">
        <f>G286+H286</f>
        <v>3111.7</v>
      </c>
      <c r="J286" s="115"/>
      <c r="K286" s="111"/>
      <c r="L286" s="115"/>
      <c r="M286" s="111">
        <f>G286+J286</f>
        <v>3111.7</v>
      </c>
      <c r="N286" s="111">
        <f>H286+K286</f>
        <v>0</v>
      </c>
      <c r="O286" s="111">
        <f>I286+L286</f>
        <v>3111.7</v>
      </c>
      <c r="P286" s="97">
        <f t="shared" ref="P286:P354" si="62">G286+H286</f>
        <v>3111.7</v>
      </c>
      <c r="Q286" s="97">
        <f t="shared" ref="Q286:Q354" si="63">I286-P286</f>
        <v>0</v>
      </c>
    </row>
    <row r="287" spans="1:17" ht="47.25" x14ac:dyDescent="0.2">
      <c r="A287" s="40"/>
      <c r="B287" s="113" t="s">
        <v>317</v>
      </c>
      <c r="C287" s="113" t="s">
        <v>51</v>
      </c>
      <c r="D287" s="133" t="s">
        <v>306</v>
      </c>
      <c r="E287" s="133" t="s">
        <v>318</v>
      </c>
      <c r="F287" s="134" t="s">
        <v>11</v>
      </c>
      <c r="G287" s="111">
        <f>G288</f>
        <v>4100.8</v>
      </c>
      <c r="H287" s="111">
        <f>H288</f>
        <v>86.4</v>
      </c>
      <c r="I287" s="111">
        <f>I288</f>
        <v>4187.2</v>
      </c>
      <c r="J287" s="114">
        <f>J288</f>
        <v>0</v>
      </c>
      <c r="K287" s="111"/>
      <c r="L287" s="114">
        <f>L288</f>
        <v>0</v>
      </c>
      <c r="M287" s="111">
        <f>M288</f>
        <v>4100.8</v>
      </c>
      <c r="N287" s="111">
        <f>N288</f>
        <v>86.4</v>
      </c>
      <c r="O287" s="111">
        <f>O288</f>
        <v>4187.2</v>
      </c>
      <c r="P287" s="97">
        <f t="shared" si="62"/>
        <v>4187.2</v>
      </c>
      <c r="Q287" s="97">
        <f t="shared" si="63"/>
        <v>0</v>
      </c>
    </row>
    <row r="288" spans="1:17" ht="31.5" x14ac:dyDescent="0.2">
      <c r="A288" s="40"/>
      <c r="B288" s="113" t="s">
        <v>40</v>
      </c>
      <c r="C288" s="113" t="s">
        <v>51</v>
      </c>
      <c r="D288" s="133" t="s">
        <v>306</v>
      </c>
      <c r="E288" s="133" t="s">
        <v>318</v>
      </c>
      <c r="F288" s="134" t="s">
        <v>41</v>
      </c>
      <c r="G288" s="111">
        <v>4100.8</v>
      </c>
      <c r="H288" s="117">
        <v>86.4</v>
      </c>
      <c r="I288" s="111">
        <f>SUM(G288)+H288</f>
        <v>4187.2</v>
      </c>
      <c r="J288" s="115"/>
      <c r="K288" s="109"/>
      <c r="L288" s="115"/>
      <c r="M288" s="111">
        <f>SUM(G288)</f>
        <v>4100.8</v>
      </c>
      <c r="N288" s="111">
        <f>SUM(H288)</f>
        <v>86.4</v>
      </c>
      <c r="O288" s="111">
        <f>SUM(M288)+N288</f>
        <v>4187.2</v>
      </c>
      <c r="P288" s="97">
        <f t="shared" si="62"/>
        <v>4187.2</v>
      </c>
      <c r="Q288" s="97">
        <f t="shared" si="63"/>
        <v>0</v>
      </c>
    </row>
    <row r="289" spans="1:17" ht="15.75" x14ac:dyDescent="0.2">
      <c r="A289" s="33" t="s">
        <v>319</v>
      </c>
      <c r="B289" s="110" t="s">
        <v>320</v>
      </c>
      <c r="C289" s="110" t="s">
        <v>51</v>
      </c>
      <c r="D289" s="131" t="s">
        <v>321</v>
      </c>
      <c r="E289" s="131" t="s">
        <v>11</v>
      </c>
      <c r="F289" s="132" t="s">
        <v>11</v>
      </c>
      <c r="G289" s="109">
        <f t="shared" ref="G289:O289" si="64">G290+G312</f>
        <v>63291</v>
      </c>
      <c r="H289" s="111">
        <f t="shared" si="64"/>
        <v>1236.3</v>
      </c>
      <c r="I289" s="109">
        <f t="shared" si="64"/>
        <v>64527.3</v>
      </c>
      <c r="J289" s="112">
        <f t="shared" si="64"/>
        <v>1754709.2999999998</v>
      </c>
      <c r="K289" s="111">
        <f t="shared" si="64"/>
        <v>0</v>
      </c>
      <c r="L289" s="112">
        <f t="shared" si="64"/>
        <v>1754709.2999999998</v>
      </c>
      <c r="M289" s="109">
        <f t="shared" si="64"/>
        <v>1818000.3</v>
      </c>
      <c r="N289" s="111">
        <f t="shared" si="64"/>
        <v>1236.3</v>
      </c>
      <c r="O289" s="109">
        <f t="shared" si="64"/>
        <v>1819236.6</v>
      </c>
      <c r="P289" s="97">
        <f t="shared" si="62"/>
        <v>64527.3</v>
      </c>
      <c r="Q289" s="97">
        <f t="shared" si="63"/>
        <v>0</v>
      </c>
    </row>
    <row r="290" spans="1:17" ht="31.5" x14ac:dyDescent="0.2">
      <c r="A290" s="40"/>
      <c r="B290" s="113" t="s">
        <v>245</v>
      </c>
      <c r="C290" s="113" t="s">
        <v>51</v>
      </c>
      <c r="D290" s="133" t="s">
        <v>321</v>
      </c>
      <c r="E290" s="133" t="s">
        <v>246</v>
      </c>
      <c r="F290" s="134" t="s">
        <v>11</v>
      </c>
      <c r="G290" s="111">
        <f>G291+G307+G304</f>
        <v>19622.2</v>
      </c>
      <c r="H290" s="111">
        <f>H291+H302</f>
        <v>1236.3</v>
      </c>
      <c r="I290" s="111">
        <f>I291+I307+I304</f>
        <v>20858.5</v>
      </c>
      <c r="J290" s="114">
        <f>J291+J302</f>
        <v>1648707.7999999998</v>
      </c>
      <c r="K290" s="111">
        <f>K291+K302</f>
        <v>0</v>
      </c>
      <c r="L290" s="114">
        <f>L291+L302</f>
        <v>1648707.7999999998</v>
      </c>
      <c r="M290" s="111">
        <f>M291+M307+M304</f>
        <v>1668330</v>
      </c>
      <c r="N290" s="111">
        <f>N291+N302</f>
        <v>1236.3</v>
      </c>
      <c r="O290" s="111">
        <f>O291+O307+O304</f>
        <v>1669566.3</v>
      </c>
      <c r="P290" s="97">
        <f t="shared" si="62"/>
        <v>20858.5</v>
      </c>
      <c r="Q290" s="97">
        <f t="shared" si="63"/>
        <v>0</v>
      </c>
    </row>
    <row r="291" spans="1:17" ht="31.5" x14ac:dyDescent="0.2">
      <c r="A291" s="40"/>
      <c r="B291" s="113" t="s">
        <v>322</v>
      </c>
      <c r="C291" s="113" t="s">
        <v>51</v>
      </c>
      <c r="D291" s="133" t="s">
        <v>321</v>
      </c>
      <c r="E291" s="133" t="s">
        <v>323</v>
      </c>
      <c r="F291" s="134" t="s">
        <v>11</v>
      </c>
      <c r="G291" s="111">
        <f t="shared" ref="G291:O291" si="65">G292</f>
        <v>9123.2000000000007</v>
      </c>
      <c r="H291" s="111">
        <f>SUM(H292)</f>
        <v>0</v>
      </c>
      <c r="I291" s="111">
        <f t="shared" si="65"/>
        <v>9123.2000000000007</v>
      </c>
      <c r="J291" s="114">
        <f t="shared" si="65"/>
        <v>1576707.7999999998</v>
      </c>
      <c r="K291" s="111">
        <f>SUM(K292)</f>
        <v>0</v>
      </c>
      <c r="L291" s="114">
        <f t="shared" si="65"/>
        <v>1576707.7999999998</v>
      </c>
      <c r="M291" s="111">
        <f t="shared" si="65"/>
        <v>1585831</v>
      </c>
      <c r="N291" s="111">
        <f t="shared" si="65"/>
        <v>0</v>
      </c>
      <c r="O291" s="111">
        <f t="shared" si="65"/>
        <v>1585831</v>
      </c>
      <c r="P291" s="97">
        <f t="shared" si="62"/>
        <v>9123.2000000000007</v>
      </c>
      <c r="Q291" s="97">
        <f t="shared" si="63"/>
        <v>0</v>
      </c>
    </row>
    <row r="292" spans="1:17" ht="47.25" x14ac:dyDescent="0.2">
      <c r="A292" s="40"/>
      <c r="B292" s="113" t="s">
        <v>324</v>
      </c>
      <c r="C292" s="113" t="s">
        <v>51</v>
      </c>
      <c r="D292" s="133" t="s">
        <v>321</v>
      </c>
      <c r="E292" s="133" t="s">
        <v>325</v>
      </c>
      <c r="F292" s="134" t="s">
        <v>11</v>
      </c>
      <c r="G292" s="111">
        <f>G293+G296+G298+G300</f>
        <v>9123.2000000000007</v>
      </c>
      <c r="H292" s="111">
        <f>H293+H298+H300+H296</f>
        <v>0</v>
      </c>
      <c r="I292" s="111">
        <f>I293+I296+I298+I300</f>
        <v>9123.2000000000007</v>
      </c>
      <c r="J292" s="114">
        <f>J293+J296+J298+J300</f>
        <v>1576707.7999999998</v>
      </c>
      <c r="K292" s="111">
        <f>K293+K296+K300</f>
        <v>0</v>
      </c>
      <c r="L292" s="114">
        <f>L293+L296+L298+L300</f>
        <v>1576707.7999999998</v>
      </c>
      <c r="M292" s="111">
        <f>M293+M296+M298+M300</f>
        <v>1585831</v>
      </c>
      <c r="N292" s="111">
        <f>N293+N296+N298+N300</f>
        <v>0</v>
      </c>
      <c r="O292" s="111">
        <f>O293+O296+O298+O300</f>
        <v>1585831</v>
      </c>
      <c r="P292" s="97">
        <f t="shared" si="62"/>
        <v>9123.2000000000007</v>
      </c>
      <c r="Q292" s="97">
        <f t="shared" si="63"/>
        <v>0</v>
      </c>
    </row>
    <row r="293" spans="1:17" ht="15.75" x14ac:dyDescent="0.2">
      <c r="A293" s="40"/>
      <c r="B293" s="113" t="s">
        <v>326</v>
      </c>
      <c r="C293" s="113" t="s">
        <v>51</v>
      </c>
      <c r="D293" s="133" t="s">
        <v>321</v>
      </c>
      <c r="E293" s="133" t="s">
        <v>327</v>
      </c>
      <c r="F293" s="134" t="s">
        <v>11</v>
      </c>
      <c r="G293" s="111">
        <f>G294+G295</f>
        <v>183</v>
      </c>
      <c r="H293" s="111">
        <f>SUM(H294)+H295</f>
        <v>0</v>
      </c>
      <c r="I293" s="111">
        <f>I294+I295</f>
        <v>183</v>
      </c>
      <c r="J293" s="114">
        <f>J294</f>
        <v>1529.5</v>
      </c>
      <c r="K293" s="111">
        <f>SUM(K294)</f>
        <v>0</v>
      </c>
      <c r="L293" s="114">
        <f>L294</f>
        <v>1529.5</v>
      </c>
      <c r="M293" s="111">
        <f>M294+M295</f>
        <v>1712.5</v>
      </c>
      <c r="N293" s="111">
        <f>N294+N295</f>
        <v>0</v>
      </c>
      <c r="O293" s="111">
        <f>O294+O295</f>
        <v>1712.5</v>
      </c>
      <c r="P293" s="97">
        <f t="shared" si="62"/>
        <v>183</v>
      </c>
      <c r="Q293" s="97">
        <f t="shared" si="63"/>
        <v>0</v>
      </c>
    </row>
    <row r="294" spans="1:17" ht="31.5" x14ac:dyDescent="0.2">
      <c r="A294" s="40"/>
      <c r="B294" s="113" t="s">
        <v>40</v>
      </c>
      <c r="C294" s="113" t="s">
        <v>51</v>
      </c>
      <c r="D294" s="133" t="s">
        <v>321</v>
      </c>
      <c r="E294" s="133" t="s">
        <v>327</v>
      </c>
      <c r="F294" s="134" t="s">
        <v>41</v>
      </c>
      <c r="G294" s="111">
        <v>152.19999999999999</v>
      </c>
      <c r="H294" s="111"/>
      <c r="I294" s="111">
        <f>G294+H294</f>
        <v>152.19999999999999</v>
      </c>
      <c r="J294" s="115">
        <v>1529.5</v>
      </c>
      <c r="K294" s="111"/>
      <c r="L294" s="111">
        <f>SUM(J294)</f>
        <v>1529.5</v>
      </c>
      <c r="M294" s="111">
        <f>G294+J294</f>
        <v>1681.7</v>
      </c>
      <c r="N294" s="111">
        <f>SUM(H294+K294)</f>
        <v>0</v>
      </c>
      <c r="O294" s="111">
        <f>I294+L294</f>
        <v>1681.7</v>
      </c>
      <c r="P294" s="97">
        <f t="shared" si="62"/>
        <v>152.19999999999999</v>
      </c>
      <c r="Q294" s="97">
        <f t="shared" si="63"/>
        <v>0</v>
      </c>
    </row>
    <row r="295" spans="1:17" ht="31.5" x14ac:dyDescent="0.2">
      <c r="A295" s="40"/>
      <c r="B295" s="113" t="s">
        <v>225</v>
      </c>
      <c r="C295" s="113">
        <v>992</v>
      </c>
      <c r="D295" s="133" t="s">
        <v>321</v>
      </c>
      <c r="E295" s="133" t="s">
        <v>327</v>
      </c>
      <c r="F295" s="134">
        <v>400</v>
      </c>
      <c r="G295" s="111">
        <v>30.8</v>
      </c>
      <c r="H295" s="111"/>
      <c r="I295" s="111">
        <f>SUM(G295)+H295</f>
        <v>30.8</v>
      </c>
      <c r="J295" s="115"/>
      <c r="K295" s="111"/>
      <c r="L295" s="119"/>
      <c r="M295" s="111">
        <f>SUM(G295)</f>
        <v>30.8</v>
      </c>
      <c r="N295" s="111">
        <f>SUM(H295)</f>
        <v>0</v>
      </c>
      <c r="O295" s="111">
        <f>SUM(M295)+N295</f>
        <v>30.8</v>
      </c>
      <c r="P295" s="97">
        <f t="shared" si="62"/>
        <v>30.8</v>
      </c>
      <c r="Q295" s="97">
        <f t="shared" si="63"/>
        <v>0</v>
      </c>
    </row>
    <row r="296" spans="1:17" ht="31.5" x14ac:dyDescent="0.2">
      <c r="A296" s="40"/>
      <c r="B296" s="113" t="s">
        <v>328</v>
      </c>
      <c r="C296" s="113" t="s">
        <v>51</v>
      </c>
      <c r="D296" s="133" t="s">
        <v>321</v>
      </c>
      <c r="E296" s="133" t="s">
        <v>329</v>
      </c>
      <c r="F296" s="134" t="s">
        <v>11</v>
      </c>
      <c r="G296" s="111">
        <f t="shared" ref="G296:O296" si="66">G297</f>
        <v>7807.5</v>
      </c>
      <c r="H296" s="111">
        <f t="shared" si="66"/>
        <v>0</v>
      </c>
      <c r="I296" s="111">
        <f t="shared" si="66"/>
        <v>7807.5</v>
      </c>
      <c r="J296" s="114">
        <f t="shared" si="66"/>
        <v>1553657.4</v>
      </c>
      <c r="K296" s="111">
        <f t="shared" si="66"/>
        <v>0</v>
      </c>
      <c r="L296" s="114">
        <f t="shared" si="66"/>
        <v>1553657.4</v>
      </c>
      <c r="M296" s="111">
        <f t="shared" si="66"/>
        <v>1561464.9</v>
      </c>
      <c r="N296" s="111">
        <f t="shared" si="66"/>
        <v>0</v>
      </c>
      <c r="O296" s="111">
        <f t="shared" si="66"/>
        <v>1561464.9</v>
      </c>
      <c r="P296" s="97">
        <f t="shared" si="62"/>
        <v>7807.5</v>
      </c>
      <c r="Q296" s="97">
        <f t="shared" si="63"/>
        <v>0</v>
      </c>
    </row>
    <row r="297" spans="1:17" ht="31.5" x14ac:dyDescent="0.2">
      <c r="A297" s="40"/>
      <c r="B297" s="113" t="s">
        <v>225</v>
      </c>
      <c r="C297" s="113" t="s">
        <v>51</v>
      </c>
      <c r="D297" s="133" t="s">
        <v>321</v>
      </c>
      <c r="E297" s="133" t="s">
        <v>329</v>
      </c>
      <c r="F297" s="134" t="s">
        <v>226</v>
      </c>
      <c r="G297" s="111">
        <v>7807.5</v>
      </c>
      <c r="H297" s="111"/>
      <c r="I297" s="111">
        <v>7807.5</v>
      </c>
      <c r="J297" s="115">
        <v>1553657.4</v>
      </c>
      <c r="K297" s="111"/>
      <c r="L297" s="115">
        <v>1553657.4</v>
      </c>
      <c r="M297" s="111">
        <f>SUM(G297+J297)</f>
        <v>1561464.9</v>
      </c>
      <c r="N297" s="111">
        <f>SUM(H297+K297)</f>
        <v>0</v>
      </c>
      <c r="O297" s="111">
        <f>SUM(I297+L297)</f>
        <v>1561464.9</v>
      </c>
      <c r="P297" s="97">
        <f t="shared" si="62"/>
        <v>7807.5</v>
      </c>
      <c r="Q297" s="97">
        <f t="shared" si="63"/>
        <v>0</v>
      </c>
    </row>
    <row r="298" spans="1:17" ht="15.75" x14ac:dyDescent="0.2">
      <c r="A298" s="40"/>
      <c r="B298" s="113" t="s">
        <v>330</v>
      </c>
      <c r="C298" s="113" t="s">
        <v>51</v>
      </c>
      <c r="D298" s="133" t="s">
        <v>321</v>
      </c>
      <c r="E298" s="133" t="s">
        <v>331</v>
      </c>
      <c r="F298" s="134" t="s">
        <v>11</v>
      </c>
      <c r="G298" s="111">
        <f>G299</f>
        <v>386.1</v>
      </c>
      <c r="H298" s="111">
        <f>SUM(H299)</f>
        <v>0</v>
      </c>
      <c r="I298" s="111">
        <f>I299</f>
        <v>386.1</v>
      </c>
      <c r="J298" s="114">
        <f>J299</f>
        <v>7335.5</v>
      </c>
      <c r="K298" s="111">
        <v>0</v>
      </c>
      <c r="L298" s="114">
        <f>L299</f>
        <v>7335.5</v>
      </c>
      <c r="M298" s="111">
        <f>M299</f>
        <v>7721.6</v>
      </c>
      <c r="N298" s="111">
        <f>N299</f>
        <v>0</v>
      </c>
      <c r="O298" s="111">
        <f>O299</f>
        <v>7721.6</v>
      </c>
      <c r="P298" s="97">
        <f t="shared" si="62"/>
        <v>386.1</v>
      </c>
      <c r="Q298" s="97">
        <f t="shared" si="63"/>
        <v>0</v>
      </c>
    </row>
    <row r="299" spans="1:17" ht="31.5" x14ac:dyDescent="0.2">
      <c r="A299" s="40"/>
      <c r="B299" s="113" t="s">
        <v>225</v>
      </c>
      <c r="C299" s="113" t="s">
        <v>51</v>
      </c>
      <c r="D299" s="133" t="s">
        <v>321</v>
      </c>
      <c r="E299" s="133" t="s">
        <v>331</v>
      </c>
      <c r="F299" s="134" t="s">
        <v>226</v>
      </c>
      <c r="G299" s="111">
        <v>386.1</v>
      </c>
      <c r="H299" s="111"/>
      <c r="I299" s="111">
        <f>SUM(G299)</f>
        <v>386.1</v>
      </c>
      <c r="J299" s="115">
        <f>14200-6864.5</f>
        <v>7335.5</v>
      </c>
      <c r="K299" s="111"/>
      <c r="L299" s="115">
        <f>14200-6864.5</f>
        <v>7335.5</v>
      </c>
      <c r="M299" s="111">
        <f>SUM(J299)+G299</f>
        <v>7721.6</v>
      </c>
      <c r="N299" s="111">
        <f>SUM(H299)</f>
        <v>0</v>
      </c>
      <c r="O299" s="111">
        <f>SUM(L299)+N299+I299</f>
        <v>7721.6</v>
      </c>
      <c r="P299" s="97">
        <f t="shared" si="62"/>
        <v>386.1</v>
      </c>
      <c r="Q299" s="97">
        <f t="shared" si="63"/>
        <v>0</v>
      </c>
    </row>
    <row r="300" spans="1:17" ht="15.75" x14ac:dyDescent="0.2">
      <c r="A300" s="40"/>
      <c r="B300" s="113" t="s">
        <v>332</v>
      </c>
      <c r="C300" s="113" t="s">
        <v>51</v>
      </c>
      <c r="D300" s="133" t="s">
        <v>321</v>
      </c>
      <c r="E300" s="133" t="s">
        <v>333</v>
      </c>
      <c r="F300" s="134" t="s">
        <v>11</v>
      </c>
      <c r="G300" s="111">
        <f>G301</f>
        <v>746.6</v>
      </c>
      <c r="H300" s="111"/>
      <c r="I300" s="111">
        <f>I301</f>
        <v>746.6</v>
      </c>
      <c r="J300" s="114">
        <f>J301</f>
        <v>14185.4</v>
      </c>
      <c r="K300" s="111"/>
      <c r="L300" s="114">
        <f>L301</f>
        <v>14185.4</v>
      </c>
      <c r="M300" s="111">
        <f>M301</f>
        <v>14932</v>
      </c>
      <c r="N300" s="111">
        <f>N301</f>
        <v>0</v>
      </c>
      <c r="O300" s="111">
        <f>O301</f>
        <v>14932</v>
      </c>
      <c r="P300" s="97">
        <f t="shared" si="62"/>
        <v>746.6</v>
      </c>
      <c r="Q300" s="97">
        <f t="shared" si="63"/>
        <v>0</v>
      </c>
    </row>
    <row r="301" spans="1:17" ht="31.5" x14ac:dyDescent="0.2">
      <c r="A301" s="40"/>
      <c r="B301" s="113" t="s">
        <v>225</v>
      </c>
      <c r="C301" s="113" t="s">
        <v>51</v>
      </c>
      <c r="D301" s="133" t="s">
        <v>321</v>
      </c>
      <c r="E301" s="133" t="s">
        <v>333</v>
      </c>
      <c r="F301" s="134" t="s">
        <v>226</v>
      </c>
      <c r="G301" s="111">
        <v>746.6</v>
      </c>
      <c r="H301" s="111"/>
      <c r="I301" s="111">
        <f>SUM(G301)+H301</f>
        <v>746.6</v>
      </c>
      <c r="J301" s="115">
        <v>14185.4</v>
      </c>
      <c r="K301" s="111"/>
      <c r="L301" s="115">
        <f>SUM(J301)</f>
        <v>14185.4</v>
      </c>
      <c r="M301" s="111">
        <f>SUM(G301+J301)</f>
        <v>14932</v>
      </c>
      <c r="N301" s="111">
        <f>SUM(K301)+H301</f>
        <v>0</v>
      </c>
      <c r="O301" s="111">
        <f>SUM(I301+L301)</f>
        <v>14932</v>
      </c>
      <c r="P301" s="97">
        <f t="shared" si="62"/>
        <v>746.6</v>
      </c>
      <c r="Q301" s="97">
        <f t="shared" si="63"/>
        <v>0</v>
      </c>
    </row>
    <row r="302" spans="1:17" ht="31.5" x14ac:dyDescent="0.2">
      <c r="A302" s="40"/>
      <c r="B302" s="118" t="s">
        <v>245</v>
      </c>
      <c r="C302" s="118" t="s">
        <v>51</v>
      </c>
      <c r="D302" s="136" t="s">
        <v>321</v>
      </c>
      <c r="E302" s="136" t="s">
        <v>246</v>
      </c>
      <c r="F302" s="141"/>
      <c r="G302" s="114">
        <f>G303</f>
        <v>10499</v>
      </c>
      <c r="H302" s="114">
        <f t="shared" ref="H302:O302" si="67">H303</f>
        <v>1236.3</v>
      </c>
      <c r="I302" s="114">
        <f t="shared" si="67"/>
        <v>11735.3</v>
      </c>
      <c r="J302" s="114">
        <f t="shared" si="67"/>
        <v>72000</v>
      </c>
      <c r="K302" s="114">
        <f t="shared" si="67"/>
        <v>0</v>
      </c>
      <c r="L302" s="114">
        <f t="shared" si="67"/>
        <v>72000</v>
      </c>
      <c r="M302" s="114">
        <f t="shared" si="67"/>
        <v>9931.7000000000007</v>
      </c>
      <c r="N302" s="114">
        <f t="shared" si="67"/>
        <v>1236.3</v>
      </c>
      <c r="O302" s="114">
        <f t="shared" si="67"/>
        <v>12404.3</v>
      </c>
      <c r="P302" s="97">
        <f t="shared" si="62"/>
        <v>11735.3</v>
      </c>
      <c r="Q302" s="97">
        <f t="shared" si="63"/>
        <v>0</v>
      </c>
    </row>
    <row r="303" spans="1:17" ht="15.75" x14ac:dyDescent="0.2">
      <c r="A303" s="40"/>
      <c r="B303" s="118" t="s">
        <v>247</v>
      </c>
      <c r="C303" s="118" t="s">
        <v>51</v>
      </c>
      <c r="D303" s="136" t="s">
        <v>321</v>
      </c>
      <c r="E303" s="136" t="s">
        <v>248</v>
      </c>
      <c r="F303" s="141"/>
      <c r="G303" s="114">
        <f>G307+G304</f>
        <v>10499</v>
      </c>
      <c r="H303" s="114">
        <f>H307+H304</f>
        <v>1236.3</v>
      </c>
      <c r="I303" s="114">
        <f>I307+I304</f>
        <v>11735.3</v>
      </c>
      <c r="J303" s="114">
        <f>SUM(J304)</f>
        <v>72000</v>
      </c>
      <c r="K303" s="119"/>
      <c r="L303" s="119">
        <v>72000</v>
      </c>
      <c r="M303" s="114">
        <f>M307</f>
        <v>9931.7000000000007</v>
      </c>
      <c r="N303" s="119">
        <f>SUM(H303)+K303</f>
        <v>1236.3</v>
      </c>
      <c r="O303" s="114">
        <f>O307+N303</f>
        <v>12404.3</v>
      </c>
      <c r="P303" s="97">
        <f t="shared" si="62"/>
        <v>11735.3</v>
      </c>
      <c r="Q303" s="97">
        <f t="shared" si="63"/>
        <v>0</v>
      </c>
    </row>
    <row r="304" spans="1:17" ht="63" x14ac:dyDescent="0.2">
      <c r="A304" s="40"/>
      <c r="B304" s="175" t="s">
        <v>569</v>
      </c>
      <c r="C304" s="118" t="s">
        <v>51</v>
      </c>
      <c r="D304" s="136" t="s">
        <v>321</v>
      </c>
      <c r="E304" s="136" t="s">
        <v>567</v>
      </c>
      <c r="F304" s="141"/>
      <c r="G304" s="119">
        <f>SUM(G305)</f>
        <v>567.29999999999995</v>
      </c>
      <c r="H304" s="119"/>
      <c r="I304" s="119">
        <f>SUM(H304)+G304</f>
        <v>567.29999999999995</v>
      </c>
      <c r="J304" s="114">
        <f>SUM(J305)</f>
        <v>72000</v>
      </c>
      <c r="K304" s="119"/>
      <c r="L304" s="119">
        <v>72000</v>
      </c>
      <c r="M304" s="180">
        <f>SUM(G304)+J304</f>
        <v>72567.3</v>
      </c>
      <c r="N304" s="119">
        <f>SUM(H304)+K304</f>
        <v>0</v>
      </c>
      <c r="O304" s="119">
        <f>SUM(I304)+L304</f>
        <v>72567.3</v>
      </c>
      <c r="P304" s="97"/>
      <c r="Q304" s="97"/>
    </row>
    <row r="305" spans="1:17" ht="143.25" customHeight="1" x14ac:dyDescent="0.2">
      <c r="A305" s="40"/>
      <c r="B305" s="175" t="s">
        <v>609</v>
      </c>
      <c r="C305" s="118" t="s">
        <v>51</v>
      </c>
      <c r="D305" s="136" t="s">
        <v>321</v>
      </c>
      <c r="E305" s="136" t="s">
        <v>606</v>
      </c>
      <c r="F305" s="141"/>
      <c r="G305" s="119">
        <f>SUM(G306)</f>
        <v>567.29999999999995</v>
      </c>
      <c r="H305" s="119"/>
      <c r="I305" s="119">
        <f>SUM(H305)+G305</f>
        <v>567.29999999999995</v>
      </c>
      <c r="J305" s="114">
        <f>SUM(J306)</f>
        <v>72000</v>
      </c>
      <c r="K305" s="119"/>
      <c r="L305" s="119">
        <v>72000</v>
      </c>
      <c r="M305" s="180">
        <f>SUM(G305)+J305</f>
        <v>72567.3</v>
      </c>
      <c r="N305" s="119">
        <f>SUM(H305)+K305</f>
        <v>0</v>
      </c>
      <c r="O305" s="119">
        <f>SUM(I305)+L305</f>
        <v>72567.3</v>
      </c>
      <c r="P305" s="97"/>
      <c r="Q305" s="97"/>
    </row>
    <row r="306" spans="1:17" ht="15.75" x14ac:dyDescent="0.2">
      <c r="A306" s="40"/>
      <c r="B306" s="113" t="s">
        <v>338</v>
      </c>
      <c r="C306" s="118" t="s">
        <v>51</v>
      </c>
      <c r="D306" s="136" t="s">
        <v>321</v>
      </c>
      <c r="E306" s="136" t="s">
        <v>606</v>
      </c>
      <c r="F306" s="141" t="s">
        <v>71</v>
      </c>
      <c r="G306" s="119">
        <v>567.29999999999995</v>
      </c>
      <c r="H306" s="119"/>
      <c r="I306" s="119">
        <f>SUM(H306)+G306</f>
        <v>567.29999999999995</v>
      </c>
      <c r="J306" s="114">
        <v>72000</v>
      </c>
      <c r="K306" s="119"/>
      <c r="L306" s="119">
        <v>72000</v>
      </c>
      <c r="M306" s="119">
        <f>SUM(G306+J306)</f>
        <v>72567.3</v>
      </c>
      <c r="N306" s="119">
        <f>SUM(H306)+K306</f>
        <v>0</v>
      </c>
      <c r="O306" s="119">
        <f>SUM(I306)+L306</f>
        <v>72567.3</v>
      </c>
      <c r="P306" s="97"/>
      <c r="Q306" s="97"/>
    </row>
    <row r="307" spans="1:17" ht="47.25" x14ac:dyDescent="0.2">
      <c r="A307" s="40"/>
      <c r="B307" s="143" t="s">
        <v>334</v>
      </c>
      <c r="C307" s="113">
        <v>992</v>
      </c>
      <c r="D307" s="133" t="s">
        <v>321</v>
      </c>
      <c r="E307" s="136" t="s">
        <v>335</v>
      </c>
      <c r="F307" s="134"/>
      <c r="G307" s="111">
        <f t="shared" ref="G307:I308" si="68">SUM(G308)</f>
        <v>9931.7000000000007</v>
      </c>
      <c r="H307" s="111">
        <f t="shared" si="68"/>
        <v>1236.3</v>
      </c>
      <c r="I307" s="111">
        <f t="shared" si="68"/>
        <v>11168</v>
      </c>
      <c r="J307" s="115"/>
      <c r="K307" s="111"/>
      <c r="L307" s="115"/>
      <c r="M307" s="111">
        <f>SUM(G307)</f>
        <v>9931.7000000000007</v>
      </c>
      <c r="N307" s="111">
        <f t="shared" ref="N307:O309" si="69">SUM(H307)</f>
        <v>1236.3</v>
      </c>
      <c r="O307" s="111">
        <f t="shared" si="69"/>
        <v>11168</v>
      </c>
      <c r="P307" s="97">
        <f t="shared" si="62"/>
        <v>11168</v>
      </c>
      <c r="Q307" s="97">
        <f t="shared" si="63"/>
        <v>0</v>
      </c>
    </row>
    <row r="308" spans="1:17" ht="78.75" x14ac:dyDescent="0.2">
      <c r="A308" s="40"/>
      <c r="B308" s="144" t="s">
        <v>336</v>
      </c>
      <c r="C308" s="113">
        <v>992</v>
      </c>
      <c r="D308" s="133" t="s">
        <v>321</v>
      </c>
      <c r="E308" s="136" t="s">
        <v>337</v>
      </c>
      <c r="F308" s="134"/>
      <c r="G308" s="111">
        <f t="shared" si="68"/>
        <v>9931.7000000000007</v>
      </c>
      <c r="H308" s="111">
        <f t="shared" si="68"/>
        <v>1236.3</v>
      </c>
      <c r="I308" s="111">
        <f t="shared" si="68"/>
        <v>11168</v>
      </c>
      <c r="J308" s="115"/>
      <c r="K308" s="111"/>
      <c r="L308" s="115"/>
      <c r="M308" s="111">
        <f>SUM(G308)</f>
        <v>9931.7000000000007</v>
      </c>
      <c r="N308" s="111">
        <f t="shared" si="69"/>
        <v>1236.3</v>
      </c>
      <c r="O308" s="111">
        <f t="shared" si="69"/>
        <v>11168</v>
      </c>
      <c r="P308" s="97">
        <f t="shared" si="62"/>
        <v>11168</v>
      </c>
      <c r="Q308" s="97">
        <f t="shared" si="63"/>
        <v>0</v>
      </c>
    </row>
    <row r="309" spans="1:17" ht="15.75" x14ac:dyDescent="0.2">
      <c r="A309" s="40"/>
      <c r="B309" s="113" t="s">
        <v>338</v>
      </c>
      <c r="C309" s="113">
        <v>992</v>
      </c>
      <c r="D309" s="133" t="s">
        <v>321</v>
      </c>
      <c r="E309" s="136" t="s">
        <v>337</v>
      </c>
      <c r="F309" s="134">
        <v>800</v>
      </c>
      <c r="G309" s="111">
        <v>9931.7000000000007</v>
      </c>
      <c r="H309" s="111">
        <v>1236.3</v>
      </c>
      <c r="I309" s="111">
        <f>SUM(G309)+H309</f>
        <v>11168</v>
      </c>
      <c r="J309" s="115"/>
      <c r="K309" s="111"/>
      <c r="L309" s="115"/>
      <c r="M309" s="111">
        <f>SUM(G309)</f>
        <v>9931.7000000000007</v>
      </c>
      <c r="N309" s="111">
        <f t="shared" si="69"/>
        <v>1236.3</v>
      </c>
      <c r="O309" s="111">
        <f t="shared" si="69"/>
        <v>11168</v>
      </c>
      <c r="P309" s="97">
        <f t="shared" si="62"/>
        <v>11168</v>
      </c>
      <c r="Q309" s="97">
        <f t="shared" si="63"/>
        <v>0</v>
      </c>
    </row>
    <row r="310" spans="1:17" ht="1.5" customHeight="1" x14ac:dyDescent="0.2">
      <c r="A310" s="40"/>
      <c r="B310" s="113"/>
      <c r="C310" s="113">
        <v>992</v>
      </c>
      <c r="D310" s="133" t="s">
        <v>321</v>
      </c>
      <c r="E310" s="136" t="s">
        <v>606</v>
      </c>
      <c r="F310" s="134"/>
      <c r="G310" s="111"/>
      <c r="H310" s="111"/>
      <c r="I310" s="111">
        <f>SUM(H310)</f>
        <v>0</v>
      </c>
      <c r="J310" s="115"/>
      <c r="K310" s="111"/>
      <c r="L310" s="111"/>
      <c r="M310" s="111"/>
      <c r="N310" s="111">
        <f>SUM(H310)+K310</f>
        <v>0</v>
      </c>
      <c r="O310" s="111">
        <f>SUM(L310)+I310</f>
        <v>0</v>
      </c>
      <c r="P310" s="97"/>
      <c r="Q310" s="97"/>
    </row>
    <row r="311" spans="1:17" ht="15.75" hidden="1" x14ac:dyDescent="0.2">
      <c r="A311" s="40"/>
      <c r="C311" s="113">
        <v>992</v>
      </c>
      <c r="D311" s="133" t="s">
        <v>321</v>
      </c>
      <c r="E311" s="136" t="s">
        <v>606</v>
      </c>
      <c r="F311" s="134">
        <v>800</v>
      </c>
      <c r="G311" s="111"/>
      <c r="H311" s="111"/>
      <c r="I311" s="111">
        <f>SUM(H311)</f>
        <v>0</v>
      </c>
      <c r="J311" s="115"/>
      <c r="K311" s="111"/>
      <c r="L311" s="111"/>
      <c r="M311" s="111"/>
      <c r="N311" s="111">
        <f>SUM(H311)+K311</f>
        <v>0</v>
      </c>
      <c r="O311" s="111">
        <f>SUM(L311)+I311</f>
        <v>0</v>
      </c>
      <c r="P311" s="97"/>
      <c r="Q311" s="97"/>
    </row>
    <row r="312" spans="1:17" ht="31.5" x14ac:dyDescent="0.2">
      <c r="A312" s="40"/>
      <c r="B312" s="113" t="s">
        <v>339</v>
      </c>
      <c r="C312" s="113" t="s">
        <v>51</v>
      </c>
      <c r="D312" s="133" t="s">
        <v>321</v>
      </c>
      <c r="E312" s="133" t="s">
        <v>340</v>
      </c>
      <c r="F312" s="134" t="s">
        <v>11</v>
      </c>
      <c r="G312" s="111">
        <f>G313+G325+G322</f>
        <v>43668.800000000003</v>
      </c>
      <c r="H312" s="111">
        <f>H313+H322+H325</f>
        <v>0</v>
      </c>
      <c r="I312" s="111">
        <f>I313+I325+I322</f>
        <v>43668.800000000003</v>
      </c>
      <c r="J312" s="114">
        <f>J313+J325</f>
        <v>106001.5</v>
      </c>
      <c r="K312" s="111">
        <f>K313+K325</f>
        <v>0</v>
      </c>
      <c r="L312" s="114">
        <f>L313+L325</f>
        <v>106001.5</v>
      </c>
      <c r="M312" s="111">
        <f>M313+M325+M322</f>
        <v>149670.29999999999</v>
      </c>
      <c r="N312" s="111">
        <f>N313+N322+N325</f>
        <v>0</v>
      </c>
      <c r="O312" s="111">
        <f>O313+O325+O322</f>
        <v>149670.29999999999</v>
      </c>
      <c r="P312" s="97">
        <f t="shared" si="62"/>
        <v>43668.800000000003</v>
      </c>
      <c r="Q312" s="97">
        <f t="shared" si="63"/>
        <v>0</v>
      </c>
    </row>
    <row r="313" spans="1:17" ht="15.75" x14ac:dyDescent="0.2">
      <c r="A313" s="40"/>
      <c r="B313" s="113" t="s">
        <v>341</v>
      </c>
      <c r="C313" s="113" t="s">
        <v>51</v>
      </c>
      <c r="D313" s="133" t="s">
        <v>321</v>
      </c>
      <c r="E313" s="133" t="s">
        <v>342</v>
      </c>
      <c r="F313" s="134" t="s">
        <v>11</v>
      </c>
      <c r="G313" s="111">
        <f t="shared" ref="G313:O313" si="70">G314</f>
        <v>27047.800000000003</v>
      </c>
      <c r="H313" s="111">
        <f>H314</f>
        <v>0</v>
      </c>
      <c r="I313" s="111">
        <f t="shared" si="70"/>
        <v>27047.8</v>
      </c>
      <c r="J313" s="114">
        <f t="shared" si="70"/>
        <v>101001.5</v>
      </c>
      <c r="K313" s="111">
        <f>K314+K317</f>
        <v>0</v>
      </c>
      <c r="L313" s="114">
        <f t="shared" si="70"/>
        <v>101001.5</v>
      </c>
      <c r="M313" s="111">
        <f t="shared" si="70"/>
        <v>128049.3</v>
      </c>
      <c r="N313" s="111">
        <f t="shared" si="70"/>
        <v>0</v>
      </c>
      <c r="O313" s="111">
        <f t="shared" si="70"/>
        <v>128049.29999999999</v>
      </c>
      <c r="P313" s="97">
        <f t="shared" si="62"/>
        <v>27047.800000000003</v>
      </c>
      <c r="Q313" s="97">
        <f t="shared" si="63"/>
        <v>0</v>
      </c>
    </row>
    <row r="314" spans="1:17" ht="47.25" x14ac:dyDescent="0.2">
      <c r="A314" s="40"/>
      <c r="B314" s="113" t="s">
        <v>343</v>
      </c>
      <c r="C314" s="113" t="s">
        <v>51</v>
      </c>
      <c r="D314" s="133" t="s">
        <v>321</v>
      </c>
      <c r="E314" s="133" t="s">
        <v>344</v>
      </c>
      <c r="F314" s="134" t="s">
        <v>11</v>
      </c>
      <c r="G314" s="111">
        <f>G315+G318</f>
        <v>27047.800000000003</v>
      </c>
      <c r="H314" s="111">
        <f>H315+H318</f>
        <v>0</v>
      </c>
      <c r="I314" s="111">
        <f>I315+I318</f>
        <v>27047.8</v>
      </c>
      <c r="J314" s="114">
        <f>J315+J318</f>
        <v>101001.5</v>
      </c>
      <c r="K314" s="111">
        <f>K315+K318</f>
        <v>0</v>
      </c>
      <c r="L314" s="114">
        <f>L315+L318</f>
        <v>101001.5</v>
      </c>
      <c r="M314" s="111">
        <f>M315+M318</f>
        <v>128049.3</v>
      </c>
      <c r="N314" s="111">
        <f>N315+N318</f>
        <v>0</v>
      </c>
      <c r="O314" s="111">
        <f>O315+O318</f>
        <v>128049.29999999999</v>
      </c>
      <c r="P314" s="97">
        <f t="shared" si="62"/>
        <v>27047.800000000003</v>
      </c>
      <c r="Q314" s="97">
        <f t="shared" si="63"/>
        <v>0</v>
      </c>
    </row>
    <row r="315" spans="1:17" ht="47.25" x14ac:dyDescent="0.2">
      <c r="A315" s="40"/>
      <c r="B315" s="113" t="s">
        <v>345</v>
      </c>
      <c r="C315" s="113" t="s">
        <v>51</v>
      </c>
      <c r="D315" s="133" t="s">
        <v>321</v>
      </c>
      <c r="E315" s="133" t="s">
        <v>346</v>
      </c>
      <c r="F315" s="134" t="s">
        <v>11</v>
      </c>
      <c r="G315" s="111">
        <f>G316+G317</f>
        <v>10605.6</v>
      </c>
      <c r="H315" s="111">
        <f>SUM(H316+H317)</f>
        <v>0</v>
      </c>
      <c r="I315" s="111">
        <f>I316+I317</f>
        <v>10605.599999999999</v>
      </c>
      <c r="J315" s="114">
        <f>J316+J317</f>
        <v>0</v>
      </c>
      <c r="K315" s="111"/>
      <c r="L315" s="114">
        <f>L316+L317</f>
        <v>0</v>
      </c>
      <c r="M315" s="111">
        <f>M316+M317</f>
        <v>10605.6</v>
      </c>
      <c r="N315" s="111">
        <f>N316+N317</f>
        <v>0</v>
      </c>
      <c r="O315" s="111">
        <f>O316+O317</f>
        <v>10605.599999999999</v>
      </c>
      <c r="P315" s="97">
        <f t="shared" si="62"/>
        <v>10605.6</v>
      </c>
      <c r="Q315" s="97">
        <f t="shared" si="63"/>
        <v>0</v>
      </c>
    </row>
    <row r="316" spans="1:17" ht="31.5" x14ac:dyDescent="0.2">
      <c r="A316" s="40"/>
      <c r="B316" s="113" t="s">
        <v>40</v>
      </c>
      <c r="C316" s="113" t="s">
        <v>51</v>
      </c>
      <c r="D316" s="133" t="s">
        <v>321</v>
      </c>
      <c r="E316" s="133" t="s">
        <v>346</v>
      </c>
      <c r="F316" s="134" t="s">
        <v>41</v>
      </c>
      <c r="G316" s="111">
        <v>3240</v>
      </c>
      <c r="H316" s="111">
        <v>-1026.3</v>
      </c>
      <c r="I316" s="111">
        <f>SUM(G316)+H316</f>
        <v>2213.6999999999998</v>
      </c>
      <c r="J316" s="115">
        <v>0</v>
      </c>
      <c r="K316" s="111">
        <f>2803.6+840-1820-983.6-840</f>
        <v>0</v>
      </c>
      <c r="L316" s="115">
        <v>0</v>
      </c>
      <c r="M316" s="111">
        <f>SUM(G316)</f>
        <v>3240</v>
      </c>
      <c r="N316" s="111">
        <f>SUM(H316)</f>
        <v>-1026.3</v>
      </c>
      <c r="O316" s="111">
        <f>SUM(I316)</f>
        <v>2213.6999999999998</v>
      </c>
      <c r="P316" s="97">
        <f t="shared" si="62"/>
        <v>2213.6999999999998</v>
      </c>
      <c r="Q316" s="97">
        <f t="shared" si="63"/>
        <v>0</v>
      </c>
    </row>
    <row r="317" spans="1:17" ht="31.5" x14ac:dyDescent="0.2">
      <c r="A317" s="40"/>
      <c r="B317" s="113" t="s">
        <v>225</v>
      </c>
      <c r="C317" s="113" t="s">
        <v>51</v>
      </c>
      <c r="D317" s="133" t="s">
        <v>321</v>
      </c>
      <c r="E317" s="133" t="s">
        <v>346</v>
      </c>
      <c r="F317" s="134" t="s">
        <v>226</v>
      </c>
      <c r="G317" s="111">
        <v>7365.6</v>
      </c>
      <c r="H317" s="111">
        <v>1026.3</v>
      </c>
      <c r="I317" s="111">
        <f>SUM(G317)+R318+H317</f>
        <v>8391.9</v>
      </c>
      <c r="J317" s="115">
        <v>0</v>
      </c>
      <c r="K317" s="111"/>
      <c r="L317" s="115">
        <v>0</v>
      </c>
      <c r="M317" s="111">
        <f>SUM(G317)</f>
        <v>7365.6</v>
      </c>
      <c r="N317" s="111">
        <f>SUM(H317)</f>
        <v>1026.3</v>
      </c>
      <c r="O317" s="111">
        <f>SUM(M317)+N317</f>
        <v>8391.9</v>
      </c>
      <c r="P317" s="97">
        <f t="shared" si="62"/>
        <v>8391.9</v>
      </c>
      <c r="Q317" s="97">
        <f t="shared" si="63"/>
        <v>0</v>
      </c>
    </row>
    <row r="318" spans="1:17" ht="15.75" x14ac:dyDescent="0.2">
      <c r="A318" s="40"/>
      <c r="B318" s="113" t="s">
        <v>347</v>
      </c>
      <c r="C318" s="113" t="s">
        <v>51</v>
      </c>
      <c r="D318" s="133" t="s">
        <v>321</v>
      </c>
      <c r="E318" s="133" t="s">
        <v>348</v>
      </c>
      <c r="F318" s="134" t="s">
        <v>11</v>
      </c>
      <c r="G318" s="111">
        <f>G319</f>
        <v>16442.2</v>
      </c>
      <c r="H318" s="111">
        <f>SUM(H319)</f>
        <v>0</v>
      </c>
      <c r="I318" s="111">
        <f>I319</f>
        <v>16442.2</v>
      </c>
      <c r="J318" s="114">
        <f>J319</f>
        <v>101001.5</v>
      </c>
      <c r="K318" s="119"/>
      <c r="L318" s="114">
        <f>L319</f>
        <v>101001.5</v>
      </c>
      <c r="M318" s="111">
        <f>M319</f>
        <v>117443.7</v>
      </c>
      <c r="N318" s="111">
        <f>N319</f>
        <v>0</v>
      </c>
      <c r="O318" s="111">
        <f>O319</f>
        <v>117443.7</v>
      </c>
      <c r="P318" s="97">
        <f t="shared" si="62"/>
        <v>16442.2</v>
      </c>
      <c r="Q318" s="97">
        <f t="shared" si="63"/>
        <v>0</v>
      </c>
    </row>
    <row r="319" spans="1:17" ht="31.5" x14ac:dyDescent="0.2">
      <c r="A319" s="40"/>
      <c r="B319" s="113" t="s">
        <v>225</v>
      </c>
      <c r="C319" s="113" t="s">
        <v>51</v>
      </c>
      <c r="D319" s="133" t="s">
        <v>321</v>
      </c>
      <c r="E319" s="133" t="s">
        <v>348</v>
      </c>
      <c r="F319" s="134" t="s">
        <v>226</v>
      </c>
      <c r="G319" s="111">
        <v>16442.2</v>
      </c>
      <c r="H319" s="111"/>
      <c r="I319" s="111">
        <v>16442.2</v>
      </c>
      <c r="J319" s="115">
        <v>101001.5</v>
      </c>
      <c r="K319" s="119"/>
      <c r="L319" s="115">
        <f>SUM(J319)+K319</f>
        <v>101001.5</v>
      </c>
      <c r="M319" s="111">
        <f>SUM(G319+J319)</f>
        <v>117443.7</v>
      </c>
      <c r="N319" s="111">
        <f>SUM(H319+K319)</f>
        <v>0</v>
      </c>
      <c r="O319" s="111">
        <f>SUM(I319+L319)</f>
        <v>117443.7</v>
      </c>
      <c r="P319" s="97">
        <f t="shared" si="62"/>
        <v>16442.2</v>
      </c>
      <c r="Q319" s="97">
        <f t="shared" si="63"/>
        <v>0</v>
      </c>
    </row>
    <row r="320" spans="1:17" ht="15.75" x14ac:dyDescent="0.2">
      <c r="A320" s="40"/>
      <c r="B320" s="118" t="s">
        <v>580</v>
      </c>
      <c r="C320" s="118" t="s">
        <v>51</v>
      </c>
      <c r="D320" s="136" t="s">
        <v>321</v>
      </c>
      <c r="E320" s="136" t="s">
        <v>579</v>
      </c>
      <c r="F320" s="141"/>
      <c r="G320" s="111">
        <f>G321</f>
        <v>0</v>
      </c>
      <c r="H320" s="111">
        <f t="shared" ref="H320:O321" si="71">H321</f>
        <v>0</v>
      </c>
      <c r="I320" s="120">
        <f t="shared" si="71"/>
        <v>0</v>
      </c>
      <c r="J320" s="114">
        <f t="shared" si="71"/>
        <v>0</v>
      </c>
      <c r="K320" s="114">
        <f t="shared" si="71"/>
        <v>0</v>
      </c>
      <c r="L320" s="119">
        <f t="shared" si="71"/>
        <v>0</v>
      </c>
      <c r="M320" s="111">
        <f t="shared" si="71"/>
        <v>0</v>
      </c>
      <c r="N320" s="111">
        <f t="shared" si="71"/>
        <v>0</v>
      </c>
      <c r="O320" s="111">
        <f t="shared" si="71"/>
        <v>0</v>
      </c>
      <c r="P320" s="97">
        <f t="shared" si="62"/>
        <v>0</v>
      </c>
      <c r="Q320" s="97">
        <f t="shared" si="63"/>
        <v>0</v>
      </c>
    </row>
    <row r="321" spans="1:17" ht="31.5" x14ac:dyDescent="0.2">
      <c r="A321" s="40"/>
      <c r="B321" s="118" t="s">
        <v>581</v>
      </c>
      <c r="C321" s="118" t="s">
        <v>51</v>
      </c>
      <c r="D321" s="136" t="s">
        <v>321</v>
      </c>
      <c r="E321" s="136" t="s">
        <v>578</v>
      </c>
      <c r="F321" s="141"/>
      <c r="G321" s="111">
        <f>G322</f>
        <v>0</v>
      </c>
      <c r="H321" s="111">
        <f t="shared" si="71"/>
        <v>0</v>
      </c>
      <c r="I321" s="120">
        <f t="shared" si="71"/>
        <v>0</v>
      </c>
      <c r="J321" s="114">
        <f t="shared" si="71"/>
        <v>0</v>
      </c>
      <c r="K321" s="114">
        <f t="shared" si="71"/>
        <v>0</v>
      </c>
      <c r="L321" s="119">
        <f t="shared" si="71"/>
        <v>0</v>
      </c>
      <c r="M321" s="111">
        <f t="shared" si="71"/>
        <v>0</v>
      </c>
      <c r="N321" s="111">
        <f t="shared" si="71"/>
        <v>0</v>
      </c>
      <c r="O321" s="111">
        <f t="shared" si="71"/>
        <v>0</v>
      </c>
      <c r="P321" s="97">
        <f t="shared" si="62"/>
        <v>0</v>
      </c>
      <c r="Q321" s="97">
        <f t="shared" si="63"/>
        <v>0</v>
      </c>
    </row>
    <row r="322" spans="1:17" ht="15.75" x14ac:dyDescent="0.2">
      <c r="A322" s="40"/>
      <c r="B322" s="113" t="s">
        <v>349</v>
      </c>
      <c r="C322" s="113">
        <v>992</v>
      </c>
      <c r="D322" s="133" t="s">
        <v>321</v>
      </c>
      <c r="E322" s="133">
        <v>1120121140</v>
      </c>
      <c r="F322" s="134"/>
      <c r="G322" s="111">
        <f>SUM(G324)</f>
        <v>0</v>
      </c>
      <c r="H322" s="111">
        <f>SUM(H324)</f>
        <v>0</v>
      </c>
      <c r="I322" s="111">
        <f>SUM(G322:H322)</f>
        <v>0</v>
      </c>
      <c r="J322" s="115"/>
      <c r="K322" s="111"/>
      <c r="L322" s="115"/>
      <c r="M322" s="111">
        <f>SUM(G322)</f>
        <v>0</v>
      </c>
      <c r="N322" s="111">
        <f t="shared" ref="N322:O324" si="72">SUM(H322)</f>
        <v>0</v>
      </c>
      <c r="O322" s="111">
        <f t="shared" si="72"/>
        <v>0</v>
      </c>
      <c r="P322" s="97">
        <f t="shared" si="62"/>
        <v>0</v>
      </c>
      <c r="Q322" s="97">
        <f t="shared" si="63"/>
        <v>0</v>
      </c>
    </row>
    <row r="323" spans="1:17" ht="25.9" hidden="1" customHeight="1" x14ac:dyDescent="0.2">
      <c r="A323" s="40"/>
      <c r="B323" s="113"/>
      <c r="C323" s="113">
        <v>992</v>
      </c>
      <c r="D323" s="133" t="s">
        <v>321</v>
      </c>
      <c r="E323" s="133">
        <v>1120121140</v>
      </c>
      <c r="F323" s="134">
        <v>400</v>
      </c>
      <c r="G323" s="111"/>
      <c r="H323" s="111">
        <f>SUM(H324)</f>
        <v>0</v>
      </c>
      <c r="I323" s="111">
        <f>SUM(H323)</f>
        <v>0</v>
      </c>
      <c r="J323" s="115"/>
      <c r="K323" s="111"/>
      <c r="L323" s="115"/>
      <c r="M323" s="111"/>
      <c r="N323" s="111">
        <f t="shared" si="72"/>
        <v>0</v>
      </c>
      <c r="O323" s="111">
        <f t="shared" si="72"/>
        <v>0</v>
      </c>
      <c r="P323" s="97">
        <f t="shared" si="62"/>
        <v>0</v>
      </c>
      <c r="Q323" s="97">
        <f t="shared" si="63"/>
        <v>0</v>
      </c>
    </row>
    <row r="324" spans="1:17" ht="31.5" x14ac:dyDescent="0.2">
      <c r="A324" s="40"/>
      <c r="B324" s="113" t="s">
        <v>225</v>
      </c>
      <c r="C324" s="113">
        <v>992</v>
      </c>
      <c r="D324" s="133" t="s">
        <v>321</v>
      </c>
      <c r="E324" s="133">
        <v>1120121140</v>
      </c>
      <c r="F324" s="134">
        <v>400</v>
      </c>
      <c r="G324" s="111">
        <v>0</v>
      </c>
      <c r="H324" s="111"/>
      <c r="I324" s="111">
        <f>SUM(G324:H324)</f>
        <v>0</v>
      </c>
      <c r="J324" s="115"/>
      <c r="K324" s="111"/>
      <c r="L324" s="115"/>
      <c r="M324" s="111">
        <f>SUM(G324)</f>
        <v>0</v>
      </c>
      <c r="N324" s="111">
        <f t="shared" si="72"/>
        <v>0</v>
      </c>
      <c r="O324" s="111">
        <f t="shared" si="72"/>
        <v>0</v>
      </c>
      <c r="P324" s="97">
        <f t="shared" si="62"/>
        <v>0</v>
      </c>
      <c r="Q324" s="97">
        <f t="shared" si="63"/>
        <v>0</v>
      </c>
    </row>
    <row r="325" spans="1:17" ht="15.75" x14ac:dyDescent="0.2">
      <c r="A325" s="40"/>
      <c r="B325" s="135" t="s">
        <v>350</v>
      </c>
      <c r="C325" s="113">
        <v>992</v>
      </c>
      <c r="D325" s="133" t="s">
        <v>321</v>
      </c>
      <c r="E325" s="133">
        <v>1130000000</v>
      </c>
      <c r="F325" s="134"/>
      <c r="G325" s="111">
        <f>SUM(G326)</f>
        <v>16621</v>
      </c>
      <c r="H325" s="111">
        <f>H326</f>
        <v>0</v>
      </c>
      <c r="I325" s="111">
        <f>SUM(I326)</f>
        <v>16621</v>
      </c>
      <c r="J325" s="111">
        <f t="shared" ref="J325:M326" si="73">SUM(J326)</f>
        <v>5000</v>
      </c>
      <c r="K325" s="111">
        <f t="shared" si="73"/>
        <v>0</v>
      </c>
      <c r="L325" s="111">
        <f t="shared" si="73"/>
        <v>5000</v>
      </c>
      <c r="M325" s="111">
        <f t="shared" si="73"/>
        <v>21621</v>
      </c>
      <c r="N325" s="111">
        <f>SUM(H325)+K325</f>
        <v>0</v>
      </c>
      <c r="O325" s="111">
        <f>SUM(O326)</f>
        <v>21621</v>
      </c>
      <c r="P325" s="97">
        <f t="shared" si="62"/>
        <v>16621</v>
      </c>
      <c r="Q325" s="97">
        <f t="shared" si="63"/>
        <v>0</v>
      </c>
    </row>
    <row r="326" spans="1:17" ht="47.25" x14ac:dyDescent="0.2">
      <c r="A326" s="40"/>
      <c r="B326" s="135" t="s">
        <v>351</v>
      </c>
      <c r="C326" s="113">
        <v>992</v>
      </c>
      <c r="D326" s="133" t="s">
        <v>321</v>
      </c>
      <c r="E326" s="133">
        <v>1130100000</v>
      </c>
      <c r="F326" s="134"/>
      <c r="G326" s="111">
        <f>SUM(G327)</f>
        <v>16621</v>
      </c>
      <c r="H326" s="111">
        <f>H327</f>
        <v>0</v>
      </c>
      <c r="I326" s="111">
        <f>SUM(I327)</f>
        <v>16621</v>
      </c>
      <c r="J326" s="111">
        <f>SUM(J327)+J330</f>
        <v>5000</v>
      </c>
      <c r="K326" s="111">
        <f t="shared" si="73"/>
        <v>0</v>
      </c>
      <c r="L326" s="111">
        <f>SUM(L327)+L330</f>
        <v>5000</v>
      </c>
      <c r="M326" s="111">
        <f>SUM(M327)+M330</f>
        <v>21621</v>
      </c>
      <c r="N326" s="111">
        <f>SUM(H326)+K326+N330</f>
        <v>0</v>
      </c>
      <c r="O326" s="111">
        <f>SUM(O327)+O330</f>
        <v>21621</v>
      </c>
      <c r="P326" s="97">
        <f t="shared" si="62"/>
        <v>16621</v>
      </c>
      <c r="Q326" s="97">
        <f t="shared" si="63"/>
        <v>0</v>
      </c>
    </row>
    <row r="327" spans="1:17" ht="15.75" x14ac:dyDescent="0.2">
      <c r="A327" s="40"/>
      <c r="B327" s="135" t="s">
        <v>582</v>
      </c>
      <c r="C327" s="113">
        <v>992</v>
      </c>
      <c r="D327" s="133" t="s">
        <v>321</v>
      </c>
      <c r="E327" s="133">
        <v>1130121070</v>
      </c>
      <c r="F327" s="134"/>
      <c r="G327" s="111">
        <f>SUM(G329)+G328</f>
        <v>16621</v>
      </c>
      <c r="H327" s="111">
        <f>H328+H329</f>
        <v>0</v>
      </c>
      <c r="I327" s="111">
        <f>SUM(G327:H327)</f>
        <v>16621</v>
      </c>
      <c r="J327" s="115"/>
      <c r="K327" s="111"/>
      <c r="L327" s="115">
        <f>SUM(J327)</f>
        <v>0</v>
      </c>
      <c r="M327" s="111">
        <f>SUM(G327)+J327</f>
        <v>16621</v>
      </c>
      <c r="N327" s="111">
        <f>N328+N329</f>
        <v>0</v>
      </c>
      <c r="O327" s="111">
        <f>SUM(I327)+L327</f>
        <v>16621</v>
      </c>
      <c r="P327" s="97">
        <f t="shared" si="62"/>
        <v>16621</v>
      </c>
      <c r="Q327" s="97">
        <f t="shared" si="63"/>
        <v>0</v>
      </c>
    </row>
    <row r="328" spans="1:17" ht="31.5" x14ac:dyDescent="0.2">
      <c r="A328" s="40"/>
      <c r="B328" s="113" t="s">
        <v>40</v>
      </c>
      <c r="C328" s="113">
        <v>992</v>
      </c>
      <c r="D328" s="133" t="s">
        <v>321</v>
      </c>
      <c r="E328" s="133">
        <v>1130121070</v>
      </c>
      <c r="F328" s="134">
        <v>200</v>
      </c>
      <c r="G328" s="111">
        <v>15090.2</v>
      </c>
      <c r="H328" s="111"/>
      <c r="I328" s="111">
        <f>SUM(G328:H328)</f>
        <v>15090.2</v>
      </c>
      <c r="J328" s="115"/>
      <c r="K328" s="111"/>
      <c r="L328" s="115">
        <f>SUM(J328)</f>
        <v>0</v>
      </c>
      <c r="M328" s="111">
        <f>SUM(G328)+J328</f>
        <v>15090.2</v>
      </c>
      <c r="N328" s="111">
        <f>SUM(H328)+K328</f>
        <v>0</v>
      </c>
      <c r="O328" s="111">
        <f>SUM(I328)+L328</f>
        <v>15090.2</v>
      </c>
      <c r="P328" s="97">
        <f t="shared" si="62"/>
        <v>15090.2</v>
      </c>
      <c r="Q328" s="97">
        <f t="shared" si="63"/>
        <v>0</v>
      </c>
    </row>
    <row r="329" spans="1:17" ht="31.5" x14ac:dyDescent="0.2">
      <c r="A329" s="40"/>
      <c r="B329" s="113" t="s">
        <v>225</v>
      </c>
      <c r="C329" s="113">
        <v>992</v>
      </c>
      <c r="D329" s="133" t="s">
        <v>321</v>
      </c>
      <c r="E329" s="136" t="s">
        <v>352</v>
      </c>
      <c r="F329" s="134">
        <v>400</v>
      </c>
      <c r="G329" s="111">
        <v>1530.8</v>
      </c>
      <c r="H329" s="111"/>
      <c r="I329" s="111">
        <f>SUM(G329)</f>
        <v>1530.8</v>
      </c>
      <c r="J329" s="115"/>
      <c r="K329" s="109"/>
      <c r="L329" s="115"/>
      <c r="M329" s="111">
        <f>SUM(G329)</f>
        <v>1530.8</v>
      </c>
      <c r="N329" s="111">
        <f>SUM(H329)</f>
        <v>0</v>
      </c>
      <c r="O329" s="111">
        <f>SUM(I329)</f>
        <v>1530.8</v>
      </c>
      <c r="P329" s="97">
        <f t="shared" si="62"/>
        <v>1530.8</v>
      </c>
      <c r="Q329" s="97">
        <f t="shared" si="63"/>
        <v>0</v>
      </c>
    </row>
    <row r="330" spans="1:17" ht="31.5" x14ac:dyDescent="0.2">
      <c r="A330" s="40"/>
      <c r="B330" s="113" t="s">
        <v>603</v>
      </c>
      <c r="C330" s="113">
        <v>992</v>
      </c>
      <c r="D330" s="133" t="s">
        <v>321</v>
      </c>
      <c r="E330" s="136" t="s">
        <v>602</v>
      </c>
      <c r="F330" s="134"/>
      <c r="G330" s="111"/>
      <c r="H330" s="111"/>
      <c r="I330" s="111"/>
      <c r="J330" s="115">
        <v>5000</v>
      </c>
      <c r="K330" s="109"/>
      <c r="L330" s="121">
        <v>5000</v>
      </c>
      <c r="M330" s="121">
        <v>5000</v>
      </c>
      <c r="N330" s="111"/>
      <c r="O330" s="111">
        <f>SUM(M330)</f>
        <v>5000</v>
      </c>
      <c r="P330" s="97">
        <f t="shared" si="62"/>
        <v>0</v>
      </c>
      <c r="Q330" s="97">
        <f t="shared" si="63"/>
        <v>0</v>
      </c>
    </row>
    <row r="331" spans="1:17" ht="31.5" x14ac:dyDescent="0.2">
      <c r="A331" s="40"/>
      <c r="B331" s="113" t="s">
        <v>40</v>
      </c>
      <c r="C331" s="113">
        <v>992</v>
      </c>
      <c r="D331" s="133" t="s">
        <v>321</v>
      </c>
      <c r="E331" s="136" t="s">
        <v>602</v>
      </c>
      <c r="F331" s="134">
        <v>200</v>
      </c>
      <c r="G331" s="111"/>
      <c r="H331" s="111"/>
      <c r="I331" s="111"/>
      <c r="J331" s="115">
        <v>5000</v>
      </c>
      <c r="K331" s="109"/>
      <c r="L331" s="121">
        <v>5000</v>
      </c>
      <c r="M331" s="121">
        <v>5000</v>
      </c>
      <c r="N331" s="111"/>
      <c r="O331" s="111">
        <f>SUM(M331)</f>
        <v>5000</v>
      </c>
      <c r="P331" s="97">
        <f t="shared" si="62"/>
        <v>0</v>
      </c>
      <c r="Q331" s="97">
        <f t="shared" si="63"/>
        <v>0</v>
      </c>
    </row>
    <row r="332" spans="1:17" ht="15.75" x14ac:dyDescent="0.2">
      <c r="A332" s="33" t="s">
        <v>353</v>
      </c>
      <c r="B332" s="110" t="s">
        <v>354</v>
      </c>
      <c r="C332" s="110" t="s">
        <v>51</v>
      </c>
      <c r="D332" s="131" t="s">
        <v>355</v>
      </c>
      <c r="E332" s="131" t="s">
        <v>11</v>
      </c>
      <c r="F332" s="132" t="s">
        <v>11</v>
      </c>
      <c r="G332" s="109">
        <f>G333+G374+G381+G368+G388</f>
        <v>80986.400000000009</v>
      </c>
      <c r="H332" s="111">
        <f>H333+Z335+H381+H367</f>
        <v>1225.3</v>
      </c>
      <c r="I332" s="109">
        <f>I333+I374+I381+I368+I388</f>
        <v>82211.7</v>
      </c>
      <c r="J332" s="112">
        <f>J333+J374+J381+J368</f>
        <v>15057.2</v>
      </c>
      <c r="K332" s="111">
        <f>K333+K368+K374+K388+K381</f>
        <v>0</v>
      </c>
      <c r="L332" s="111">
        <f>L333+L368+L374+L388+L381</f>
        <v>15057.2</v>
      </c>
      <c r="M332" s="109">
        <f>M333+M374+M381+M368+M388</f>
        <v>96043.6</v>
      </c>
      <c r="N332" s="111">
        <f>N333+AF335+N381+N374+N367</f>
        <v>1225.3</v>
      </c>
      <c r="O332" s="109">
        <f>O333+O374+O381+O368+O388</f>
        <v>97268.9</v>
      </c>
      <c r="P332" s="97">
        <f t="shared" si="62"/>
        <v>82211.700000000012</v>
      </c>
      <c r="Q332" s="97">
        <f t="shared" si="63"/>
        <v>0</v>
      </c>
    </row>
    <row r="333" spans="1:17" ht="31.5" x14ac:dyDescent="0.2">
      <c r="A333" s="40"/>
      <c r="B333" s="113" t="s">
        <v>245</v>
      </c>
      <c r="C333" s="113" t="s">
        <v>51</v>
      </c>
      <c r="D333" s="133" t="s">
        <v>355</v>
      </c>
      <c r="E333" s="133" t="s">
        <v>246</v>
      </c>
      <c r="F333" s="134" t="s">
        <v>11</v>
      </c>
      <c r="G333" s="111">
        <f>G334+G362</f>
        <v>72910.100000000006</v>
      </c>
      <c r="H333" s="111">
        <f>H334+H362</f>
        <v>1225.3</v>
      </c>
      <c r="I333" s="111">
        <f>I334+I362</f>
        <v>74135.399999999994</v>
      </c>
      <c r="J333" s="114">
        <f t="shared" ref="G333:O334" si="74">J334</f>
        <v>11157.2</v>
      </c>
      <c r="K333" s="111">
        <f t="shared" si="74"/>
        <v>0</v>
      </c>
      <c r="L333" s="114">
        <f t="shared" si="74"/>
        <v>11157.2</v>
      </c>
      <c r="M333" s="111">
        <f>SUM(G333+J333)</f>
        <v>84067.3</v>
      </c>
      <c r="N333" s="111">
        <f>N334+N362</f>
        <v>1225.3</v>
      </c>
      <c r="O333" s="111">
        <f>O334+O362</f>
        <v>85292.599999999991</v>
      </c>
      <c r="P333" s="97">
        <f t="shared" si="62"/>
        <v>74135.400000000009</v>
      </c>
      <c r="Q333" s="97">
        <f t="shared" si="63"/>
        <v>0</v>
      </c>
    </row>
    <row r="334" spans="1:17" ht="15.75" x14ac:dyDescent="0.2">
      <c r="A334" s="40"/>
      <c r="B334" s="113" t="s">
        <v>356</v>
      </c>
      <c r="C334" s="113" t="s">
        <v>51</v>
      </c>
      <c r="D334" s="133" t="s">
        <v>355</v>
      </c>
      <c r="E334" s="133" t="s">
        <v>357</v>
      </c>
      <c r="F334" s="134" t="s">
        <v>11</v>
      </c>
      <c r="G334" s="111">
        <f t="shared" si="74"/>
        <v>69560.100000000006</v>
      </c>
      <c r="H334" s="111">
        <f t="shared" si="74"/>
        <v>1225.3</v>
      </c>
      <c r="I334" s="111">
        <f t="shared" si="74"/>
        <v>70785.399999999994</v>
      </c>
      <c r="J334" s="114">
        <f t="shared" si="74"/>
        <v>11157.2</v>
      </c>
      <c r="K334" s="111">
        <f>K335+K337+K339+K341+K343+K349</f>
        <v>0</v>
      </c>
      <c r="L334" s="114">
        <f t="shared" si="74"/>
        <v>11157.2</v>
      </c>
      <c r="M334" s="111">
        <f t="shared" si="74"/>
        <v>80717.299999999988</v>
      </c>
      <c r="N334" s="111">
        <f t="shared" si="74"/>
        <v>1225.3</v>
      </c>
      <c r="O334" s="111">
        <f t="shared" si="74"/>
        <v>81942.599999999991</v>
      </c>
      <c r="P334" s="97">
        <f t="shared" si="62"/>
        <v>70785.400000000009</v>
      </c>
      <c r="Q334" s="97">
        <f t="shared" si="63"/>
        <v>0</v>
      </c>
    </row>
    <row r="335" spans="1:17" ht="47.25" x14ac:dyDescent="0.2">
      <c r="A335" s="40"/>
      <c r="B335" s="113" t="s">
        <v>358</v>
      </c>
      <c r="C335" s="113" t="s">
        <v>51</v>
      </c>
      <c r="D335" s="133" t="s">
        <v>355</v>
      </c>
      <c r="E335" s="133" t="s">
        <v>359</v>
      </c>
      <c r="F335" s="134" t="s">
        <v>11</v>
      </c>
      <c r="G335" s="111">
        <f>G336+G338+G340+G342+G348+G350+G344+G360+G358+G356</f>
        <v>69560.100000000006</v>
      </c>
      <c r="H335" s="111">
        <f>H336+H338+H340+H342+H348+H350+H344+H360+H358+H356+H346</f>
        <v>1225.3</v>
      </c>
      <c r="I335" s="111">
        <f>I336+I338+I340+I342+I348+I350+I344+I360+I358+I356</f>
        <v>70785.399999999994</v>
      </c>
      <c r="J335" s="114">
        <f>J336+J338+J340+J342+J344+J346+J348+J350+J356+J358+J360</f>
        <v>11157.2</v>
      </c>
      <c r="K335" s="111">
        <f>SUM(K360)+K356+K358+K346</f>
        <v>0</v>
      </c>
      <c r="L335" s="114">
        <f>L336+L338+L340+L342+L344+L346+L348+L350+L356+L358+L360</f>
        <v>11157.2</v>
      </c>
      <c r="M335" s="114">
        <f t="shared" ref="M335:O335" si="75">M336+M338+M340+M342+M344+M346+M348+M350+M356+M358+M360</f>
        <v>80717.299999999988</v>
      </c>
      <c r="N335" s="114">
        <f>N336+N338+N340+N342+N344+N346+N348+N350+N356+N358+N360</f>
        <v>1225.3</v>
      </c>
      <c r="O335" s="114">
        <f t="shared" si="75"/>
        <v>81942.599999999991</v>
      </c>
      <c r="P335" s="97">
        <f t="shared" si="62"/>
        <v>70785.400000000009</v>
      </c>
      <c r="Q335" s="97">
        <f t="shared" si="63"/>
        <v>0</v>
      </c>
    </row>
    <row r="336" spans="1:17" ht="15.75" x14ac:dyDescent="0.2">
      <c r="A336" s="40"/>
      <c r="B336" s="113" t="s">
        <v>360</v>
      </c>
      <c r="C336" s="113" t="s">
        <v>51</v>
      </c>
      <c r="D336" s="133" t="s">
        <v>355</v>
      </c>
      <c r="E336" s="133" t="s">
        <v>361</v>
      </c>
      <c r="F336" s="134" t="s">
        <v>11</v>
      </c>
      <c r="G336" s="111">
        <f>G337</f>
        <v>26890.7</v>
      </c>
      <c r="H336" s="111">
        <f>H337</f>
        <v>0</v>
      </c>
      <c r="I336" s="111">
        <f>I337</f>
        <v>26890.7</v>
      </c>
      <c r="J336" s="114">
        <f>J337</f>
        <v>0</v>
      </c>
      <c r="K336" s="111"/>
      <c r="L336" s="114">
        <f>L337</f>
        <v>0</v>
      </c>
      <c r="M336" s="111">
        <f>M337</f>
        <v>26890.7</v>
      </c>
      <c r="N336" s="111">
        <f>N337</f>
        <v>0</v>
      </c>
      <c r="O336" s="111">
        <f>O337</f>
        <v>26890.7</v>
      </c>
      <c r="P336" s="97">
        <f t="shared" si="62"/>
        <v>26890.7</v>
      </c>
      <c r="Q336" s="97">
        <f t="shared" si="63"/>
        <v>0</v>
      </c>
    </row>
    <row r="337" spans="1:17" ht="31.5" x14ac:dyDescent="0.2">
      <c r="A337" s="40"/>
      <c r="B337" s="113" t="s">
        <v>40</v>
      </c>
      <c r="C337" s="113" t="s">
        <v>51</v>
      </c>
      <c r="D337" s="133" t="s">
        <v>355</v>
      </c>
      <c r="E337" s="133" t="s">
        <v>361</v>
      </c>
      <c r="F337" s="134" t="s">
        <v>41</v>
      </c>
      <c r="G337" s="111">
        <v>26890.7</v>
      </c>
      <c r="H337" s="111"/>
      <c r="I337" s="111">
        <f>SUM(G337)+H337</f>
        <v>26890.7</v>
      </c>
      <c r="J337" s="115"/>
      <c r="K337" s="111"/>
      <c r="L337" s="115"/>
      <c r="M337" s="111">
        <f>SUM(G337)</f>
        <v>26890.7</v>
      </c>
      <c r="N337" s="111">
        <f>SUM(H337)+K337</f>
        <v>0</v>
      </c>
      <c r="O337" s="111">
        <f>SUM(I337)</f>
        <v>26890.7</v>
      </c>
      <c r="P337" s="97">
        <f t="shared" si="62"/>
        <v>26890.7</v>
      </c>
      <c r="Q337" s="97">
        <f t="shared" si="63"/>
        <v>0</v>
      </c>
    </row>
    <row r="338" spans="1:17" ht="15.75" x14ac:dyDescent="0.2">
      <c r="A338" s="40"/>
      <c r="B338" s="113" t="s">
        <v>362</v>
      </c>
      <c r="C338" s="113" t="s">
        <v>51</v>
      </c>
      <c r="D338" s="133" t="s">
        <v>355</v>
      </c>
      <c r="E338" s="133" t="s">
        <v>363</v>
      </c>
      <c r="F338" s="134" t="s">
        <v>11</v>
      </c>
      <c r="G338" s="111">
        <f>G339</f>
        <v>16803.599999999999</v>
      </c>
      <c r="H338" s="111">
        <f>H339</f>
        <v>1225.3</v>
      </c>
      <c r="I338" s="111">
        <f>I339</f>
        <v>18028.899999999998</v>
      </c>
      <c r="J338" s="114">
        <f>J339</f>
        <v>75</v>
      </c>
      <c r="K338" s="111">
        <f>SUM(K339)</f>
        <v>0</v>
      </c>
      <c r="L338" s="114">
        <f>L339</f>
        <v>75</v>
      </c>
      <c r="M338" s="111">
        <f>M339</f>
        <v>16878.599999999999</v>
      </c>
      <c r="N338" s="111">
        <f>N339</f>
        <v>1225.3</v>
      </c>
      <c r="O338" s="111">
        <f>O339</f>
        <v>18103.899999999998</v>
      </c>
      <c r="P338" s="97">
        <f t="shared" si="62"/>
        <v>18028.899999999998</v>
      </c>
      <c r="Q338" s="97">
        <f t="shared" si="63"/>
        <v>0</v>
      </c>
    </row>
    <row r="339" spans="1:17" ht="31.5" x14ac:dyDescent="0.2">
      <c r="A339" s="40"/>
      <c r="B339" s="113" t="s">
        <v>40</v>
      </c>
      <c r="C339" s="113" t="s">
        <v>51</v>
      </c>
      <c r="D339" s="133" t="s">
        <v>355</v>
      </c>
      <c r="E339" s="133" t="s">
        <v>363</v>
      </c>
      <c r="F339" s="134" t="s">
        <v>41</v>
      </c>
      <c r="G339" s="111">
        <v>16803.599999999999</v>
      </c>
      <c r="H339" s="111">
        <v>1225.3</v>
      </c>
      <c r="I339" s="111">
        <f>SUM(G339)+H339</f>
        <v>18028.899999999998</v>
      </c>
      <c r="J339" s="115">
        <v>75</v>
      </c>
      <c r="K339" s="111"/>
      <c r="L339" s="111">
        <f>SUM(J339)</f>
        <v>75</v>
      </c>
      <c r="M339" s="111">
        <f>SUM(G339+J339)</f>
        <v>16878.599999999999</v>
      </c>
      <c r="N339" s="111">
        <f>SUM(H339)+K339</f>
        <v>1225.3</v>
      </c>
      <c r="O339" s="111">
        <f>SUM(I339+L339)</f>
        <v>18103.899999999998</v>
      </c>
      <c r="P339" s="97">
        <f t="shared" si="62"/>
        <v>18028.899999999998</v>
      </c>
      <c r="Q339" s="97">
        <f t="shared" si="63"/>
        <v>0</v>
      </c>
    </row>
    <row r="340" spans="1:17" ht="15.75" x14ac:dyDescent="0.2">
      <c r="A340" s="40"/>
      <c r="B340" s="113" t="s">
        <v>364</v>
      </c>
      <c r="C340" s="113" t="s">
        <v>51</v>
      </c>
      <c r="D340" s="133" t="s">
        <v>355</v>
      </c>
      <c r="E340" s="133" t="s">
        <v>365</v>
      </c>
      <c r="F340" s="134" t="s">
        <v>11</v>
      </c>
      <c r="G340" s="111">
        <f>G341</f>
        <v>3522.9</v>
      </c>
      <c r="H340" s="111">
        <f>H341</f>
        <v>0</v>
      </c>
      <c r="I340" s="111">
        <f>I341</f>
        <v>3522.9</v>
      </c>
      <c r="J340" s="114">
        <f>J341</f>
        <v>0</v>
      </c>
      <c r="K340" s="111"/>
      <c r="L340" s="114">
        <f>L341</f>
        <v>0</v>
      </c>
      <c r="M340" s="111">
        <f>M341</f>
        <v>3522.9</v>
      </c>
      <c r="N340" s="111">
        <f>N341</f>
        <v>0</v>
      </c>
      <c r="O340" s="111">
        <f>O341</f>
        <v>3522.9</v>
      </c>
      <c r="P340" s="97">
        <f t="shared" si="62"/>
        <v>3522.9</v>
      </c>
      <c r="Q340" s="97">
        <f t="shared" si="63"/>
        <v>0</v>
      </c>
    </row>
    <row r="341" spans="1:17" ht="31.5" x14ac:dyDescent="0.2">
      <c r="A341" s="40"/>
      <c r="B341" s="113" t="s">
        <v>40</v>
      </c>
      <c r="C341" s="113" t="s">
        <v>51</v>
      </c>
      <c r="D341" s="133" t="s">
        <v>355</v>
      </c>
      <c r="E341" s="133" t="s">
        <v>365</v>
      </c>
      <c r="F341" s="134" t="s">
        <v>41</v>
      </c>
      <c r="G341" s="111">
        <v>3522.9</v>
      </c>
      <c r="H341" s="111"/>
      <c r="I341" s="111">
        <f>G341+H341</f>
        <v>3522.9</v>
      </c>
      <c r="J341" s="115"/>
      <c r="K341" s="111"/>
      <c r="L341" s="115"/>
      <c r="M341" s="111">
        <f>SUM(G341)</f>
        <v>3522.9</v>
      </c>
      <c r="N341" s="111">
        <f>SUM(H341)</f>
        <v>0</v>
      </c>
      <c r="O341" s="111">
        <f>SUM(I341)</f>
        <v>3522.9</v>
      </c>
      <c r="P341" s="97">
        <f t="shared" si="62"/>
        <v>3522.9</v>
      </c>
      <c r="Q341" s="97">
        <f t="shared" si="63"/>
        <v>0</v>
      </c>
    </row>
    <row r="342" spans="1:17" ht="15.75" x14ac:dyDescent="0.2">
      <c r="A342" s="40"/>
      <c r="B342" s="113" t="s">
        <v>366</v>
      </c>
      <c r="C342" s="113" t="s">
        <v>51</v>
      </c>
      <c r="D342" s="133" t="s">
        <v>355</v>
      </c>
      <c r="E342" s="133" t="s">
        <v>367</v>
      </c>
      <c r="F342" s="134" t="s">
        <v>11</v>
      </c>
      <c r="G342" s="111">
        <f>G343</f>
        <v>3204</v>
      </c>
      <c r="H342" s="111">
        <f>H343</f>
        <v>0</v>
      </c>
      <c r="I342" s="111">
        <f>I343</f>
        <v>3204</v>
      </c>
      <c r="J342" s="114">
        <f>J343</f>
        <v>0</v>
      </c>
      <c r="K342" s="111"/>
      <c r="L342" s="114">
        <f>L343</f>
        <v>0</v>
      </c>
      <c r="M342" s="111">
        <f>M343</f>
        <v>3204</v>
      </c>
      <c r="N342" s="111">
        <f>N343</f>
        <v>0</v>
      </c>
      <c r="O342" s="111">
        <f>O343</f>
        <v>3204</v>
      </c>
      <c r="P342" s="97">
        <f t="shared" si="62"/>
        <v>3204</v>
      </c>
      <c r="Q342" s="97">
        <f t="shared" si="63"/>
        <v>0</v>
      </c>
    </row>
    <row r="343" spans="1:17" ht="31.5" x14ac:dyDescent="0.2">
      <c r="A343" s="40"/>
      <c r="B343" s="113" t="s">
        <v>40</v>
      </c>
      <c r="C343" s="113" t="s">
        <v>51</v>
      </c>
      <c r="D343" s="133" t="s">
        <v>355</v>
      </c>
      <c r="E343" s="133" t="s">
        <v>367</v>
      </c>
      <c r="F343" s="134" t="s">
        <v>41</v>
      </c>
      <c r="G343" s="111">
        <v>3204</v>
      </c>
      <c r="H343" s="111"/>
      <c r="I343" s="111">
        <f>SUM(G343)+H343</f>
        <v>3204</v>
      </c>
      <c r="J343" s="115"/>
      <c r="K343" s="111"/>
      <c r="L343" s="115"/>
      <c r="M343" s="111">
        <f t="shared" ref="M343:O345" si="76">SUM(G343)</f>
        <v>3204</v>
      </c>
      <c r="N343" s="111">
        <f t="shared" si="76"/>
        <v>0</v>
      </c>
      <c r="O343" s="111">
        <f t="shared" si="76"/>
        <v>3204</v>
      </c>
      <c r="P343" s="97">
        <f t="shared" si="62"/>
        <v>3204</v>
      </c>
      <c r="Q343" s="97">
        <f t="shared" si="63"/>
        <v>0</v>
      </c>
    </row>
    <row r="344" spans="1:17" ht="31.5" x14ac:dyDescent="0.2">
      <c r="A344" s="40"/>
      <c r="B344" s="135" t="s">
        <v>368</v>
      </c>
      <c r="C344" s="113">
        <v>992</v>
      </c>
      <c r="D344" s="133" t="s">
        <v>355</v>
      </c>
      <c r="E344" s="136" t="s">
        <v>369</v>
      </c>
      <c r="F344" s="134"/>
      <c r="G344" s="111">
        <v>583.6</v>
      </c>
      <c r="H344" s="111"/>
      <c r="I344" s="111">
        <f>SUM(G344)+H344</f>
        <v>583.6</v>
      </c>
      <c r="J344" s="115"/>
      <c r="K344" s="111"/>
      <c r="L344" s="115"/>
      <c r="M344" s="111">
        <f t="shared" si="76"/>
        <v>583.6</v>
      </c>
      <c r="N344" s="111">
        <f t="shared" si="76"/>
        <v>0</v>
      </c>
      <c r="O344" s="111">
        <f t="shared" si="76"/>
        <v>583.6</v>
      </c>
      <c r="P344" s="97">
        <f t="shared" si="62"/>
        <v>583.6</v>
      </c>
      <c r="Q344" s="97">
        <f t="shared" si="63"/>
        <v>0</v>
      </c>
    </row>
    <row r="345" spans="1:17" ht="31.5" x14ac:dyDescent="0.2">
      <c r="A345" s="40"/>
      <c r="B345" s="113" t="s">
        <v>40</v>
      </c>
      <c r="C345" s="113">
        <v>992</v>
      </c>
      <c r="D345" s="133" t="s">
        <v>355</v>
      </c>
      <c r="E345" s="136" t="s">
        <v>369</v>
      </c>
      <c r="F345" s="134">
        <v>200</v>
      </c>
      <c r="G345" s="111">
        <v>583.6</v>
      </c>
      <c r="H345" s="111"/>
      <c r="I345" s="111">
        <f>SUM(G345)+H345</f>
        <v>583.6</v>
      </c>
      <c r="J345" s="115"/>
      <c r="K345" s="111"/>
      <c r="L345" s="115"/>
      <c r="M345" s="111">
        <f t="shared" si="76"/>
        <v>583.6</v>
      </c>
      <c r="N345" s="111">
        <f t="shared" si="76"/>
        <v>0</v>
      </c>
      <c r="O345" s="111">
        <f t="shared" si="76"/>
        <v>583.6</v>
      </c>
      <c r="P345" s="97">
        <f t="shared" si="62"/>
        <v>583.6</v>
      </c>
      <c r="Q345" s="97">
        <f t="shared" si="63"/>
        <v>0</v>
      </c>
    </row>
    <row r="346" spans="1:17" ht="31.5" x14ac:dyDescent="0.2">
      <c r="A346" s="40"/>
      <c r="B346" s="118" t="s">
        <v>585</v>
      </c>
      <c r="C346" s="118" t="s">
        <v>51</v>
      </c>
      <c r="D346" s="136" t="s">
        <v>355</v>
      </c>
      <c r="E346" s="136" t="s">
        <v>584</v>
      </c>
      <c r="F346" s="141"/>
      <c r="G346" s="111"/>
      <c r="H346" s="111">
        <f t="shared" ref="H346:O346" si="77">H347</f>
        <v>0</v>
      </c>
      <c r="I346" s="111">
        <f t="shared" si="77"/>
        <v>0</v>
      </c>
      <c r="J346" s="115">
        <f t="shared" si="77"/>
        <v>3070</v>
      </c>
      <c r="K346" s="111">
        <f t="shared" si="77"/>
        <v>0</v>
      </c>
      <c r="L346" s="115">
        <f t="shared" si="77"/>
        <v>3070</v>
      </c>
      <c r="M346" s="111">
        <f t="shared" si="77"/>
        <v>3070</v>
      </c>
      <c r="N346" s="111">
        <f t="shared" si="77"/>
        <v>0</v>
      </c>
      <c r="O346" s="111">
        <f t="shared" si="77"/>
        <v>3070</v>
      </c>
      <c r="P346" s="97">
        <f t="shared" si="62"/>
        <v>0</v>
      </c>
      <c r="Q346" s="97">
        <f t="shared" si="63"/>
        <v>0</v>
      </c>
    </row>
    <row r="347" spans="1:17" ht="31.5" x14ac:dyDescent="0.2">
      <c r="A347" s="40"/>
      <c r="B347" s="113" t="s">
        <v>40</v>
      </c>
      <c r="C347" s="118" t="s">
        <v>51</v>
      </c>
      <c r="D347" s="136" t="s">
        <v>355</v>
      </c>
      <c r="E347" s="136" t="s">
        <v>584</v>
      </c>
      <c r="F347" s="141" t="s">
        <v>41</v>
      </c>
      <c r="G347" s="111"/>
      <c r="H347" s="111"/>
      <c r="I347" s="111">
        <f>SUM(G347:H347)</f>
        <v>0</v>
      </c>
      <c r="J347" s="115">
        <v>3070</v>
      </c>
      <c r="K347" s="111"/>
      <c r="L347" s="115">
        <f>SUM(J347:K347)</f>
        <v>3070</v>
      </c>
      <c r="M347" s="111">
        <f>G347+J347</f>
        <v>3070</v>
      </c>
      <c r="N347" s="111">
        <f>H347+K347</f>
        <v>0</v>
      </c>
      <c r="O347" s="111">
        <f>I347+L347</f>
        <v>3070</v>
      </c>
      <c r="P347" s="97">
        <f t="shared" si="62"/>
        <v>0</v>
      </c>
      <c r="Q347" s="97">
        <f t="shared" si="63"/>
        <v>0</v>
      </c>
    </row>
    <row r="348" spans="1:17" ht="31.5" x14ac:dyDescent="0.2">
      <c r="A348" s="40"/>
      <c r="B348" s="113" t="s">
        <v>370</v>
      </c>
      <c r="C348" s="113" t="s">
        <v>51</v>
      </c>
      <c r="D348" s="133" t="s">
        <v>355</v>
      </c>
      <c r="E348" s="133" t="s">
        <v>371</v>
      </c>
      <c r="F348" s="134" t="s">
        <v>11</v>
      </c>
      <c r="G348" s="111">
        <f>G349</f>
        <v>6053.5</v>
      </c>
      <c r="H348" s="111">
        <f>SUM(H349)</f>
        <v>0</v>
      </c>
      <c r="I348" s="111">
        <f>I349</f>
        <v>6053.5</v>
      </c>
      <c r="J348" s="114">
        <f>J349</f>
        <v>0</v>
      </c>
      <c r="K348" s="111"/>
      <c r="L348" s="114">
        <f>L349</f>
        <v>0</v>
      </c>
      <c r="M348" s="111">
        <f>M349</f>
        <v>6053.5</v>
      </c>
      <c r="N348" s="111">
        <f>N349</f>
        <v>0</v>
      </c>
      <c r="O348" s="111">
        <f>O349</f>
        <v>6053.5</v>
      </c>
      <c r="P348" s="97">
        <f t="shared" si="62"/>
        <v>6053.5</v>
      </c>
      <c r="Q348" s="97">
        <f t="shared" si="63"/>
        <v>0</v>
      </c>
    </row>
    <row r="349" spans="1:17" ht="31.5" x14ac:dyDescent="0.2">
      <c r="A349" s="40"/>
      <c r="B349" s="113" t="s">
        <v>40</v>
      </c>
      <c r="C349" s="113" t="s">
        <v>51</v>
      </c>
      <c r="D349" s="133" t="s">
        <v>355</v>
      </c>
      <c r="E349" s="133" t="s">
        <v>371</v>
      </c>
      <c r="F349" s="134" t="s">
        <v>41</v>
      </c>
      <c r="G349" s="111">
        <v>6053.5</v>
      </c>
      <c r="H349" s="111"/>
      <c r="I349" s="111">
        <f>H349+G349</f>
        <v>6053.5</v>
      </c>
      <c r="J349" s="115"/>
      <c r="K349" s="111"/>
      <c r="L349" s="115"/>
      <c r="M349" s="111">
        <f>SUM(G349)</f>
        <v>6053.5</v>
      </c>
      <c r="N349" s="111">
        <f>SUM(H349)</f>
        <v>0</v>
      </c>
      <c r="O349" s="111">
        <f>SUM(I349)</f>
        <v>6053.5</v>
      </c>
      <c r="P349" s="97">
        <f t="shared" si="62"/>
        <v>6053.5</v>
      </c>
      <c r="Q349" s="97">
        <f t="shared" si="63"/>
        <v>0</v>
      </c>
    </row>
    <row r="350" spans="1:17" ht="47.25" x14ac:dyDescent="0.2">
      <c r="A350" s="40"/>
      <c r="B350" s="113" t="s">
        <v>372</v>
      </c>
      <c r="C350" s="113" t="s">
        <v>51</v>
      </c>
      <c r="D350" s="133" t="s">
        <v>355</v>
      </c>
      <c r="E350" s="133" t="s">
        <v>373</v>
      </c>
      <c r="F350" s="134" t="s">
        <v>11</v>
      </c>
      <c r="G350" s="111">
        <f>G351</f>
        <v>12435.4</v>
      </c>
      <c r="H350" s="111">
        <f>SUM(H351)</f>
        <v>0</v>
      </c>
      <c r="I350" s="111">
        <f>I351</f>
        <v>12435.4</v>
      </c>
      <c r="J350" s="114">
        <f>J351</f>
        <v>0</v>
      </c>
      <c r="K350" s="111">
        <f>SUM(K351)</f>
        <v>0</v>
      </c>
      <c r="L350" s="114">
        <f>L351</f>
        <v>0</v>
      </c>
      <c r="M350" s="111">
        <f>M351</f>
        <v>12435.4</v>
      </c>
      <c r="N350" s="111">
        <f>N351</f>
        <v>0</v>
      </c>
      <c r="O350" s="111">
        <f>SUM(M350+N350)</f>
        <v>12435.4</v>
      </c>
      <c r="P350" s="97">
        <f t="shared" si="62"/>
        <v>12435.4</v>
      </c>
      <c r="Q350" s="97">
        <f t="shared" si="63"/>
        <v>0</v>
      </c>
    </row>
    <row r="351" spans="1:17" ht="35.25" customHeight="1" x14ac:dyDescent="0.2">
      <c r="A351" s="40"/>
      <c r="B351" s="113" t="s">
        <v>40</v>
      </c>
      <c r="C351" s="113" t="s">
        <v>51</v>
      </c>
      <c r="D351" s="133" t="s">
        <v>355</v>
      </c>
      <c r="E351" s="133" t="s">
        <v>373</v>
      </c>
      <c r="F351" s="134" t="s">
        <v>41</v>
      </c>
      <c r="G351" s="111">
        <v>12435.4</v>
      </c>
      <c r="H351" s="111"/>
      <c r="I351" s="111">
        <f>SUM(G351)+H351</f>
        <v>12435.4</v>
      </c>
      <c r="J351" s="115">
        <v>0</v>
      </c>
      <c r="K351" s="111"/>
      <c r="L351" s="115">
        <f>SUM(K351)</f>
        <v>0</v>
      </c>
      <c r="M351" s="111">
        <f>SUM(G351)</f>
        <v>12435.4</v>
      </c>
      <c r="N351" s="111">
        <f>SUM(H351)</f>
        <v>0</v>
      </c>
      <c r="O351" s="111">
        <f>SUM(I351)</f>
        <v>12435.4</v>
      </c>
      <c r="P351" s="97">
        <f t="shared" si="62"/>
        <v>12435.4</v>
      </c>
      <c r="Q351" s="97">
        <f t="shared" si="63"/>
        <v>0</v>
      </c>
    </row>
    <row r="352" spans="1:17" ht="15.75" hidden="1" x14ac:dyDescent="0.2">
      <c r="A352" s="40"/>
      <c r="B352" s="113"/>
      <c r="C352" s="113"/>
      <c r="D352" s="133"/>
      <c r="E352" s="133"/>
      <c r="F352" s="134"/>
      <c r="G352" s="111"/>
      <c r="H352" s="111"/>
      <c r="I352" s="111"/>
      <c r="J352" s="115"/>
      <c r="K352" s="111">
        <v>4251.8</v>
      </c>
      <c r="L352" s="121">
        <f>SUM(K352)</f>
        <v>4251.8</v>
      </c>
      <c r="M352" s="111"/>
      <c r="N352" s="111">
        <f t="shared" ref="N352:O355" si="78">SUM(K352)</f>
        <v>4251.8</v>
      </c>
      <c r="O352" s="111">
        <f t="shared" si="78"/>
        <v>4251.8</v>
      </c>
      <c r="P352" s="97">
        <f t="shared" si="62"/>
        <v>0</v>
      </c>
      <c r="Q352" s="97">
        <f t="shared" si="63"/>
        <v>0</v>
      </c>
    </row>
    <row r="353" spans="1:17" ht="15.75" hidden="1" x14ac:dyDescent="0.2">
      <c r="A353" s="40"/>
      <c r="B353" s="113"/>
      <c r="C353" s="113"/>
      <c r="D353" s="133"/>
      <c r="E353" s="133"/>
      <c r="F353" s="134">
        <v>200</v>
      </c>
      <c r="G353" s="111"/>
      <c r="H353" s="111"/>
      <c r="I353" s="111"/>
      <c r="J353" s="115"/>
      <c r="K353" s="111">
        <v>4251.8</v>
      </c>
      <c r="L353" s="121">
        <f>SUM(K353)</f>
        <v>4251.8</v>
      </c>
      <c r="M353" s="111"/>
      <c r="N353" s="111">
        <f t="shared" si="78"/>
        <v>4251.8</v>
      </c>
      <c r="O353" s="111">
        <f t="shared" si="78"/>
        <v>4251.8</v>
      </c>
      <c r="P353" s="97">
        <f t="shared" si="62"/>
        <v>0</v>
      </c>
      <c r="Q353" s="97">
        <f t="shared" si="63"/>
        <v>0</v>
      </c>
    </row>
    <row r="354" spans="1:17" ht="15.75" hidden="1" x14ac:dyDescent="0.2">
      <c r="A354" s="40"/>
      <c r="B354" s="113"/>
      <c r="C354" s="113"/>
      <c r="D354" s="133"/>
      <c r="E354" s="133"/>
      <c r="F354" s="134"/>
      <c r="G354" s="111"/>
      <c r="H354" s="111"/>
      <c r="I354" s="111"/>
      <c r="J354" s="115"/>
      <c r="K354" s="111">
        <v>5</v>
      </c>
      <c r="L354" s="121">
        <f>SUM(K354)</f>
        <v>5</v>
      </c>
      <c r="M354" s="111"/>
      <c r="N354" s="111">
        <f t="shared" si="78"/>
        <v>5</v>
      </c>
      <c r="O354" s="111">
        <f t="shared" si="78"/>
        <v>5</v>
      </c>
      <c r="P354" s="97">
        <f t="shared" si="62"/>
        <v>0</v>
      </c>
      <c r="Q354" s="97">
        <f t="shared" si="63"/>
        <v>0</v>
      </c>
    </row>
    <row r="355" spans="1:17" ht="15.75" hidden="1" x14ac:dyDescent="0.2">
      <c r="A355" s="40"/>
      <c r="B355" s="113"/>
      <c r="C355" s="113"/>
      <c r="D355" s="133"/>
      <c r="E355" s="133"/>
      <c r="F355" s="134">
        <v>200</v>
      </c>
      <c r="G355" s="111"/>
      <c r="H355" s="111"/>
      <c r="I355" s="111"/>
      <c r="J355" s="115"/>
      <c r="K355" s="111">
        <v>5</v>
      </c>
      <c r="L355" s="121">
        <f>SUM(K355)</f>
        <v>5</v>
      </c>
      <c r="M355" s="111"/>
      <c r="N355" s="111">
        <f t="shared" si="78"/>
        <v>5</v>
      </c>
      <c r="O355" s="111">
        <f t="shared" si="78"/>
        <v>5</v>
      </c>
      <c r="P355" s="97">
        <f t="shared" ref="P355:P418" si="79">G355+H355</f>
        <v>0</v>
      </c>
      <c r="Q355" s="97">
        <f t="shared" ref="Q355:Q418" si="80">I355-P355</f>
        <v>0</v>
      </c>
    </row>
    <row r="356" spans="1:17" ht="63" x14ac:dyDescent="0.2">
      <c r="A356" s="40"/>
      <c r="B356" s="135" t="s">
        <v>572</v>
      </c>
      <c r="C356" s="113">
        <v>992</v>
      </c>
      <c r="D356" s="133" t="s">
        <v>355</v>
      </c>
      <c r="E356" s="136" t="s">
        <v>573</v>
      </c>
      <c r="F356" s="134"/>
      <c r="G356" s="111">
        <v>0</v>
      </c>
      <c r="H356" s="111">
        <f>SUM(H357)</f>
        <v>0</v>
      </c>
      <c r="I356" s="111">
        <f>SUM(G356)</f>
        <v>0</v>
      </c>
      <c r="J356" s="115">
        <v>2500.4</v>
      </c>
      <c r="K356" s="111"/>
      <c r="L356" s="111">
        <f>SUM(L357)</f>
        <v>2500.4</v>
      </c>
      <c r="M356" s="111">
        <f>SUM(G356+J356)</f>
        <v>2500.4</v>
      </c>
      <c r="N356" s="111">
        <f t="shared" ref="N356:O359" si="81">SUM(K356)+H356</f>
        <v>0</v>
      </c>
      <c r="O356" s="111">
        <f t="shared" si="81"/>
        <v>2500.4</v>
      </c>
      <c r="P356" s="97">
        <f t="shared" si="79"/>
        <v>0</v>
      </c>
      <c r="Q356" s="97">
        <f t="shared" si="80"/>
        <v>0</v>
      </c>
    </row>
    <row r="357" spans="1:17" ht="31.5" x14ac:dyDescent="0.2">
      <c r="A357" s="40"/>
      <c r="B357" s="113" t="s">
        <v>40</v>
      </c>
      <c r="C357" s="113">
        <v>992</v>
      </c>
      <c r="D357" s="133" t="s">
        <v>355</v>
      </c>
      <c r="E357" s="136" t="s">
        <v>573</v>
      </c>
      <c r="F357" s="134">
        <v>200</v>
      </c>
      <c r="G357" s="111">
        <v>0</v>
      </c>
      <c r="H357" s="111"/>
      <c r="I357" s="111">
        <f>SUM(G357)</f>
        <v>0</v>
      </c>
      <c r="J357" s="115">
        <v>2500.4</v>
      </c>
      <c r="K357" s="111"/>
      <c r="L357" s="115">
        <v>2500.4</v>
      </c>
      <c r="M357" s="111">
        <f>SUM(G357+J357)</f>
        <v>2500.4</v>
      </c>
      <c r="N357" s="111">
        <f t="shared" si="81"/>
        <v>0</v>
      </c>
      <c r="O357" s="111">
        <f t="shared" si="81"/>
        <v>2500.4</v>
      </c>
      <c r="P357" s="97">
        <f t="shared" si="79"/>
        <v>0</v>
      </c>
      <c r="Q357" s="97">
        <f t="shared" si="80"/>
        <v>0</v>
      </c>
    </row>
    <row r="358" spans="1:17" ht="31.5" x14ac:dyDescent="0.2">
      <c r="A358" s="40"/>
      <c r="B358" s="113" t="s">
        <v>575</v>
      </c>
      <c r="C358" s="113">
        <v>992</v>
      </c>
      <c r="D358" s="133" t="s">
        <v>355</v>
      </c>
      <c r="E358" s="136" t="s">
        <v>574</v>
      </c>
      <c r="F358" s="134"/>
      <c r="G358" s="111"/>
      <c r="H358" s="111"/>
      <c r="I358" s="111">
        <f>SUM(H358)</f>
        <v>0</v>
      </c>
      <c r="J358" s="115">
        <v>4251.8</v>
      </c>
      <c r="K358" s="111"/>
      <c r="L358" s="121">
        <f>SUM(J358)</f>
        <v>4251.8</v>
      </c>
      <c r="M358" s="111">
        <f>SUM(J358)</f>
        <v>4251.8</v>
      </c>
      <c r="N358" s="111">
        <f t="shared" si="81"/>
        <v>0</v>
      </c>
      <c r="O358" s="111">
        <f t="shared" si="81"/>
        <v>4251.8</v>
      </c>
      <c r="P358" s="97">
        <f t="shared" si="79"/>
        <v>0</v>
      </c>
      <c r="Q358" s="97">
        <f t="shared" si="80"/>
        <v>0</v>
      </c>
    </row>
    <row r="359" spans="1:17" ht="31.5" x14ac:dyDescent="0.2">
      <c r="A359" s="40"/>
      <c r="B359" s="113" t="s">
        <v>40</v>
      </c>
      <c r="C359" s="113">
        <v>992</v>
      </c>
      <c r="D359" s="133" t="s">
        <v>355</v>
      </c>
      <c r="E359" s="136" t="s">
        <v>574</v>
      </c>
      <c r="F359" s="134">
        <v>200</v>
      </c>
      <c r="G359" s="111"/>
      <c r="H359" s="111"/>
      <c r="I359" s="111">
        <f>SUM(H359)</f>
        <v>0</v>
      </c>
      <c r="J359" s="115">
        <v>4251.8</v>
      </c>
      <c r="K359" s="111"/>
      <c r="L359" s="121">
        <f>SUM(J359)</f>
        <v>4251.8</v>
      </c>
      <c r="M359" s="111">
        <f>SUM(J359)</f>
        <v>4251.8</v>
      </c>
      <c r="N359" s="111">
        <f t="shared" si="81"/>
        <v>0</v>
      </c>
      <c r="O359" s="111">
        <f t="shared" si="81"/>
        <v>4251.8</v>
      </c>
      <c r="P359" s="97">
        <f t="shared" si="79"/>
        <v>0</v>
      </c>
      <c r="Q359" s="97">
        <f t="shared" si="80"/>
        <v>0</v>
      </c>
    </row>
    <row r="360" spans="1:17" ht="126" customHeight="1" x14ac:dyDescent="0.2">
      <c r="A360" s="40"/>
      <c r="B360" s="135" t="s">
        <v>598</v>
      </c>
      <c r="C360" s="113">
        <v>992</v>
      </c>
      <c r="D360" s="136" t="s">
        <v>355</v>
      </c>
      <c r="E360" s="133" t="s">
        <v>550</v>
      </c>
      <c r="F360" s="134"/>
      <c r="G360" s="111">
        <f>SUM(G361)</f>
        <v>66.400000000000006</v>
      </c>
      <c r="H360" s="111">
        <f>SUM(H361)</f>
        <v>0</v>
      </c>
      <c r="I360" s="111">
        <f>SUM(G360)</f>
        <v>66.400000000000006</v>
      </c>
      <c r="J360" s="115">
        <f>SUM(J361)</f>
        <v>1260</v>
      </c>
      <c r="K360" s="111">
        <f>SUM(K361)</f>
        <v>0</v>
      </c>
      <c r="L360" s="111">
        <f>SUM(L361)</f>
        <v>1260</v>
      </c>
      <c r="M360" s="111">
        <f t="shared" ref="M360:O361" si="82">SUM(G360+J360)</f>
        <v>1326.4</v>
      </c>
      <c r="N360" s="111">
        <f t="shared" si="82"/>
        <v>0</v>
      </c>
      <c r="O360" s="111">
        <f t="shared" si="82"/>
        <v>1326.4</v>
      </c>
      <c r="P360" s="97">
        <f t="shared" si="79"/>
        <v>66.400000000000006</v>
      </c>
      <c r="Q360" s="97">
        <f t="shared" si="80"/>
        <v>0</v>
      </c>
    </row>
    <row r="361" spans="1:17" ht="31.5" x14ac:dyDescent="0.2">
      <c r="A361" s="40"/>
      <c r="B361" s="113" t="s">
        <v>40</v>
      </c>
      <c r="C361" s="113">
        <v>992</v>
      </c>
      <c r="D361" s="133" t="s">
        <v>355</v>
      </c>
      <c r="E361" s="133" t="s">
        <v>550</v>
      </c>
      <c r="F361" s="134">
        <v>200</v>
      </c>
      <c r="G361" s="111">
        <v>66.400000000000006</v>
      </c>
      <c r="H361" s="111">
        <f>SUM(H364)</f>
        <v>0</v>
      </c>
      <c r="I361" s="111">
        <f>SUM(G361)</f>
        <v>66.400000000000006</v>
      </c>
      <c r="J361" s="115">
        <v>1260</v>
      </c>
      <c r="K361" s="111"/>
      <c r="L361" s="115">
        <f>SUM(J361)</f>
        <v>1260</v>
      </c>
      <c r="M361" s="111">
        <f t="shared" si="82"/>
        <v>1326.4</v>
      </c>
      <c r="N361" s="111">
        <f t="shared" si="82"/>
        <v>0</v>
      </c>
      <c r="O361" s="111">
        <f t="shared" si="82"/>
        <v>1326.4</v>
      </c>
      <c r="P361" s="97">
        <f t="shared" si="79"/>
        <v>66.400000000000006</v>
      </c>
      <c r="Q361" s="97">
        <f t="shared" si="80"/>
        <v>0</v>
      </c>
    </row>
    <row r="362" spans="1:17" ht="15.75" x14ac:dyDescent="0.2">
      <c r="A362" s="40"/>
      <c r="B362" s="140" t="s">
        <v>247</v>
      </c>
      <c r="C362" s="113">
        <v>992</v>
      </c>
      <c r="D362" s="133" t="s">
        <v>355</v>
      </c>
      <c r="E362" s="136" t="s">
        <v>248</v>
      </c>
      <c r="F362" s="134"/>
      <c r="G362" s="111">
        <f>SUM(G365)</f>
        <v>3350</v>
      </c>
      <c r="H362" s="111">
        <f>SUM(H363)</f>
        <v>0</v>
      </c>
      <c r="I362" s="111">
        <f>SUM(I365)</f>
        <v>3350</v>
      </c>
      <c r="J362" s="115"/>
      <c r="K362" s="111"/>
      <c r="L362" s="115"/>
      <c r="M362" s="111">
        <f t="shared" ref="M362:O363" si="83">SUM(G362)</f>
        <v>3350</v>
      </c>
      <c r="N362" s="111">
        <f t="shared" si="83"/>
        <v>0</v>
      </c>
      <c r="O362" s="111">
        <f t="shared" si="83"/>
        <v>3350</v>
      </c>
      <c r="P362" s="97">
        <f t="shared" si="79"/>
        <v>3350</v>
      </c>
      <c r="Q362" s="97">
        <f t="shared" si="80"/>
        <v>0</v>
      </c>
    </row>
    <row r="363" spans="1:17" ht="63" x14ac:dyDescent="0.2">
      <c r="A363" s="40"/>
      <c r="B363" s="140" t="s">
        <v>569</v>
      </c>
      <c r="C363" s="113">
        <v>992</v>
      </c>
      <c r="D363" s="133" t="s">
        <v>355</v>
      </c>
      <c r="E363" s="136" t="s">
        <v>567</v>
      </c>
      <c r="F363" s="134"/>
      <c r="G363" s="111">
        <f>SUM(G365)</f>
        <v>3350</v>
      </c>
      <c r="H363" s="111">
        <f>SUM(H365)</f>
        <v>0</v>
      </c>
      <c r="I363" s="111">
        <f>SUM(I365)</f>
        <v>3350</v>
      </c>
      <c r="J363" s="115"/>
      <c r="K363" s="111"/>
      <c r="L363" s="115"/>
      <c r="M363" s="111">
        <f t="shared" si="83"/>
        <v>3350</v>
      </c>
      <c r="N363" s="111">
        <f t="shared" si="83"/>
        <v>0</v>
      </c>
      <c r="O363" s="111">
        <f t="shared" si="83"/>
        <v>3350</v>
      </c>
      <c r="P363" s="97">
        <f t="shared" si="79"/>
        <v>3350</v>
      </c>
      <c r="Q363" s="97">
        <f t="shared" si="80"/>
        <v>0</v>
      </c>
    </row>
    <row r="364" spans="1:17" ht="0.75" customHeight="1" x14ac:dyDescent="0.2">
      <c r="A364" s="40"/>
      <c r="B364" s="140"/>
      <c r="C364" s="113"/>
      <c r="D364" s="133"/>
      <c r="E364" s="136"/>
      <c r="F364" s="134"/>
      <c r="G364" s="111"/>
      <c r="H364" s="111"/>
      <c r="I364" s="111"/>
      <c r="J364" s="115"/>
      <c r="K364" s="111"/>
      <c r="L364" s="115"/>
      <c r="M364" s="111"/>
      <c r="N364" s="111"/>
      <c r="O364" s="111"/>
      <c r="P364" s="97">
        <f t="shared" si="79"/>
        <v>0</v>
      </c>
      <c r="Q364" s="97">
        <f t="shared" si="80"/>
        <v>0</v>
      </c>
    </row>
    <row r="365" spans="1:17" ht="47.25" x14ac:dyDescent="0.2">
      <c r="A365" s="40"/>
      <c r="B365" s="96" t="s">
        <v>570</v>
      </c>
      <c r="C365" s="113">
        <v>992</v>
      </c>
      <c r="D365" s="133" t="s">
        <v>355</v>
      </c>
      <c r="E365" s="136" t="s">
        <v>568</v>
      </c>
      <c r="F365" s="134"/>
      <c r="G365" s="111">
        <f>SUM(G366)</f>
        <v>3350</v>
      </c>
      <c r="H365" s="111">
        <f>SUM(H366)</f>
        <v>0</v>
      </c>
      <c r="I365" s="111">
        <f>SUM(G365)+H365</f>
        <v>3350</v>
      </c>
      <c r="J365" s="115"/>
      <c r="K365" s="111"/>
      <c r="L365" s="115"/>
      <c r="M365" s="111">
        <f t="shared" ref="M365:O366" si="84">SUM(G365)</f>
        <v>3350</v>
      </c>
      <c r="N365" s="111">
        <f t="shared" si="84"/>
        <v>0</v>
      </c>
      <c r="O365" s="111">
        <f t="shared" si="84"/>
        <v>3350</v>
      </c>
      <c r="P365" s="97">
        <f t="shared" si="79"/>
        <v>3350</v>
      </c>
      <c r="Q365" s="97">
        <f t="shared" si="80"/>
        <v>0</v>
      </c>
    </row>
    <row r="366" spans="1:17" ht="27" customHeight="1" x14ac:dyDescent="0.2">
      <c r="A366" s="40"/>
      <c r="B366" s="113" t="s">
        <v>70</v>
      </c>
      <c r="C366" s="113">
        <v>992</v>
      </c>
      <c r="D366" s="133" t="s">
        <v>355</v>
      </c>
      <c r="E366" s="136" t="s">
        <v>568</v>
      </c>
      <c r="F366" s="134">
        <v>800</v>
      </c>
      <c r="G366" s="111">
        <v>3350</v>
      </c>
      <c r="H366" s="111"/>
      <c r="I366" s="111">
        <f>SUM(G366)+H366</f>
        <v>3350</v>
      </c>
      <c r="J366" s="115"/>
      <c r="K366" s="111"/>
      <c r="L366" s="115"/>
      <c r="M366" s="111">
        <f t="shared" si="84"/>
        <v>3350</v>
      </c>
      <c r="N366" s="111">
        <f t="shared" si="84"/>
        <v>0</v>
      </c>
      <c r="O366" s="111">
        <f t="shared" si="84"/>
        <v>3350</v>
      </c>
      <c r="P366" s="97">
        <f t="shared" si="79"/>
        <v>3350</v>
      </c>
      <c r="Q366" s="97">
        <f t="shared" si="80"/>
        <v>0</v>
      </c>
    </row>
    <row r="367" spans="1:17" ht="27" customHeight="1" x14ac:dyDescent="0.2">
      <c r="A367" s="40"/>
      <c r="B367" s="118" t="s">
        <v>218</v>
      </c>
      <c r="C367" s="118" t="s">
        <v>51</v>
      </c>
      <c r="D367" s="136" t="s">
        <v>355</v>
      </c>
      <c r="E367" s="136" t="s">
        <v>219</v>
      </c>
      <c r="F367" s="141"/>
      <c r="G367" s="114">
        <f>G368</f>
        <v>3623</v>
      </c>
      <c r="H367" s="114">
        <f t="shared" ref="H367:O367" si="85">H368</f>
        <v>0</v>
      </c>
      <c r="I367" s="114">
        <f t="shared" si="85"/>
        <v>3623</v>
      </c>
      <c r="J367" s="114">
        <f t="shared" si="85"/>
        <v>3300</v>
      </c>
      <c r="K367" s="114">
        <f t="shared" si="85"/>
        <v>0</v>
      </c>
      <c r="L367" s="114">
        <f t="shared" si="85"/>
        <v>3300</v>
      </c>
      <c r="M367" s="114">
        <f t="shared" si="85"/>
        <v>6923</v>
      </c>
      <c r="N367" s="114">
        <f t="shared" si="85"/>
        <v>0</v>
      </c>
      <c r="O367" s="114">
        <f t="shared" si="85"/>
        <v>6923</v>
      </c>
      <c r="P367" s="97">
        <f t="shared" si="79"/>
        <v>3623</v>
      </c>
      <c r="Q367" s="97">
        <f t="shared" si="80"/>
        <v>0</v>
      </c>
    </row>
    <row r="368" spans="1:17" ht="15.75" x14ac:dyDescent="0.2">
      <c r="A368" s="40"/>
      <c r="B368" s="135" t="s">
        <v>374</v>
      </c>
      <c r="C368" s="113">
        <v>992</v>
      </c>
      <c r="D368" s="133" t="s">
        <v>355</v>
      </c>
      <c r="E368" s="136" t="s">
        <v>375</v>
      </c>
      <c r="F368" s="134"/>
      <c r="G368" s="111">
        <f t="shared" ref="G368:O370" si="86">G369</f>
        <v>3623</v>
      </c>
      <c r="H368" s="111">
        <f t="shared" si="86"/>
        <v>0</v>
      </c>
      <c r="I368" s="111">
        <f t="shared" si="86"/>
        <v>3623</v>
      </c>
      <c r="J368" s="115">
        <f t="shared" si="86"/>
        <v>3300</v>
      </c>
      <c r="K368" s="111">
        <f t="shared" si="86"/>
        <v>0</v>
      </c>
      <c r="L368" s="115">
        <f t="shared" si="86"/>
        <v>3300</v>
      </c>
      <c r="M368" s="111">
        <f t="shared" si="86"/>
        <v>6923</v>
      </c>
      <c r="N368" s="111">
        <f t="shared" si="86"/>
        <v>0</v>
      </c>
      <c r="O368" s="111">
        <f t="shared" si="86"/>
        <v>6923</v>
      </c>
      <c r="P368" s="97">
        <f t="shared" si="79"/>
        <v>3623</v>
      </c>
      <c r="Q368" s="97">
        <f t="shared" si="80"/>
        <v>0</v>
      </c>
    </row>
    <row r="369" spans="1:17" ht="31.5" x14ac:dyDescent="0.2">
      <c r="A369" s="40"/>
      <c r="B369" s="135" t="s">
        <v>376</v>
      </c>
      <c r="C369" s="113">
        <v>992</v>
      </c>
      <c r="D369" s="133" t="s">
        <v>355</v>
      </c>
      <c r="E369" s="136" t="s">
        <v>377</v>
      </c>
      <c r="F369" s="134"/>
      <c r="G369" s="111">
        <f t="shared" ref="G369:M369" si="87">G370+G372</f>
        <v>3623</v>
      </c>
      <c r="H369" s="111">
        <f t="shared" si="87"/>
        <v>0</v>
      </c>
      <c r="I369" s="111">
        <f t="shared" si="87"/>
        <v>3623</v>
      </c>
      <c r="J369" s="115">
        <f t="shared" si="87"/>
        <v>3300</v>
      </c>
      <c r="K369" s="111">
        <f t="shared" si="87"/>
        <v>0</v>
      </c>
      <c r="L369" s="115">
        <f t="shared" si="87"/>
        <v>3300</v>
      </c>
      <c r="M369" s="111">
        <f t="shared" si="87"/>
        <v>6923</v>
      </c>
      <c r="N369" s="111">
        <f>SUM(H369)+K369</f>
        <v>0</v>
      </c>
      <c r="O369" s="111">
        <f>O370+O372</f>
        <v>6923</v>
      </c>
      <c r="P369" s="97">
        <f t="shared" si="79"/>
        <v>3623</v>
      </c>
      <c r="Q369" s="97">
        <f t="shared" si="80"/>
        <v>0</v>
      </c>
    </row>
    <row r="370" spans="1:17" ht="15.75" x14ac:dyDescent="0.2">
      <c r="A370" s="40"/>
      <c r="B370" s="135" t="s">
        <v>378</v>
      </c>
      <c r="C370" s="113">
        <v>992</v>
      </c>
      <c r="D370" s="133" t="s">
        <v>355</v>
      </c>
      <c r="E370" s="136" t="s">
        <v>379</v>
      </c>
      <c r="F370" s="134"/>
      <c r="G370" s="111">
        <f t="shared" si="86"/>
        <v>2059</v>
      </c>
      <c r="H370" s="111">
        <f t="shared" si="86"/>
        <v>0</v>
      </c>
      <c r="I370" s="111">
        <f t="shared" si="86"/>
        <v>2059</v>
      </c>
      <c r="J370" s="115">
        <f t="shared" si="86"/>
        <v>0</v>
      </c>
      <c r="K370" s="111"/>
      <c r="L370" s="115">
        <f t="shared" si="86"/>
        <v>0</v>
      </c>
      <c r="M370" s="111">
        <f t="shared" si="86"/>
        <v>2059</v>
      </c>
      <c r="N370" s="111">
        <f t="shared" si="86"/>
        <v>0</v>
      </c>
      <c r="O370" s="111">
        <f t="shared" si="86"/>
        <v>2059</v>
      </c>
      <c r="P370" s="97">
        <f t="shared" si="79"/>
        <v>2059</v>
      </c>
      <c r="Q370" s="97">
        <f t="shared" si="80"/>
        <v>0</v>
      </c>
    </row>
    <row r="371" spans="1:17" ht="31.5" x14ac:dyDescent="0.2">
      <c r="A371" s="40"/>
      <c r="B371" s="113" t="s">
        <v>40</v>
      </c>
      <c r="C371" s="113">
        <v>992</v>
      </c>
      <c r="D371" s="133" t="s">
        <v>355</v>
      </c>
      <c r="E371" s="136" t="s">
        <v>379</v>
      </c>
      <c r="F371" s="134">
        <v>200</v>
      </c>
      <c r="G371" s="111">
        <v>2059</v>
      </c>
      <c r="H371" s="111"/>
      <c r="I371" s="111">
        <f>SUM(G371)+H371</f>
        <v>2059</v>
      </c>
      <c r="J371" s="115">
        <v>0</v>
      </c>
      <c r="K371" s="111"/>
      <c r="L371" s="115">
        <f>SUM(K371)</f>
        <v>0</v>
      </c>
      <c r="M371" s="111">
        <f>SUM(G371)</f>
        <v>2059</v>
      </c>
      <c r="N371" s="111">
        <f>SUM(H371)+K371</f>
        <v>0</v>
      </c>
      <c r="O371" s="111">
        <f>SUM(I371)+L371</f>
        <v>2059</v>
      </c>
      <c r="P371" s="97">
        <f t="shared" si="79"/>
        <v>2059</v>
      </c>
      <c r="Q371" s="97">
        <f t="shared" si="80"/>
        <v>0</v>
      </c>
    </row>
    <row r="372" spans="1:17" ht="47.25" x14ac:dyDescent="0.2">
      <c r="A372" s="40"/>
      <c r="B372" s="113" t="s">
        <v>372</v>
      </c>
      <c r="C372" s="113">
        <v>992</v>
      </c>
      <c r="D372" s="133" t="s">
        <v>355</v>
      </c>
      <c r="E372" s="136" t="s">
        <v>549</v>
      </c>
      <c r="F372" s="134"/>
      <c r="G372" s="111">
        <f>SUM(G373)</f>
        <v>1564</v>
      </c>
      <c r="H372" s="111">
        <f>SUM(H373)</f>
        <v>0</v>
      </c>
      <c r="I372" s="111">
        <f>SUM(G372)+H372</f>
        <v>1564</v>
      </c>
      <c r="J372" s="115">
        <f>SUM(J373)</f>
        <v>3300</v>
      </c>
      <c r="K372" s="111"/>
      <c r="L372" s="115">
        <v>3300</v>
      </c>
      <c r="M372" s="111">
        <f t="shared" ref="M372:O373" si="88">SUM(G372+J372)</f>
        <v>4864</v>
      </c>
      <c r="N372" s="111">
        <f t="shared" si="88"/>
        <v>0</v>
      </c>
      <c r="O372" s="111">
        <f t="shared" si="88"/>
        <v>4864</v>
      </c>
      <c r="P372" s="97">
        <f t="shared" si="79"/>
        <v>1564</v>
      </c>
      <c r="Q372" s="97">
        <f t="shared" si="80"/>
        <v>0</v>
      </c>
    </row>
    <row r="373" spans="1:17" ht="31.5" x14ac:dyDescent="0.2">
      <c r="A373" s="40"/>
      <c r="B373" s="113" t="s">
        <v>40</v>
      </c>
      <c r="C373" s="113">
        <v>992</v>
      </c>
      <c r="D373" s="133" t="s">
        <v>355</v>
      </c>
      <c r="E373" s="136" t="s">
        <v>549</v>
      </c>
      <c r="F373" s="134">
        <v>200</v>
      </c>
      <c r="G373" s="111">
        <v>1564</v>
      </c>
      <c r="H373" s="111"/>
      <c r="I373" s="111">
        <f>SUM(G373)+H373</f>
        <v>1564</v>
      </c>
      <c r="J373" s="115">
        <v>3300</v>
      </c>
      <c r="K373" s="111"/>
      <c r="L373" s="115">
        <v>3300</v>
      </c>
      <c r="M373" s="111">
        <f t="shared" si="88"/>
        <v>4864</v>
      </c>
      <c r="N373" s="111">
        <f t="shared" si="88"/>
        <v>0</v>
      </c>
      <c r="O373" s="111">
        <f t="shared" si="88"/>
        <v>4864</v>
      </c>
      <c r="P373" s="97">
        <f t="shared" si="79"/>
        <v>1564</v>
      </c>
      <c r="Q373" s="97">
        <f t="shared" si="80"/>
        <v>0</v>
      </c>
    </row>
    <row r="374" spans="1:17" ht="47.25" x14ac:dyDescent="0.2">
      <c r="A374" s="40"/>
      <c r="B374" s="113" t="s">
        <v>105</v>
      </c>
      <c r="C374" s="113" t="s">
        <v>51</v>
      </c>
      <c r="D374" s="133" t="s">
        <v>355</v>
      </c>
      <c r="E374" s="133" t="s">
        <v>106</v>
      </c>
      <c r="F374" s="134" t="s">
        <v>11</v>
      </c>
      <c r="G374" s="111">
        <f>G375</f>
        <v>300</v>
      </c>
      <c r="H374" s="111"/>
      <c r="I374" s="111">
        <f>I375</f>
        <v>300</v>
      </c>
      <c r="J374" s="114">
        <f t="shared" ref="G374:O377" si="89">J375</f>
        <v>600</v>
      </c>
      <c r="K374" s="111">
        <f>K375</f>
        <v>0</v>
      </c>
      <c r="L374" s="114">
        <f t="shared" si="89"/>
        <v>600</v>
      </c>
      <c r="M374" s="111">
        <f t="shared" si="89"/>
        <v>900</v>
      </c>
      <c r="N374" s="111">
        <f>SUM(K374)</f>
        <v>0</v>
      </c>
      <c r="O374" s="111">
        <f t="shared" si="89"/>
        <v>900</v>
      </c>
      <c r="P374" s="97">
        <f t="shared" si="79"/>
        <v>300</v>
      </c>
      <c r="Q374" s="97">
        <f t="shared" si="80"/>
        <v>0</v>
      </c>
    </row>
    <row r="375" spans="1:17" ht="31.5" x14ac:dyDescent="0.2">
      <c r="A375" s="40"/>
      <c r="B375" s="113" t="s">
        <v>107</v>
      </c>
      <c r="C375" s="113" t="s">
        <v>51</v>
      </c>
      <c r="D375" s="133" t="s">
        <v>355</v>
      </c>
      <c r="E375" s="133" t="s">
        <v>108</v>
      </c>
      <c r="F375" s="134" t="s">
        <v>11</v>
      </c>
      <c r="G375" s="111">
        <f t="shared" si="89"/>
        <v>300</v>
      </c>
      <c r="H375" s="111">
        <f t="shared" si="89"/>
        <v>0</v>
      </c>
      <c r="I375" s="111">
        <f t="shared" si="89"/>
        <v>300</v>
      </c>
      <c r="J375" s="114">
        <f t="shared" si="89"/>
        <v>600</v>
      </c>
      <c r="K375" s="111">
        <f>K376</f>
        <v>0</v>
      </c>
      <c r="L375" s="114">
        <f t="shared" si="89"/>
        <v>600</v>
      </c>
      <c r="M375" s="111">
        <f t="shared" si="89"/>
        <v>900</v>
      </c>
      <c r="N375" s="111">
        <f t="shared" si="89"/>
        <v>0</v>
      </c>
      <c r="O375" s="111">
        <f>N375+M375</f>
        <v>900</v>
      </c>
      <c r="P375" s="97">
        <f t="shared" si="79"/>
        <v>300</v>
      </c>
      <c r="Q375" s="97">
        <f t="shared" si="80"/>
        <v>0</v>
      </c>
    </row>
    <row r="376" spans="1:17" ht="31.5" x14ac:dyDescent="0.2">
      <c r="A376" s="40"/>
      <c r="B376" s="113" t="s">
        <v>109</v>
      </c>
      <c r="C376" s="113" t="s">
        <v>51</v>
      </c>
      <c r="D376" s="133" t="s">
        <v>355</v>
      </c>
      <c r="E376" s="133" t="s">
        <v>110</v>
      </c>
      <c r="F376" s="134" t="s">
        <v>11</v>
      </c>
      <c r="G376" s="111">
        <f t="shared" si="89"/>
        <v>300</v>
      </c>
      <c r="H376" s="111">
        <f t="shared" si="89"/>
        <v>0</v>
      </c>
      <c r="I376" s="111">
        <f t="shared" si="89"/>
        <v>300</v>
      </c>
      <c r="J376" s="114">
        <f>J377+J379</f>
        <v>600</v>
      </c>
      <c r="K376" s="111">
        <f>K377+K379</f>
        <v>0</v>
      </c>
      <c r="L376" s="111">
        <f>L377+L379</f>
        <v>600</v>
      </c>
      <c r="M376" s="111">
        <f>M377+J376</f>
        <v>900</v>
      </c>
      <c r="N376" s="111">
        <f>SUM(K376)</f>
        <v>0</v>
      </c>
      <c r="O376" s="111">
        <f>O377+L376</f>
        <v>900</v>
      </c>
      <c r="P376" s="97">
        <f t="shared" si="79"/>
        <v>300</v>
      </c>
      <c r="Q376" s="97">
        <f t="shared" si="80"/>
        <v>0</v>
      </c>
    </row>
    <row r="377" spans="1:17" ht="31.5" x14ac:dyDescent="0.2">
      <c r="A377" s="40"/>
      <c r="B377" s="113" t="s">
        <v>114</v>
      </c>
      <c r="C377" s="113" t="s">
        <v>51</v>
      </c>
      <c r="D377" s="133" t="s">
        <v>355</v>
      </c>
      <c r="E377" s="133" t="s">
        <v>115</v>
      </c>
      <c r="F377" s="134" t="s">
        <v>11</v>
      </c>
      <c r="G377" s="111">
        <f>G378</f>
        <v>300</v>
      </c>
      <c r="H377" s="111"/>
      <c r="I377" s="111">
        <f>I378</f>
        <v>300</v>
      </c>
      <c r="J377" s="114">
        <f t="shared" si="89"/>
        <v>0</v>
      </c>
      <c r="K377" s="111"/>
      <c r="L377" s="114">
        <f t="shared" si="89"/>
        <v>0</v>
      </c>
      <c r="M377" s="111">
        <f t="shared" si="89"/>
        <v>300</v>
      </c>
      <c r="N377" s="111">
        <f t="shared" si="89"/>
        <v>0</v>
      </c>
      <c r="O377" s="111">
        <f t="shared" si="89"/>
        <v>300</v>
      </c>
      <c r="P377" s="97">
        <f t="shared" si="79"/>
        <v>300</v>
      </c>
      <c r="Q377" s="97">
        <f t="shared" si="80"/>
        <v>0</v>
      </c>
    </row>
    <row r="378" spans="1:17" ht="31.5" x14ac:dyDescent="0.2">
      <c r="A378" s="40"/>
      <c r="B378" s="113" t="s">
        <v>40</v>
      </c>
      <c r="C378" s="113" t="s">
        <v>51</v>
      </c>
      <c r="D378" s="133" t="s">
        <v>355</v>
      </c>
      <c r="E378" s="133" t="s">
        <v>115</v>
      </c>
      <c r="F378" s="134" t="s">
        <v>41</v>
      </c>
      <c r="G378" s="111">
        <v>300</v>
      </c>
      <c r="H378" s="111"/>
      <c r="I378" s="111">
        <v>300</v>
      </c>
      <c r="J378" s="115">
        <v>0</v>
      </c>
      <c r="K378" s="111"/>
      <c r="L378" s="115">
        <v>0</v>
      </c>
      <c r="M378" s="111">
        <v>300</v>
      </c>
      <c r="N378" s="111"/>
      <c r="O378" s="111">
        <v>300</v>
      </c>
      <c r="P378" s="97">
        <f t="shared" si="79"/>
        <v>300</v>
      </c>
      <c r="Q378" s="97">
        <f t="shared" si="80"/>
        <v>0</v>
      </c>
    </row>
    <row r="379" spans="1:17" ht="47.25" x14ac:dyDescent="0.2">
      <c r="A379" s="40"/>
      <c r="B379" s="113" t="s">
        <v>566</v>
      </c>
      <c r="C379" s="113">
        <v>992</v>
      </c>
      <c r="D379" s="133" t="s">
        <v>355</v>
      </c>
      <c r="E379" s="133">
        <v>1010160390</v>
      </c>
      <c r="F379" s="134"/>
      <c r="G379" s="111"/>
      <c r="H379" s="111"/>
      <c r="I379" s="111"/>
      <c r="J379" s="115">
        <v>600</v>
      </c>
      <c r="K379" s="111">
        <f>SUM(K380)</f>
        <v>0</v>
      </c>
      <c r="L379" s="111">
        <f>SUM(L380)</f>
        <v>600</v>
      </c>
      <c r="M379" s="111">
        <f t="shared" ref="M379:O380" si="90">SUM(J379)</f>
        <v>600</v>
      </c>
      <c r="N379" s="111">
        <f t="shared" si="90"/>
        <v>0</v>
      </c>
      <c r="O379" s="111">
        <f t="shared" si="90"/>
        <v>600</v>
      </c>
      <c r="P379" s="97">
        <f t="shared" si="79"/>
        <v>0</v>
      </c>
      <c r="Q379" s="97">
        <f t="shared" si="80"/>
        <v>0</v>
      </c>
    </row>
    <row r="380" spans="1:17" ht="31.5" x14ac:dyDescent="0.2">
      <c r="A380" s="40"/>
      <c r="B380" s="113" t="s">
        <v>40</v>
      </c>
      <c r="C380" s="113">
        <v>992</v>
      </c>
      <c r="D380" s="133" t="s">
        <v>355</v>
      </c>
      <c r="E380" s="133">
        <v>1010160390</v>
      </c>
      <c r="F380" s="134">
        <v>200</v>
      </c>
      <c r="G380" s="111"/>
      <c r="H380" s="111"/>
      <c r="I380" s="111"/>
      <c r="J380" s="115">
        <v>600</v>
      </c>
      <c r="K380" s="111"/>
      <c r="L380" s="115">
        <f>SUM(J380)</f>
        <v>600</v>
      </c>
      <c r="M380" s="111">
        <f t="shared" si="90"/>
        <v>600</v>
      </c>
      <c r="N380" s="111">
        <f t="shared" si="90"/>
        <v>0</v>
      </c>
      <c r="O380" s="111">
        <f t="shared" si="90"/>
        <v>600</v>
      </c>
      <c r="P380" s="97">
        <f t="shared" si="79"/>
        <v>0</v>
      </c>
      <c r="Q380" s="97">
        <f t="shared" si="80"/>
        <v>0</v>
      </c>
    </row>
    <row r="381" spans="1:17" ht="63" x14ac:dyDescent="0.2">
      <c r="A381" s="40"/>
      <c r="B381" s="113" t="s">
        <v>380</v>
      </c>
      <c r="C381" s="113" t="s">
        <v>51</v>
      </c>
      <c r="D381" s="133" t="s">
        <v>355</v>
      </c>
      <c r="E381" s="133" t="s">
        <v>381</v>
      </c>
      <c r="F381" s="134" t="s">
        <v>11</v>
      </c>
      <c r="G381" s="111">
        <f t="shared" ref="G381:O381" si="91">G382</f>
        <v>1314.8</v>
      </c>
      <c r="H381" s="111">
        <f t="shared" si="91"/>
        <v>0</v>
      </c>
      <c r="I381" s="111">
        <f t="shared" si="91"/>
        <v>1314.8</v>
      </c>
      <c r="J381" s="114">
        <f t="shared" si="91"/>
        <v>0</v>
      </c>
      <c r="K381" s="111">
        <f t="shared" si="91"/>
        <v>0</v>
      </c>
      <c r="L381" s="114">
        <f t="shared" si="91"/>
        <v>0</v>
      </c>
      <c r="M381" s="111">
        <f t="shared" si="91"/>
        <v>1314.8</v>
      </c>
      <c r="N381" s="111">
        <f t="shared" si="91"/>
        <v>0</v>
      </c>
      <c r="O381" s="111">
        <f t="shared" si="91"/>
        <v>1314.8</v>
      </c>
      <c r="P381" s="97">
        <f t="shared" si="79"/>
        <v>1314.8</v>
      </c>
      <c r="Q381" s="97">
        <f t="shared" si="80"/>
        <v>0</v>
      </c>
    </row>
    <row r="382" spans="1:17" ht="47.25" x14ac:dyDescent="0.2">
      <c r="A382" s="40"/>
      <c r="B382" s="113" t="s">
        <v>382</v>
      </c>
      <c r="C382" s="113" t="s">
        <v>51</v>
      </c>
      <c r="D382" s="133" t="s">
        <v>355</v>
      </c>
      <c r="E382" s="133" t="s">
        <v>383</v>
      </c>
      <c r="F382" s="134" t="s">
        <v>11</v>
      </c>
      <c r="G382" s="111">
        <f>G383+G386</f>
        <v>1314.8</v>
      </c>
      <c r="H382" s="111">
        <f>H383+H386</f>
        <v>0</v>
      </c>
      <c r="I382" s="111">
        <f>I383+I386</f>
        <v>1314.8</v>
      </c>
      <c r="J382" s="114">
        <f>J383</f>
        <v>0</v>
      </c>
      <c r="K382" s="111">
        <f>K383</f>
        <v>0</v>
      </c>
      <c r="L382" s="114">
        <f>L383</f>
        <v>0</v>
      </c>
      <c r="M382" s="111">
        <f>M383+M386</f>
        <v>1314.8</v>
      </c>
      <c r="N382" s="111">
        <f>N383+N386</f>
        <v>0</v>
      </c>
      <c r="O382" s="111">
        <f>O383+O386</f>
        <v>1314.8</v>
      </c>
      <c r="P382" s="97">
        <f t="shared" si="79"/>
        <v>1314.8</v>
      </c>
      <c r="Q382" s="97">
        <f t="shared" si="80"/>
        <v>0</v>
      </c>
    </row>
    <row r="383" spans="1:17" ht="63" x14ac:dyDescent="0.2">
      <c r="A383" s="40"/>
      <c r="B383" s="113" t="s">
        <v>384</v>
      </c>
      <c r="C383" s="113" t="s">
        <v>51</v>
      </c>
      <c r="D383" s="133" t="s">
        <v>355</v>
      </c>
      <c r="E383" s="136" t="s">
        <v>545</v>
      </c>
      <c r="F383" s="134" t="s">
        <v>11</v>
      </c>
      <c r="G383" s="111">
        <f>G384+G385</f>
        <v>549.9</v>
      </c>
      <c r="H383" s="111">
        <f>H384+H385</f>
        <v>0</v>
      </c>
      <c r="I383" s="111">
        <f>I384+I385</f>
        <v>549.9</v>
      </c>
      <c r="J383" s="114">
        <f>J384</f>
        <v>0</v>
      </c>
      <c r="K383" s="111"/>
      <c r="L383" s="114">
        <f>L384</f>
        <v>0</v>
      </c>
      <c r="M383" s="111">
        <f>M384+M385</f>
        <v>549.9</v>
      </c>
      <c r="N383" s="111">
        <f>N384+N385</f>
        <v>0</v>
      </c>
      <c r="O383" s="111">
        <f>O384+O385</f>
        <v>549.9</v>
      </c>
      <c r="P383" s="97">
        <f t="shared" si="79"/>
        <v>549.9</v>
      </c>
      <c r="Q383" s="97">
        <f t="shared" si="80"/>
        <v>0</v>
      </c>
    </row>
    <row r="384" spans="1:17" ht="31.5" x14ac:dyDescent="0.2">
      <c r="A384" s="40"/>
      <c r="B384" s="113" t="s">
        <v>40</v>
      </c>
      <c r="C384" s="113" t="s">
        <v>51</v>
      </c>
      <c r="D384" s="133" t="s">
        <v>355</v>
      </c>
      <c r="E384" s="136" t="s">
        <v>545</v>
      </c>
      <c r="F384" s="134" t="s">
        <v>41</v>
      </c>
      <c r="G384" s="111">
        <v>349.9</v>
      </c>
      <c r="H384" s="117"/>
      <c r="I384" s="111">
        <f>SUM(G384:H384)</f>
        <v>349.9</v>
      </c>
      <c r="J384" s="115">
        <v>0</v>
      </c>
      <c r="K384" s="109"/>
      <c r="L384" s="115">
        <v>0</v>
      </c>
      <c r="M384" s="111">
        <f>SUM(G384)</f>
        <v>349.9</v>
      </c>
      <c r="N384" s="111">
        <f t="shared" ref="N384:O391" si="92">SUM(H384)</f>
        <v>0</v>
      </c>
      <c r="O384" s="111">
        <f>SUM(I384)</f>
        <v>349.9</v>
      </c>
      <c r="P384" s="97">
        <f t="shared" si="79"/>
        <v>349.9</v>
      </c>
      <c r="Q384" s="97">
        <f t="shared" si="80"/>
        <v>0</v>
      </c>
    </row>
    <row r="385" spans="1:17" ht="31.5" x14ac:dyDescent="0.2">
      <c r="A385" s="40"/>
      <c r="B385" s="113" t="s">
        <v>112</v>
      </c>
      <c r="C385" s="113">
        <v>992</v>
      </c>
      <c r="D385" s="133" t="s">
        <v>355</v>
      </c>
      <c r="E385" s="136" t="s">
        <v>545</v>
      </c>
      <c r="F385" s="134">
        <v>300</v>
      </c>
      <c r="G385" s="111">
        <v>200</v>
      </c>
      <c r="H385" s="117"/>
      <c r="I385" s="111">
        <f>SUM(G385)</f>
        <v>200</v>
      </c>
      <c r="J385" s="115"/>
      <c r="K385" s="109"/>
      <c r="L385" s="115"/>
      <c r="M385" s="111">
        <f>SUM(G385)</f>
        <v>200</v>
      </c>
      <c r="N385" s="111">
        <f>SUM(H385)</f>
        <v>0</v>
      </c>
      <c r="O385" s="111">
        <f>SUM(I385)</f>
        <v>200</v>
      </c>
      <c r="P385" s="97">
        <f t="shared" si="79"/>
        <v>200</v>
      </c>
      <c r="Q385" s="97">
        <f t="shared" si="80"/>
        <v>0</v>
      </c>
    </row>
    <row r="386" spans="1:17" ht="31.5" x14ac:dyDescent="0.2">
      <c r="A386" s="40"/>
      <c r="B386" s="113" t="s">
        <v>385</v>
      </c>
      <c r="C386" s="113">
        <v>992</v>
      </c>
      <c r="D386" s="133" t="s">
        <v>355</v>
      </c>
      <c r="E386" s="133">
        <v>1400124240</v>
      </c>
      <c r="F386" s="134"/>
      <c r="G386" s="111">
        <v>764.9</v>
      </c>
      <c r="H386" s="117"/>
      <c r="I386" s="111">
        <f>SUM(G386)+H386</f>
        <v>764.9</v>
      </c>
      <c r="J386" s="115"/>
      <c r="K386" s="109"/>
      <c r="L386" s="115"/>
      <c r="M386" s="111">
        <f>SUM(G386)</f>
        <v>764.9</v>
      </c>
      <c r="N386" s="111">
        <f t="shared" si="92"/>
        <v>0</v>
      </c>
      <c r="O386" s="111">
        <f t="shared" si="92"/>
        <v>764.9</v>
      </c>
      <c r="P386" s="97">
        <f t="shared" si="79"/>
        <v>764.9</v>
      </c>
      <c r="Q386" s="97">
        <f t="shared" si="80"/>
        <v>0</v>
      </c>
    </row>
    <row r="387" spans="1:17" ht="31.5" x14ac:dyDescent="0.2">
      <c r="A387" s="40"/>
      <c r="B387" s="113" t="s">
        <v>40</v>
      </c>
      <c r="C387" s="113">
        <v>992</v>
      </c>
      <c r="D387" s="133" t="s">
        <v>355</v>
      </c>
      <c r="E387" s="133">
        <v>1400124240</v>
      </c>
      <c r="F387" s="134">
        <v>200</v>
      </c>
      <c r="G387" s="111">
        <v>764.9</v>
      </c>
      <c r="H387" s="117"/>
      <c r="I387" s="111">
        <f>SUM(G387)+H387</f>
        <v>764.9</v>
      </c>
      <c r="J387" s="115"/>
      <c r="K387" s="109"/>
      <c r="L387" s="115"/>
      <c r="M387" s="111">
        <f>SUM(G387)</f>
        <v>764.9</v>
      </c>
      <c r="N387" s="111">
        <f t="shared" si="92"/>
        <v>0</v>
      </c>
      <c r="O387" s="163">
        <f t="shared" si="92"/>
        <v>764.9</v>
      </c>
      <c r="P387" s="97">
        <f t="shared" si="79"/>
        <v>764.9</v>
      </c>
      <c r="Q387" s="97">
        <f t="shared" si="80"/>
        <v>0</v>
      </c>
    </row>
    <row r="388" spans="1:17" ht="31.5" x14ac:dyDescent="0.2">
      <c r="A388" s="40"/>
      <c r="B388" s="113" t="s">
        <v>66</v>
      </c>
      <c r="C388" s="113">
        <v>992</v>
      </c>
      <c r="D388" s="133" t="s">
        <v>355</v>
      </c>
      <c r="E388" s="133">
        <v>5200000000</v>
      </c>
      <c r="F388" s="134"/>
      <c r="G388" s="111">
        <v>2838.5</v>
      </c>
      <c r="H388" s="117">
        <f>SUM(H390)</f>
        <v>0</v>
      </c>
      <c r="I388" s="111">
        <f t="shared" ref="I388:I391" si="93">SUM(G388)</f>
        <v>2838.5</v>
      </c>
      <c r="J388" s="115"/>
      <c r="K388" s="109"/>
      <c r="L388" s="115"/>
      <c r="M388" s="111">
        <v>2838.5</v>
      </c>
      <c r="N388" s="111">
        <f t="shared" si="92"/>
        <v>0</v>
      </c>
      <c r="O388" s="111">
        <f t="shared" si="92"/>
        <v>2838.5</v>
      </c>
      <c r="P388" s="97">
        <f t="shared" si="79"/>
        <v>2838.5</v>
      </c>
      <c r="Q388" s="97">
        <f t="shared" si="80"/>
        <v>0</v>
      </c>
    </row>
    <row r="389" spans="1:17" ht="31.5" x14ac:dyDescent="0.2">
      <c r="A389" s="40"/>
      <c r="B389" s="113" t="s">
        <v>80</v>
      </c>
      <c r="C389" s="113">
        <v>992</v>
      </c>
      <c r="D389" s="133" t="s">
        <v>355</v>
      </c>
      <c r="E389" s="133">
        <v>5230000000</v>
      </c>
      <c r="F389" s="134"/>
      <c r="G389" s="111">
        <v>2838.5</v>
      </c>
      <c r="H389" s="117">
        <f>SUM(H391)</f>
        <v>0</v>
      </c>
      <c r="I389" s="111">
        <f t="shared" si="93"/>
        <v>2838.5</v>
      </c>
      <c r="J389" s="115"/>
      <c r="K389" s="109"/>
      <c r="L389" s="115"/>
      <c r="M389" s="111">
        <f>SUM(M391)</f>
        <v>2838.5</v>
      </c>
      <c r="N389" s="111">
        <f t="shared" si="92"/>
        <v>0</v>
      </c>
      <c r="O389" s="111">
        <f t="shared" si="92"/>
        <v>2838.5</v>
      </c>
      <c r="P389" s="97">
        <f t="shared" si="79"/>
        <v>2838.5</v>
      </c>
      <c r="Q389" s="97">
        <f t="shared" si="80"/>
        <v>0</v>
      </c>
    </row>
    <row r="390" spans="1:17" ht="31.5" x14ac:dyDescent="0.2">
      <c r="A390" s="40"/>
      <c r="B390" s="113" t="s">
        <v>82</v>
      </c>
      <c r="C390" s="113">
        <v>992</v>
      </c>
      <c r="D390" s="133" t="s">
        <v>355</v>
      </c>
      <c r="E390" s="133">
        <v>5230010490</v>
      </c>
      <c r="F390" s="134"/>
      <c r="G390" s="111">
        <v>2838.5</v>
      </c>
      <c r="H390" s="117">
        <f>SUM(H391)</f>
        <v>0</v>
      </c>
      <c r="I390" s="111">
        <f t="shared" si="93"/>
        <v>2838.5</v>
      </c>
      <c r="J390" s="115"/>
      <c r="K390" s="109"/>
      <c r="L390" s="115"/>
      <c r="M390" s="111">
        <f>SUM(G390)</f>
        <v>2838.5</v>
      </c>
      <c r="N390" s="111">
        <f t="shared" si="92"/>
        <v>0</v>
      </c>
      <c r="O390" s="111">
        <f t="shared" si="92"/>
        <v>2838.5</v>
      </c>
      <c r="P390" s="97">
        <f t="shared" si="79"/>
        <v>2838.5</v>
      </c>
      <c r="Q390" s="97">
        <f t="shared" si="80"/>
        <v>0</v>
      </c>
    </row>
    <row r="391" spans="1:17" ht="29.25" customHeight="1" x14ac:dyDescent="0.2">
      <c r="A391" s="40"/>
      <c r="B391" s="113" t="s">
        <v>40</v>
      </c>
      <c r="C391" s="113">
        <v>992</v>
      </c>
      <c r="D391" s="133" t="s">
        <v>355</v>
      </c>
      <c r="E391" s="133">
        <v>5230010490</v>
      </c>
      <c r="F391" s="134">
        <v>200</v>
      </c>
      <c r="G391" s="111">
        <v>2838.5</v>
      </c>
      <c r="H391" s="117"/>
      <c r="I391" s="111">
        <f t="shared" si="93"/>
        <v>2838.5</v>
      </c>
      <c r="J391" s="115"/>
      <c r="K391" s="109"/>
      <c r="L391" s="115"/>
      <c r="M391" s="111">
        <f>SUM(G391)</f>
        <v>2838.5</v>
      </c>
      <c r="N391" s="111">
        <f t="shared" si="92"/>
        <v>0</v>
      </c>
      <c r="O391" s="111">
        <f t="shared" si="92"/>
        <v>2838.5</v>
      </c>
      <c r="P391" s="97">
        <f t="shared" si="79"/>
        <v>2838.5</v>
      </c>
      <c r="Q391" s="97">
        <f t="shared" si="80"/>
        <v>0</v>
      </c>
    </row>
    <row r="392" spans="1:17" ht="31.5" hidden="1" x14ac:dyDescent="0.2">
      <c r="A392" s="40"/>
      <c r="B392" s="113" t="s">
        <v>40</v>
      </c>
      <c r="C392" s="113"/>
      <c r="D392" s="133"/>
      <c r="E392" s="133"/>
      <c r="F392" s="134"/>
      <c r="G392" s="111"/>
      <c r="H392" s="109"/>
      <c r="I392" s="111"/>
      <c r="J392" s="115"/>
      <c r="K392" s="109"/>
      <c r="L392" s="115"/>
      <c r="M392" s="111"/>
      <c r="N392" s="111"/>
      <c r="O392" s="111"/>
      <c r="P392" s="97">
        <f t="shared" si="79"/>
        <v>0</v>
      </c>
      <c r="Q392" s="97">
        <f t="shared" si="80"/>
        <v>0</v>
      </c>
    </row>
    <row r="393" spans="1:17" ht="31.5" x14ac:dyDescent="0.2">
      <c r="A393" s="33" t="s">
        <v>386</v>
      </c>
      <c r="B393" s="110" t="s">
        <v>387</v>
      </c>
      <c r="C393" s="110" t="s">
        <v>51</v>
      </c>
      <c r="D393" s="131" t="s">
        <v>388</v>
      </c>
      <c r="E393" s="131" t="s">
        <v>11</v>
      </c>
      <c r="F393" s="132" t="s">
        <v>11</v>
      </c>
      <c r="G393" s="109">
        <f t="shared" ref="G393:O394" si="94">G394</f>
        <v>107724.20000000001</v>
      </c>
      <c r="H393" s="111">
        <f t="shared" si="94"/>
        <v>0</v>
      </c>
      <c r="I393" s="109">
        <f t="shared" si="94"/>
        <v>107724.20000000001</v>
      </c>
      <c r="J393" s="112">
        <f t="shared" si="94"/>
        <v>0</v>
      </c>
      <c r="K393" s="111">
        <f t="shared" si="94"/>
        <v>0</v>
      </c>
      <c r="L393" s="112">
        <f t="shared" si="94"/>
        <v>0</v>
      </c>
      <c r="M393" s="109">
        <f t="shared" si="94"/>
        <v>107724.20000000001</v>
      </c>
      <c r="N393" s="109">
        <f t="shared" si="94"/>
        <v>0</v>
      </c>
      <c r="O393" s="109">
        <f t="shared" si="94"/>
        <v>107724.20000000001</v>
      </c>
      <c r="P393" s="97">
        <f t="shared" si="79"/>
        <v>107724.20000000001</v>
      </c>
      <c r="Q393" s="97">
        <f t="shared" si="80"/>
        <v>0</v>
      </c>
    </row>
    <row r="394" spans="1:17" ht="31.5" x14ac:dyDescent="0.2">
      <c r="A394" s="40"/>
      <c r="B394" s="113" t="s">
        <v>245</v>
      </c>
      <c r="C394" s="113" t="s">
        <v>51</v>
      </c>
      <c r="D394" s="133" t="s">
        <v>388</v>
      </c>
      <c r="E394" s="133" t="s">
        <v>246</v>
      </c>
      <c r="F394" s="134" t="s">
        <v>11</v>
      </c>
      <c r="G394" s="111">
        <f t="shared" si="94"/>
        <v>107724.20000000001</v>
      </c>
      <c r="H394" s="111">
        <f t="shared" si="94"/>
        <v>0</v>
      </c>
      <c r="I394" s="111">
        <f t="shared" si="94"/>
        <v>107724.20000000001</v>
      </c>
      <c r="J394" s="114">
        <f t="shared" si="94"/>
        <v>0</v>
      </c>
      <c r="K394" s="111">
        <f>K395+K398</f>
        <v>0</v>
      </c>
      <c r="L394" s="114">
        <f t="shared" si="94"/>
        <v>0</v>
      </c>
      <c r="M394" s="111">
        <f t="shared" si="94"/>
        <v>107724.20000000001</v>
      </c>
      <c r="N394" s="111">
        <f t="shared" si="94"/>
        <v>0</v>
      </c>
      <c r="O394" s="111">
        <f t="shared" si="94"/>
        <v>107724.20000000001</v>
      </c>
      <c r="P394" s="97">
        <f t="shared" si="79"/>
        <v>107724.20000000001</v>
      </c>
      <c r="Q394" s="97">
        <f t="shared" si="80"/>
        <v>0</v>
      </c>
    </row>
    <row r="395" spans="1:17" ht="15.75" x14ac:dyDescent="0.2">
      <c r="A395" s="40"/>
      <c r="B395" s="113" t="s">
        <v>247</v>
      </c>
      <c r="C395" s="113" t="s">
        <v>51</v>
      </c>
      <c r="D395" s="133" t="s">
        <v>388</v>
      </c>
      <c r="E395" s="133" t="s">
        <v>248</v>
      </c>
      <c r="F395" s="134" t="s">
        <v>11</v>
      </c>
      <c r="G395" s="111">
        <f>G396+G399</f>
        <v>107724.20000000001</v>
      </c>
      <c r="H395" s="111">
        <f>SUM(H399)+H396</f>
        <v>0</v>
      </c>
      <c r="I395" s="111">
        <f>I396+I399</f>
        <v>107724.20000000001</v>
      </c>
      <c r="J395" s="114">
        <f>J396+J399</f>
        <v>0</v>
      </c>
      <c r="K395" s="111">
        <f t="shared" ref="G395:O397" si="95">K396</f>
        <v>0</v>
      </c>
      <c r="L395" s="114">
        <f>L396+L399</f>
        <v>0</v>
      </c>
      <c r="M395" s="111">
        <f>M396+M399</f>
        <v>107724.20000000001</v>
      </c>
      <c r="N395" s="111">
        <f>N396+N399</f>
        <v>0</v>
      </c>
      <c r="O395" s="111">
        <f>O396+O399</f>
        <v>107724.20000000001</v>
      </c>
      <c r="P395" s="97">
        <f t="shared" si="79"/>
        <v>107724.20000000001</v>
      </c>
      <c r="Q395" s="97">
        <f t="shared" si="80"/>
        <v>0</v>
      </c>
    </row>
    <row r="396" spans="1:17" ht="31.5" x14ac:dyDescent="0.2">
      <c r="A396" s="40"/>
      <c r="B396" s="113" t="s">
        <v>389</v>
      </c>
      <c r="C396" s="113" t="s">
        <v>51</v>
      </c>
      <c r="D396" s="133" t="s">
        <v>388</v>
      </c>
      <c r="E396" s="133" t="s">
        <v>390</v>
      </c>
      <c r="F396" s="134" t="s">
        <v>11</v>
      </c>
      <c r="G396" s="111">
        <f t="shared" si="95"/>
        <v>8699.1</v>
      </c>
      <c r="H396" s="111">
        <f t="shared" si="95"/>
        <v>0</v>
      </c>
      <c r="I396" s="111">
        <f t="shared" si="95"/>
        <v>8699.1</v>
      </c>
      <c r="J396" s="114">
        <f t="shared" si="95"/>
        <v>0</v>
      </c>
      <c r="K396" s="111">
        <f t="shared" si="95"/>
        <v>0</v>
      </c>
      <c r="L396" s="114">
        <f t="shared" si="95"/>
        <v>0</v>
      </c>
      <c r="M396" s="111">
        <f t="shared" si="95"/>
        <v>8699.1</v>
      </c>
      <c r="N396" s="111">
        <f t="shared" si="95"/>
        <v>0</v>
      </c>
      <c r="O396" s="111">
        <f t="shared" si="95"/>
        <v>8699.1</v>
      </c>
      <c r="P396" s="97">
        <f t="shared" si="79"/>
        <v>8699.1</v>
      </c>
      <c r="Q396" s="97">
        <f t="shared" si="80"/>
        <v>0</v>
      </c>
    </row>
    <row r="397" spans="1:17" ht="31.5" x14ac:dyDescent="0.2">
      <c r="A397" s="40"/>
      <c r="B397" s="113" t="s">
        <v>134</v>
      </c>
      <c r="C397" s="113" t="s">
        <v>51</v>
      </c>
      <c r="D397" s="133" t="s">
        <v>388</v>
      </c>
      <c r="E397" s="133" t="s">
        <v>391</v>
      </c>
      <c r="F397" s="134" t="s">
        <v>11</v>
      </c>
      <c r="G397" s="111">
        <f t="shared" si="95"/>
        <v>8699.1</v>
      </c>
      <c r="H397" s="111"/>
      <c r="I397" s="111">
        <f t="shared" si="95"/>
        <v>8699.1</v>
      </c>
      <c r="J397" s="114">
        <f t="shared" si="95"/>
        <v>0</v>
      </c>
      <c r="K397" s="111"/>
      <c r="L397" s="114">
        <f t="shared" si="95"/>
        <v>0</v>
      </c>
      <c r="M397" s="111">
        <f t="shared" si="95"/>
        <v>8699.1</v>
      </c>
      <c r="N397" s="111">
        <f t="shared" si="95"/>
        <v>0</v>
      </c>
      <c r="O397" s="111">
        <f t="shared" si="95"/>
        <v>8699.1</v>
      </c>
      <c r="P397" s="97">
        <f t="shared" si="79"/>
        <v>8699.1</v>
      </c>
      <c r="Q397" s="97">
        <f t="shared" si="80"/>
        <v>0</v>
      </c>
    </row>
    <row r="398" spans="1:17" ht="33.6" customHeight="1" x14ac:dyDescent="0.2">
      <c r="A398" s="40"/>
      <c r="B398" s="113" t="s">
        <v>95</v>
      </c>
      <c r="C398" s="113" t="s">
        <v>51</v>
      </c>
      <c r="D398" s="133" t="s">
        <v>388</v>
      </c>
      <c r="E398" s="133" t="s">
        <v>391</v>
      </c>
      <c r="F398" s="134" t="s">
        <v>96</v>
      </c>
      <c r="G398" s="111">
        <v>8699.1</v>
      </c>
      <c r="H398" s="111"/>
      <c r="I398" s="111">
        <f>SUM(G398)</f>
        <v>8699.1</v>
      </c>
      <c r="J398" s="115">
        <v>0</v>
      </c>
      <c r="K398" s="111"/>
      <c r="L398" s="115">
        <v>0</v>
      </c>
      <c r="M398" s="111">
        <f>SUM(G398)</f>
        <v>8699.1</v>
      </c>
      <c r="N398" s="111">
        <f>SUM(H398)</f>
        <v>0</v>
      </c>
      <c r="O398" s="111">
        <f>SUM(I398)</f>
        <v>8699.1</v>
      </c>
      <c r="P398" s="97">
        <f t="shared" si="79"/>
        <v>8699.1</v>
      </c>
      <c r="Q398" s="97">
        <f t="shared" si="80"/>
        <v>0</v>
      </c>
    </row>
    <row r="399" spans="1:17" ht="47.25" x14ac:dyDescent="0.2">
      <c r="A399" s="40"/>
      <c r="B399" s="113" t="s">
        <v>249</v>
      </c>
      <c r="C399" s="113" t="s">
        <v>51</v>
      </c>
      <c r="D399" s="133" t="s">
        <v>388</v>
      </c>
      <c r="E399" s="133" t="s">
        <v>250</v>
      </c>
      <c r="F399" s="134" t="s">
        <v>11</v>
      </c>
      <c r="G399" s="111">
        <f>G400+G402+G404</f>
        <v>99025.1</v>
      </c>
      <c r="H399" s="111">
        <f>H400+H404+H402</f>
        <v>0</v>
      </c>
      <c r="I399" s="111">
        <f>I400+I404+I402</f>
        <v>99025.1</v>
      </c>
      <c r="J399" s="114">
        <f t="shared" ref="G399:O400" si="96">J400</f>
        <v>0</v>
      </c>
      <c r="K399" s="111">
        <f t="shared" si="96"/>
        <v>0</v>
      </c>
      <c r="L399" s="114">
        <f t="shared" si="96"/>
        <v>0</v>
      </c>
      <c r="M399" s="111">
        <f>M400+M402+M404</f>
        <v>99025.1</v>
      </c>
      <c r="N399" s="111">
        <f>N400+N404+N402</f>
        <v>0</v>
      </c>
      <c r="O399" s="111">
        <f>O400+O404+O402</f>
        <v>99025.1</v>
      </c>
      <c r="P399" s="97">
        <f t="shared" si="79"/>
        <v>99025.1</v>
      </c>
      <c r="Q399" s="97">
        <f t="shared" si="80"/>
        <v>0</v>
      </c>
    </row>
    <row r="400" spans="1:17" ht="31.5" x14ac:dyDescent="0.2">
      <c r="A400" s="40"/>
      <c r="B400" s="113" t="s">
        <v>134</v>
      </c>
      <c r="C400" s="113" t="s">
        <v>51</v>
      </c>
      <c r="D400" s="133" t="s">
        <v>388</v>
      </c>
      <c r="E400" s="133" t="s">
        <v>251</v>
      </c>
      <c r="F400" s="134" t="s">
        <v>11</v>
      </c>
      <c r="G400" s="111">
        <f t="shared" si="96"/>
        <v>97105.1</v>
      </c>
      <c r="H400" s="111">
        <f t="shared" si="96"/>
        <v>0</v>
      </c>
      <c r="I400" s="111">
        <f t="shared" si="96"/>
        <v>97105.1</v>
      </c>
      <c r="J400" s="114">
        <f t="shared" si="96"/>
        <v>0</v>
      </c>
      <c r="K400" s="111"/>
      <c r="L400" s="114">
        <f t="shared" si="96"/>
        <v>0</v>
      </c>
      <c r="M400" s="111">
        <f t="shared" si="96"/>
        <v>97105.1</v>
      </c>
      <c r="N400" s="111">
        <f t="shared" si="96"/>
        <v>0</v>
      </c>
      <c r="O400" s="111">
        <f t="shared" si="96"/>
        <v>97105.1</v>
      </c>
      <c r="P400" s="97">
        <f t="shared" si="79"/>
        <v>97105.1</v>
      </c>
      <c r="Q400" s="97">
        <f t="shared" si="80"/>
        <v>0</v>
      </c>
    </row>
    <row r="401" spans="1:17" ht="33.6" customHeight="1" x14ac:dyDescent="0.2">
      <c r="A401" s="40"/>
      <c r="B401" s="113" t="s">
        <v>95</v>
      </c>
      <c r="C401" s="113" t="s">
        <v>51</v>
      </c>
      <c r="D401" s="133" t="s">
        <v>388</v>
      </c>
      <c r="E401" s="133" t="s">
        <v>251</v>
      </c>
      <c r="F401" s="134" t="s">
        <v>96</v>
      </c>
      <c r="G401" s="111">
        <v>97105.1</v>
      </c>
      <c r="H401" s="111"/>
      <c r="I401" s="111">
        <f>SUM(G401)+H401</f>
        <v>97105.1</v>
      </c>
      <c r="J401" s="115">
        <v>0</v>
      </c>
      <c r="K401" s="106"/>
      <c r="L401" s="115">
        <v>0</v>
      </c>
      <c r="M401" s="111">
        <f>SUM(G401)</f>
        <v>97105.1</v>
      </c>
      <c r="N401" s="111">
        <f>SUM(H401)</f>
        <v>0</v>
      </c>
      <c r="O401" s="111">
        <f>SUM(M401)+N401</f>
        <v>97105.1</v>
      </c>
      <c r="P401" s="97">
        <f t="shared" si="79"/>
        <v>97105.1</v>
      </c>
      <c r="Q401" s="97">
        <f t="shared" si="80"/>
        <v>0</v>
      </c>
    </row>
    <row r="402" spans="1:17" ht="33.6" customHeight="1" x14ac:dyDescent="0.2">
      <c r="A402" s="40"/>
      <c r="B402" s="145" t="s">
        <v>392</v>
      </c>
      <c r="C402" s="113">
        <v>992</v>
      </c>
      <c r="D402" s="133" t="s">
        <v>388</v>
      </c>
      <c r="E402" s="136" t="s">
        <v>393</v>
      </c>
      <c r="F402" s="134"/>
      <c r="G402" s="111">
        <f>SUM(G403)</f>
        <v>779</v>
      </c>
      <c r="H402" s="111"/>
      <c r="I402" s="111">
        <f>SUM(G402)</f>
        <v>779</v>
      </c>
      <c r="J402" s="115"/>
      <c r="K402" s="106"/>
      <c r="L402" s="115"/>
      <c r="M402" s="111">
        <f>SUM(G402)</f>
        <v>779</v>
      </c>
      <c r="N402" s="111">
        <f t="shared" ref="N402:O405" si="97">SUM(H402)</f>
        <v>0</v>
      </c>
      <c r="O402" s="111">
        <f t="shared" si="97"/>
        <v>779</v>
      </c>
      <c r="P402" s="97">
        <f t="shared" si="79"/>
        <v>779</v>
      </c>
      <c r="Q402" s="97">
        <f t="shared" si="80"/>
        <v>0</v>
      </c>
    </row>
    <row r="403" spans="1:17" ht="33.6" customHeight="1" x14ac:dyDescent="0.2">
      <c r="A403" s="40"/>
      <c r="B403" s="113" t="s">
        <v>95</v>
      </c>
      <c r="C403" s="113">
        <v>992</v>
      </c>
      <c r="D403" s="133" t="s">
        <v>388</v>
      </c>
      <c r="E403" s="136" t="s">
        <v>393</v>
      </c>
      <c r="F403" s="134">
        <v>600</v>
      </c>
      <c r="G403" s="111">
        <v>779</v>
      </c>
      <c r="H403" s="111"/>
      <c r="I403" s="111">
        <f>SUM(G403)</f>
        <v>779</v>
      </c>
      <c r="J403" s="115"/>
      <c r="K403" s="106"/>
      <c r="L403" s="115"/>
      <c r="M403" s="111">
        <f>SUM(G403)</f>
        <v>779</v>
      </c>
      <c r="N403" s="111">
        <f t="shared" si="97"/>
        <v>0</v>
      </c>
      <c r="O403" s="111">
        <f t="shared" si="97"/>
        <v>779</v>
      </c>
      <c r="P403" s="97">
        <f t="shared" si="79"/>
        <v>779</v>
      </c>
      <c r="Q403" s="97">
        <f t="shared" si="80"/>
        <v>0</v>
      </c>
    </row>
    <row r="404" spans="1:17" ht="51" customHeight="1" x14ac:dyDescent="0.2">
      <c r="A404" s="40"/>
      <c r="B404" s="113" t="s">
        <v>283</v>
      </c>
      <c r="C404" s="113">
        <v>992</v>
      </c>
      <c r="D404" s="133" t="s">
        <v>388</v>
      </c>
      <c r="E404" s="136" t="s">
        <v>284</v>
      </c>
      <c r="F404" s="134"/>
      <c r="G404" s="111">
        <f>SUM(G405)</f>
        <v>1141</v>
      </c>
      <c r="H404" s="111">
        <f>SUM(H405)</f>
        <v>0</v>
      </c>
      <c r="I404" s="111">
        <f>SUM(G404)</f>
        <v>1141</v>
      </c>
      <c r="J404" s="115"/>
      <c r="K404" s="106"/>
      <c r="L404" s="115"/>
      <c r="M404" s="111">
        <f>SUM(G404)</f>
        <v>1141</v>
      </c>
      <c r="N404" s="111">
        <f t="shared" si="97"/>
        <v>0</v>
      </c>
      <c r="O404" s="111">
        <f t="shared" si="97"/>
        <v>1141</v>
      </c>
      <c r="P404" s="97">
        <f t="shared" si="79"/>
        <v>1141</v>
      </c>
      <c r="Q404" s="97">
        <f t="shared" si="80"/>
        <v>0</v>
      </c>
    </row>
    <row r="405" spans="1:17" ht="33.6" customHeight="1" x14ac:dyDescent="0.2">
      <c r="A405" s="40"/>
      <c r="B405" s="113" t="s">
        <v>95</v>
      </c>
      <c r="C405" s="113">
        <v>992</v>
      </c>
      <c r="D405" s="133" t="s">
        <v>388</v>
      </c>
      <c r="E405" s="136" t="s">
        <v>284</v>
      </c>
      <c r="F405" s="134">
        <v>600</v>
      </c>
      <c r="G405" s="111">
        <v>1141</v>
      </c>
      <c r="H405" s="111"/>
      <c r="I405" s="111">
        <f>SUM(G405)</f>
        <v>1141</v>
      </c>
      <c r="J405" s="115"/>
      <c r="K405" s="106"/>
      <c r="L405" s="115"/>
      <c r="M405" s="111">
        <f>SUM(G405)</f>
        <v>1141</v>
      </c>
      <c r="N405" s="111">
        <f t="shared" si="97"/>
        <v>0</v>
      </c>
      <c r="O405" s="111">
        <f t="shared" si="97"/>
        <v>1141</v>
      </c>
      <c r="P405" s="97">
        <f t="shared" si="79"/>
        <v>1141</v>
      </c>
      <c r="Q405" s="97">
        <f t="shared" si="80"/>
        <v>0</v>
      </c>
    </row>
    <row r="406" spans="1:17" ht="15.75" x14ac:dyDescent="0.2">
      <c r="A406" s="20" t="s">
        <v>394</v>
      </c>
      <c r="B406" s="107" t="s">
        <v>395</v>
      </c>
      <c r="C406" s="107" t="s">
        <v>51</v>
      </c>
      <c r="D406" s="129" t="s">
        <v>396</v>
      </c>
      <c r="E406" s="129" t="s">
        <v>11</v>
      </c>
      <c r="F406" s="130" t="s">
        <v>11</v>
      </c>
      <c r="G406" s="106">
        <f>G407</f>
        <v>15416.8</v>
      </c>
      <c r="H406" s="109">
        <f>H407</f>
        <v>0</v>
      </c>
      <c r="I406" s="106">
        <f>I407</f>
        <v>15416.8</v>
      </c>
      <c r="J406" s="108">
        <f>J407</f>
        <v>844.2</v>
      </c>
      <c r="K406" s="109">
        <f>K407+K421</f>
        <v>0</v>
      </c>
      <c r="L406" s="108">
        <f>L407</f>
        <v>844.2</v>
      </c>
      <c r="M406" s="106">
        <f>M407</f>
        <v>15972.8</v>
      </c>
      <c r="N406" s="106">
        <f>N407</f>
        <v>0</v>
      </c>
      <c r="O406" s="106">
        <f>O407</f>
        <v>15972.8</v>
      </c>
      <c r="P406" s="97">
        <f t="shared" si="79"/>
        <v>15416.8</v>
      </c>
      <c r="Q406" s="97">
        <f t="shared" si="80"/>
        <v>0</v>
      </c>
    </row>
    <row r="407" spans="1:17" ht="15.75" x14ac:dyDescent="0.2">
      <c r="A407" s="33" t="s">
        <v>397</v>
      </c>
      <c r="B407" s="110" t="s">
        <v>398</v>
      </c>
      <c r="C407" s="110" t="s">
        <v>51</v>
      </c>
      <c r="D407" s="131" t="s">
        <v>399</v>
      </c>
      <c r="E407" s="131" t="s">
        <v>11</v>
      </c>
      <c r="F407" s="132" t="s">
        <v>11</v>
      </c>
      <c r="G407" s="109">
        <f>G408+G424</f>
        <v>15416.8</v>
      </c>
      <c r="H407" s="111">
        <f>H408</f>
        <v>0</v>
      </c>
      <c r="I407" s="109">
        <f>I408+I424</f>
        <v>15416.8</v>
      </c>
      <c r="J407" s="112">
        <f>J408+J424</f>
        <v>844.2</v>
      </c>
      <c r="K407" s="111">
        <f>K408+K414</f>
        <v>0</v>
      </c>
      <c r="L407" s="112">
        <f>L408+L424</f>
        <v>844.2</v>
      </c>
      <c r="M407" s="109">
        <f>M408+M424</f>
        <v>15972.8</v>
      </c>
      <c r="N407" s="109">
        <f>N408+N424</f>
        <v>0</v>
      </c>
      <c r="O407" s="109">
        <f>O408+O424</f>
        <v>15972.8</v>
      </c>
      <c r="P407" s="97">
        <f t="shared" si="79"/>
        <v>15416.8</v>
      </c>
      <c r="Q407" s="97">
        <f t="shared" si="80"/>
        <v>0</v>
      </c>
    </row>
    <row r="408" spans="1:17" ht="31.5" x14ac:dyDescent="0.2">
      <c r="A408" s="40"/>
      <c r="B408" s="113" t="s">
        <v>400</v>
      </c>
      <c r="C408" s="113" t="s">
        <v>51</v>
      </c>
      <c r="D408" s="133" t="s">
        <v>399</v>
      </c>
      <c r="E408" s="133" t="s">
        <v>401</v>
      </c>
      <c r="F408" s="134" t="s">
        <v>11</v>
      </c>
      <c r="G408" s="111">
        <f>G409+G415</f>
        <v>15336.8</v>
      </c>
      <c r="H408" s="111">
        <f>H409+H415</f>
        <v>0</v>
      </c>
      <c r="I408" s="111">
        <f>I409+I415</f>
        <v>15336.8</v>
      </c>
      <c r="J408" s="111">
        <f>J409+J411+J422</f>
        <v>844.2</v>
      </c>
      <c r="K408" s="111">
        <f>K409+K415+K422</f>
        <v>0</v>
      </c>
      <c r="L408" s="111">
        <f>L409+L411+L422</f>
        <v>844.2</v>
      </c>
      <c r="M408" s="111">
        <f>M409+M415</f>
        <v>15892.8</v>
      </c>
      <c r="N408" s="111">
        <f>N409+N415</f>
        <v>0</v>
      </c>
      <c r="O408" s="111">
        <f>O409+O415</f>
        <v>15892.8</v>
      </c>
      <c r="P408" s="97">
        <f t="shared" si="79"/>
        <v>15336.8</v>
      </c>
      <c r="Q408" s="97">
        <f t="shared" si="80"/>
        <v>0</v>
      </c>
    </row>
    <row r="409" spans="1:17" ht="47.25" x14ac:dyDescent="0.2">
      <c r="A409" s="40"/>
      <c r="B409" s="113" t="s">
        <v>402</v>
      </c>
      <c r="C409" s="113" t="s">
        <v>51</v>
      </c>
      <c r="D409" s="133" t="s">
        <v>399</v>
      </c>
      <c r="E409" s="133" t="s">
        <v>403</v>
      </c>
      <c r="F409" s="134" t="s">
        <v>11</v>
      </c>
      <c r="G409" s="111">
        <f>G410+G413</f>
        <v>2519.6999999999998</v>
      </c>
      <c r="H409" s="111">
        <f>H410+H413</f>
        <v>57.2</v>
      </c>
      <c r="I409" s="111">
        <f>I410+I413</f>
        <v>2576.9</v>
      </c>
      <c r="J409" s="114">
        <f>J410+J413</f>
        <v>400</v>
      </c>
      <c r="K409" s="111">
        <f>K410</f>
        <v>0</v>
      </c>
      <c r="L409" s="114">
        <f>L410+L413</f>
        <v>400</v>
      </c>
      <c r="M409" s="111">
        <f>M410+M413</f>
        <v>2919.7</v>
      </c>
      <c r="N409" s="111">
        <f>N410+N413</f>
        <v>57.2</v>
      </c>
      <c r="O409" s="111">
        <f>O410+O413</f>
        <v>2976.8999999999996</v>
      </c>
      <c r="P409" s="97">
        <f t="shared" si="79"/>
        <v>2576.8999999999996</v>
      </c>
      <c r="Q409" s="97">
        <f t="shared" si="80"/>
        <v>0</v>
      </c>
    </row>
    <row r="410" spans="1:17" ht="47.25" x14ac:dyDescent="0.2">
      <c r="A410" s="40"/>
      <c r="B410" s="113" t="s">
        <v>404</v>
      </c>
      <c r="C410" s="113" t="s">
        <v>51</v>
      </c>
      <c r="D410" s="133" t="s">
        <v>399</v>
      </c>
      <c r="E410" s="133" t="s">
        <v>405</v>
      </c>
      <c r="F410" s="134" t="s">
        <v>11</v>
      </c>
      <c r="G410" s="111">
        <f>G411+G412</f>
        <v>1889.1</v>
      </c>
      <c r="H410" s="111">
        <f>SUM(H411:H412)</f>
        <v>57.2</v>
      </c>
      <c r="I410" s="111">
        <f>I411+I412</f>
        <v>1946.3</v>
      </c>
      <c r="J410" s="114">
        <f>J411+J412</f>
        <v>400</v>
      </c>
      <c r="K410" s="111">
        <f>SUM(K411:K412)</f>
        <v>0</v>
      </c>
      <c r="L410" s="114">
        <f>L411+L412</f>
        <v>400</v>
      </c>
      <c r="M410" s="111">
        <f>M411+M412</f>
        <v>2289.1</v>
      </c>
      <c r="N410" s="111">
        <f>H410+K410</f>
        <v>57.2</v>
      </c>
      <c r="O410" s="167">
        <f>O411+O412</f>
        <v>2346.2999999999997</v>
      </c>
      <c r="P410" s="97">
        <f t="shared" si="79"/>
        <v>1946.3</v>
      </c>
      <c r="Q410" s="97">
        <f t="shared" si="80"/>
        <v>0</v>
      </c>
    </row>
    <row r="411" spans="1:17" ht="78.75" x14ac:dyDescent="0.2">
      <c r="A411" s="40"/>
      <c r="B411" s="113" t="s">
        <v>61</v>
      </c>
      <c r="C411" s="113" t="s">
        <v>51</v>
      </c>
      <c r="D411" s="133" t="s">
        <v>399</v>
      </c>
      <c r="E411" s="133" t="s">
        <v>405</v>
      </c>
      <c r="F411" s="134" t="s">
        <v>62</v>
      </c>
      <c r="G411" s="111">
        <v>1818.1</v>
      </c>
      <c r="H411" s="111">
        <v>57.2</v>
      </c>
      <c r="I411" s="111">
        <f>SUM(G411:H411)</f>
        <v>1875.3</v>
      </c>
      <c r="J411" s="115">
        <v>288.2</v>
      </c>
      <c r="K411" s="111"/>
      <c r="L411" s="115">
        <f>SUM(J411:K411)</f>
        <v>288.2</v>
      </c>
      <c r="M411" s="111">
        <f>G411+J411</f>
        <v>2106.2999999999997</v>
      </c>
      <c r="N411" s="111">
        <f>H411+K411</f>
        <v>57.2</v>
      </c>
      <c r="O411" s="167">
        <f>SUM(M411:N411)</f>
        <v>2163.4999999999995</v>
      </c>
      <c r="P411" s="97">
        <f t="shared" si="79"/>
        <v>1875.3</v>
      </c>
      <c r="Q411" s="97">
        <f t="shared" si="80"/>
        <v>0</v>
      </c>
    </row>
    <row r="412" spans="1:17" ht="31.5" x14ac:dyDescent="0.2">
      <c r="A412" s="40"/>
      <c r="B412" s="113" t="s">
        <v>408</v>
      </c>
      <c r="C412" s="113" t="s">
        <v>51</v>
      </c>
      <c r="D412" s="133" t="s">
        <v>399</v>
      </c>
      <c r="E412" s="133" t="s">
        <v>405</v>
      </c>
      <c r="F412" s="134">
        <v>200</v>
      </c>
      <c r="G412" s="111">
        <v>71</v>
      </c>
      <c r="H412" s="111"/>
      <c r="I412" s="111">
        <f>SUM(G412:H412)</f>
        <v>71</v>
      </c>
      <c r="J412" s="115">
        <v>111.8</v>
      </c>
      <c r="K412" s="111"/>
      <c r="L412" s="115">
        <f>SUM(J412:K412)</f>
        <v>111.8</v>
      </c>
      <c r="M412" s="111">
        <f>G412+J412</f>
        <v>182.8</v>
      </c>
      <c r="N412" s="111">
        <f>H412+K412</f>
        <v>0</v>
      </c>
      <c r="O412" s="167">
        <f>SUM(M412:N412)</f>
        <v>182.8</v>
      </c>
      <c r="P412" s="97">
        <f t="shared" si="79"/>
        <v>71</v>
      </c>
      <c r="Q412" s="97">
        <f t="shared" si="80"/>
        <v>0</v>
      </c>
    </row>
    <row r="413" spans="1:17" ht="47.25" x14ac:dyDescent="0.2">
      <c r="A413" s="40"/>
      <c r="B413" s="113" t="s">
        <v>406</v>
      </c>
      <c r="C413" s="113" t="s">
        <v>51</v>
      </c>
      <c r="D413" s="133" t="s">
        <v>399</v>
      </c>
      <c r="E413" s="133" t="s">
        <v>407</v>
      </c>
      <c r="F413" s="134" t="s">
        <v>11</v>
      </c>
      <c r="G413" s="111">
        <f>G414</f>
        <v>630.6</v>
      </c>
      <c r="H413" s="111">
        <f>SUM(H414)</f>
        <v>0</v>
      </c>
      <c r="I413" s="111">
        <f>I414</f>
        <v>630.6</v>
      </c>
      <c r="J413" s="114">
        <f>J414</f>
        <v>0</v>
      </c>
      <c r="K413" s="111"/>
      <c r="L413" s="114">
        <f>L414</f>
        <v>0</v>
      </c>
      <c r="M413" s="111">
        <f>M414</f>
        <v>630.6</v>
      </c>
      <c r="N413" s="111">
        <f>N414</f>
        <v>0</v>
      </c>
      <c r="O413" s="111">
        <f>O414</f>
        <v>630.6</v>
      </c>
      <c r="P413" s="97">
        <f t="shared" si="79"/>
        <v>630.6</v>
      </c>
      <c r="Q413" s="97">
        <f t="shared" si="80"/>
        <v>0</v>
      </c>
    </row>
    <row r="414" spans="1:17" ht="31.5" x14ac:dyDescent="0.2">
      <c r="A414" s="40"/>
      <c r="B414" s="113" t="s">
        <v>408</v>
      </c>
      <c r="C414" s="113" t="s">
        <v>51</v>
      </c>
      <c r="D414" s="133" t="s">
        <v>399</v>
      </c>
      <c r="E414" s="133" t="s">
        <v>407</v>
      </c>
      <c r="F414" s="134" t="s">
        <v>41</v>
      </c>
      <c r="G414" s="111">
        <v>630.6</v>
      </c>
      <c r="H414" s="111"/>
      <c r="I414" s="111">
        <f>SUM(G414)+H414</f>
        <v>630.6</v>
      </c>
      <c r="J414" s="115">
        <v>0</v>
      </c>
      <c r="K414" s="111"/>
      <c r="L414" s="115">
        <v>0</v>
      </c>
      <c r="M414" s="111">
        <f>SUM(G414)</f>
        <v>630.6</v>
      </c>
      <c r="N414" s="111">
        <f>SUM(H414)</f>
        <v>0</v>
      </c>
      <c r="O414" s="111">
        <f>SUM(I414)</f>
        <v>630.6</v>
      </c>
      <c r="P414" s="97">
        <f t="shared" si="79"/>
        <v>630.6</v>
      </c>
      <c r="Q414" s="97">
        <f t="shared" si="80"/>
        <v>0</v>
      </c>
    </row>
    <row r="415" spans="1:17" ht="49.15" customHeight="1" x14ac:dyDescent="0.2">
      <c r="A415" s="40"/>
      <c r="B415" s="113" t="s">
        <v>409</v>
      </c>
      <c r="C415" s="113" t="s">
        <v>51</v>
      </c>
      <c r="D415" s="133" t="s">
        <v>399</v>
      </c>
      <c r="E415" s="133" t="s">
        <v>410</v>
      </c>
      <c r="F415" s="134" t="s">
        <v>11</v>
      </c>
      <c r="G415" s="111">
        <f>G416+G420</f>
        <v>12817.1</v>
      </c>
      <c r="H415" s="111">
        <f>H416</f>
        <v>-57.2</v>
      </c>
      <c r="I415" s="111">
        <f>I416+I420</f>
        <v>12759.9</v>
      </c>
      <c r="J415" s="114">
        <f>J416+J420+J422</f>
        <v>156</v>
      </c>
      <c r="K415" s="111">
        <f>K416+K417+K422</f>
        <v>0</v>
      </c>
      <c r="L415" s="114">
        <f>L416+L420+L422</f>
        <v>156</v>
      </c>
      <c r="M415" s="111">
        <f>M416+M420+M422</f>
        <v>12973.1</v>
      </c>
      <c r="N415" s="111">
        <f>N416+N420</f>
        <v>-57.2</v>
      </c>
      <c r="O415" s="111">
        <f>O416+O420+O422</f>
        <v>12915.9</v>
      </c>
      <c r="P415" s="97">
        <f t="shared" si="79"/>
        <v>12759.9</v>
      </c>
      <c r="Q415" s="97">
        <f t="shared" si="80"/>
        <v>0</v>
      </c>
    </row>
    <row r="416" spans="1:17" ht="31.5" x14ac:dyDescent="0.2">
      <c r="A416" s="40"/>
      <c r="B416" s="113" t="s">
        <v>134</v>
      </c>
      <c r="C416" s="113" t="s">
        <v>51</v>
      </c>
      <c r="D416" s="133" t="s">
        <v>399</v>
      </c>
      <c r="E416" s="133" t="s">
        <v>411</v>
      </c>
      <c r="F416" s="134" t="s">
        <v>11</v>
      </c>
      <c r="G416" s="111">
        <f>G417+G418+G419</f>
        <v>12012</v>
      </c>
      <c r="H416" s="111">
        <f>H417+H418+H419</f>
        <v>-57.2</v>
      </c>
      <c r="I416" s="111">
        <f>I417+I418+I419</f>
        <v>11954.8</v>
      </c>
      <c r="J416" s="114">
        <f>J417+J418+J419</f>
        <v>0</v>
      </c>
      <c r="K416" s="111">
        <f>SUM(K418)</f>
        <v>0</v>
      </c>
      <c r="L416" s="114">
        <f>L417+L418+L419</f>
        <v>0</v>
      </c>
      <c r="M416" s="111">
        <f>M417+M418+M419</f>
        <v>12012</v>
      </c>
      <c r="N416" s="111">
        <f>N417+N418+N419</f>
        <v>-57.2</v>
      </c>
      <c r="O416" s="111">
        <f>O417+O418+O419</f>
        <v>11954.8</v>
      </c>
      <c r="P416" s="97">
        <f t="shared" si="79"/>
        <v>11954.8</v>
      </c>
      <c r="Q416" s="97">
        <f t="shared" si="80"/>
        <v>0</v>
      </c>
    </row>
    <row r="417" spans="1:17" ht="78.75" x14ac:dyDescent="0.2">
      <c r="A417" s="40"/>
      <c r="B417" s="113" t="s">
        <v>61</v>
      </c>
      <c r="C417" s="113" t="s">
        <v>51</v>
      </c>
      <c r="D417" s="133" t="s">
        <v>399</v>
      </c>
      <c r="E417" s="133" t="s">
        <v>411</v>
      </c>
      <c r="F417" s="134" t="s">
        <v>62</v>
      </c>
      <c r="G417" s="111">
        <v>8949.5</v>
      </c>
      <c r="H417" s="111">
        <v>-57.2</v>
      </c>
      <c r="I417" s="111">
        <f>SUM(G417)+H417</f>
        <v>8892.2999999999993</v>
      </c>
      <c r="J417" s="115">
        <v>0</v>
      </c>
      <c r="K417" s="111"/>
      <c r="L417" s="115">
        <v>0</v>
      </c>
      <c r="M417" s="111">
        <f>SUM(G417)</f>
        <v>8949.5</v>
      </c>
      <c r="N417" s="111">
        <f>SUM(H417)</f>
        <v>-57.2</v>
      </c>
      <c r="O417" s="111">
        <f>SUM(I417)</f>
        <v>8892.2999999999993</v>
      </c>
      <c r="P417" s="97">
        <f t="shared" si="79"/>
        <v>8892.2999999999993</v>
      </c>
      <c r="Q417" s="97">
        <f t="shared" si="80"/>
        <v>0</v>
      </c>
    </row>
    <row r="418" spans="1:17" ht="31.5" x14ac:dyDescent="0.2">
      <c r="A418" s="40"/>
      <c r="B418" s="113" t="s">
        <v>40</v>
      </c>
      <c r="C418" s="113" t="s">
        <v>51</v>
      </c>
      <c r="D418" s="133" t="s">
        <v>399</v>
      </c>
      <c r="E418" s="133" t="s">
        <v>411</v>
      </c>
      <c r="F418" s="134" t="s">
        <v>41</v>
      </c>
      <c r="G418" s="111">
        <v>3058.8</v>
      </c>
      <c r="H418" s="111"/>
      <c r="I418" s="111">
        <f>SUM(G418)+H418</f>
        <v>3058.8</v>
      </c>
      <c r="J418" s="115">
        <v>0</v>
      </c>
      <c r="K418" s="111"/>
      <c r="L418" s="114">
        <f>K418</f>
        <v>0</v>
      </c>
      <c r="M418" s="111">
        <f>SUM(G418)</f>
        <v>3058.8</v>
      </c>
      <c r="N418" s="111">
        <f>SUM(H418+K418)</f>
        <v>0</v>
      </c>
      <c r="O418" s="111">
        <f>SUM(I418)</f>
        <v>3058.8</v>
      </c>
      <c r="P418" s="97">
        <f t="shared" si="79"/>
        <v>3058.8</v>
      </c>
      <c r="Q418" s="97">
        <f t="shared" si="80"/>
        <v>0</v>
      </c>
    </row>
    <row r="419" spans="1:17" ht="15.75" x14ac:dyDescent="0.2">
      <c r="A419" s="40"/>
      <c r="B419" s="113" t="s">
        <v>338</v>
      </c>
      <c r="C419" s="113" t="s">
        <v>51</v>
      </c>
      <c r="D419" s="133" t="s">
        <v>399</v>
      </c>
      <c r="E419" s="133" t="s">
        <v>411</v>
      </c>
      <c r="F419" s="134" t="s">
        <v>71</v>
      </c>
      <c r="G419" s="111">
        <v>3.7</v>
      </c>
      <c r="H419" s="111"/>
      <c r="I419" s="111">
        <v>3.7</v>
      </c>
      <c r="J419" s="115">
        <v>0</v>
      </c>
      <c r="K419" s="111"/>
      <c r="L419" s="115">
        <v>0</v>
      </c>
      <c r="M419" s="111">
        <v>3.7</v>
      </c>
      <c r="N419" s="111"/>
      <c r="O419" s="111">
        <v>3.7</v>
      </c>
      <c r="P419" s="97">
        <f t="shared" ref="P419:P482" si="98">G419+H419</f>
        <v>3.7</v>
      </c>
      <c r="Q419" s="97">
        <f t="shared" ref="Q419:Q482" si="99">I419-P419</f>
        <v>0</v>
      </c>
    </row>
    <row r="420" spans="1:17" ht="31.5" x14ac:dyDescent="0.2">
      <c r="A420" s="40"/>
      <c r="B420" s="113" t="s">
        <v>412</v>
      </c>
      <c r="C420" s="113" t="s">
        <v>51</v>
      </c>
      <c r="D420" s="133" t="s">
        <v>399</v>
      </c>
      <c r="E420" s="133" t="s">
        <v>413</v>
      </c>
      <c r="F420" s="134" t="s">
        <v>11</v>
      </c>
      <c r="G420" s="111">
        <f>G421</f>
        <v>805.1</v>
      </c>
      <c r="H420" s="111"/>
      <c r="I420" s="111">
        <f>I421</f>
        <v>805.1</v>
      </c>
      <c r="J420" s="114">
        <f>J421</f>
        <v>0</v>
      </c>
      <c r="K420" s="111"/>
      <c r="L420" s="114">
        <f>L421</f>
        <v>0</v>
      </c>
      <c r="M420" s="111">
        <f>M421</f>
        <v>805.1</v>
      </c>
      <c r="N420" s="111">
        <f>N421</f>
        <v>0</v>
      </c>
      <c r="O420" s="111">
        <f>O421</f>
        <v>805.1</v>
      </c>
      <c r="P420" s="97">
        <f t="shared" si="98"/>
        <v>805.1</v>
      </c>
      <c r="Q420" s="97">
        <f t="shared" si="99"/>
        <v>0</v>
      </c>
    </row>
    <row r="421" spans="1:17" ht="31.5" x14ac:dyDescent="0.2">
      <c r="A421" s="40"/>
      <c r="B421" s="113" t="s">
        <v>40</v>
      </c>
      <c r="C421" s="113" t="s">
        <v>51</v>
      </c>
      <c r="D421" s="133" t="s">
        <v>399</v>
      </c>
      <c r="E421" s="133" t="s">
        <v>413</v>
      </c>
      <c r="F421" s="134" t="s">
        <v>41</v>
      </c>
      <c r="G421" s="111">
        <v>805.1</v>
      </c>
      <c r="H421" s="111"/>
      <c r="I421" s="111">
        <f>SUM(G421)+H421</f>
        <v>805.1</v>
      </c>
      <c r="J421" s="115">
        <v>0</v>
      </c>
      <c r="K421" s="111"/>
      <c r="L421" s="115">
        <v>0</v>
      </c>
      <c r="M421" s="111">
        <f>SUM(G421)</f>
        <v>805.1</v>
      </c>
      <c r="N421" s="111">
        <f>SUM(H421)</f>
        <v>0</v>
      </c>
      <c r="O421" s="111">
        <f>SUM(M421)+N421</f>
        <v>805.1</v>
      </c>
      <c r="P421" s="97">
        <f t="shared" si="98"/>
        <v>805.1</v>
      </c>
      <c r="Q421" s="97">
        <f t="shared" si="99"/>
        <v>0</v>
      </c>
    </row>
    <row r="422" spans="1:17" ht="40.9" customHeight="1" x14ac:dyDescent="0.2">
      <c r="A422" s="40"/>
      <c r="B422" s="96" t="s">
        <v>414</v>
      </c>
      <c r="C422" s="113">
        <v>992</v>
      </c>
      <c r="D422" s="133" t="s">
        <v>399</v>
      </c>
      <c r="E422" s="136" t="s">
        <v>415</v>
      </c>
      <c r="F422" s="134"/>
      <c r="G422" s="111"/>
      <c r="H422" s="111"/>
      <c r="I422" s="111"/>
      <c r="J422" s="115">
        <v>156</v>
      </c>
      <c r="K422" s="111"/>
      <c r="L422" s="115">
        <f>SUM(L423)</f>
        <v>156</v>
      </c>
      <c r="M422" s="111">
        <f t="shared" ref="M422:O423" si="100">SUM(J422)</f>
        <v>156</v>
      </c>
      <c r="N422" s="111">
        <f t="shared" si="100"/>
        <v>0</v>
      </c>
      <c r="O422" s="111">
        <f t="shared" si="100"/>
        <v>156</v>
      </c>
      <c r="P422" s="97">
        <f t="shared" si="98"/>
        <v>0</v>
      </c>
      <c r="Q422" s="97">
        <f t="shared" si="99"/>
        <v>0</v>
      </c>
    </row>
    <row r="423" spans="1:17" ht="31.5" x14ac:dyDescent="0.2">
      <c r="A423" s="40"/>
      <c r="B423" s="113" t="s">
        <v>40</v>
      </c>
      <c r="C423" s="113">
        <v>992</v>
      </c>
      <c r="D423" s="133" t="s">
        <v>399</v>
      </c>
      <c r="E423" s="136" t="s">
        <v>415</v>
      </c>
      <c r="F423" s="134">
        <v>200</v>
      </c>
      <c r="G423" s="111"/>
      <c r="H423" s="111"/>
      <c r="I423" s="111"/>
      <c r="J423" s="115">
        <v>156</v>
      </c>
      <c r="K423" s="111"/>
      <c r="L423" s="115">
        <f>SUM(J423)</f>
        <v>156</v>
      </c>
      <c r="M423" s="111">
        <f t="shared" si="100"/>
        <v>156</v>
      </c>
      <c r="N423" s="111">
        <f t="shared" si="100"/>
        <v>0</v>
      </c>
      <c r="O423" s="111">
        <f t="shared" si="100"/>
        <v>156</v>
      </c>
      <c r="P423" s="97">
        <f t="shared" si="98"/>
        <v>0</v>
      </c>
      <c r="Q423" s="97">
        <f t="shared" si="99"/>
        <v>0</v>
      </c>
    </row>
    <row r="424" spans="1:17" ht="31.5" x14ac:dyDescent="0.2">
      <c r="A424" s="40"/>
      <c r="B424" s="113" t="s">
        <v>87</v>
      </c>
      <c r="C424" s="113" t="s">
        <v>51</v>
      </c>
      <c r="D424" s="133" t="s">
        <v>399</v>
      </c>
      <c r="E424" s="133" t="s">
        <v>88</v>
      </c>
      <c r="F424" s="134" t="s">
        <v>11</v>
      </c>
      <c r="G424" s="111">
        <f t="shared" ref="G424:O427" si="101">G425</f>
        <v>80</v>
      </c>
      <c r="H424" s="111">
        <f t="shared" si="101"/>
        <v>0</v>
      </c>
      <c r="I424" s="111">
        <f t="shared" si="101"/>
        <v>80</v>
      </c>
      <c r="J424" s="114">
        <f t="shared" si="101"/>
        <v>0</v>
      </c>
      <c r="K424" s="111">
        <f>K425</f>
        <v>0</v>
      </c>
      <c r="L424" s="114">
        <f t="shared" si="101"/>
        <v>0</v>
      </c>
      <c r="M424" s="111">
        <f t="shared" si="101"/>
        <v>80</v>
      </c>
      <c r="N424" s="111">
        <f t="shared" si="101"/>
        <v>0</v>
      </c>
      <c r="O424" s="111">
        <f t="shared" si="101"/>
        <v>80</v>
      </c>
      <c r="P424" s="97">
        <f t="shared" si="98"/>
        <v>80</v>
      </c>
      <c r="Q424" s="97">
        <f t="shared" si="99"/>
        <v>0</v>
      </c>
    </row>
    <row r="425" spans="1:17" ht="33" customHeight="1" x14ac:dyDescent="0.2">
      <c r="A425" s="40"/>
      <c r="B425" s="113" t="s">
        <v>89</v>
      </c>
      <c r="C425" s="113" t="s">
        <v>51</v>
      </c>
      <c r="D425" s="133" t="s">
        <v>399</v>
      </c>
      <c r="E425" s="133" t="s">
        <v>90</v>
      </c>
      <c r="F425" s="134" t="s">
        <v>11</v>
      </c>
      <c r="G425" s="111">
        <f t="shared" si="101"/>
        <v>80</v>
      </c>
      <c r="H425" s="111">
        <f t="shared" si="101"/>
        <v>0</v>
      </c>
      <c r="I425" s="111">
        <f t="shared" si="101"/>
        <v>80</v>
      </c>
      <c r="J425" s="114">
        <f t="shared" si="101"/>
        <v>0</v>
      </c>
      <c r="K425" s="111">
        <f>K426</f>
        <v>0</v>
      </c>
      <c r="L425" s="114">
        <f t="shared" si="101"/>
        <v>0</v>
      </c>
      <c r="M425" s="111">
        <f t="shared" si="101"/>
        <v>80</v>
      </c>
      <c r="N425" s="111">
        <f t="shared" si="101"/>
        <v>0</v>
      </c>
      <c r="O425" s="111">
        <f t="shared" si="101"/>
        <v>80</v>
      </c>
      <c r="P425" s="97">
        <f t="shared" si="98"/>
        <v>80</v>
      </c>
      <c r="Q425" s="97">
        <f t="shared" si="99"/>
        <v>0</v>
      </c>
    </row>
    <row r="426" spans="1:17" ht="40.9" customHeight="1" x14ac:dyDescent="0.2">
      <c r="A426" s="40"/>
      <c r="B426" s="113" t="s">
        <v>91</v>
      </c>
      <c r="C426" s="113" t="s">
        <v>51</v>
      </c>
      <c r="D426" s="133" t="s">
        <v>399</v>
      </c>
      <c r="E426" s="133" t="s">
        <v>92</v>
      </c>
      <c r="F426" s="134" t="s">
        <v>11</v>
      </c>
      <c r="G426" s="111">
        <f t="shared" si="101"/>
        <v>80</v>
      </c>
      <c r="H426" s="111">
        <f t="shared" si="101"/>
        <v>0</v>
      </c>
      <c r="I426" s="111">
        <f t="shared" si="101"/>
        <v>80</v>
      </c>
      <c r="J426" s="114">
        <f t="shared" si="101"/>
        <v>0</v>
      </c>
      <c r="K426" s="111">
        <f>K427</f>
        <v>0</v>
      </c>
      <c r="L426" s="114">
        <f t="shared" si="101"/>
        <v>0</v>
      </c>
      <c r="M426" s="111">
        <f t="shared" si="101"/>
        <v>80</v>
      </c>
      <c r="N426" s="111">
        <f t="shared" si="101"/>
        <v>0</v>
      </c>
      <c r="O426" s="111">
        <f t="shared" si="101"/>
        <v>80</v>
      </c>
      <c r="P426" s="97">
        <f t="shared" si="98"/>
        <v>80</v>
      </c>
      <c r="Q426" s="97">
        <f t="shared" si="99"/>
        <v>0</v>
      </c>
    </row>
    <row r="427" spans="1:17" ht="47.25" x14ac:dyDescent="0.2">
      <c r="A427" s="40"/>
      <c r="B427" s="113" t="s">
        <v>93</v>
      </c>
      <c r="C427" s="113" t="s">
        <v>51</v>
      </c>
      <c r="D427" s="133" t="s">
        <v>399</v>
      </c>
      <c r="E427" s="133" t="s">
        <v>94</v>
      </c>
      <c r="F427" s="134" t="s">
        <v>11</v>
      </c>
      <c r="G427" s="111">
        <f>G428</f>
        <v>80</v>
      </c>
      <c r="H427" s="111"/>
      <c r="I427" s="111">
        <f>I428</f>
        <v>80</v>
      </c>
      <c r="J427" s="114">
        <f t="shared" si="101"/>
        <v>0</v>
      </c>
      <c r="K427" s="111"/>
      <c r="L427" s="114">
        <f t="shared" si="101"/>
        <v>0</v>
      </c>
      <c r="M427" s="111">
        <f t="shared" si="101"/>
        <v>80</v>
      </c>
      <c r="N427" s="111">
        <f t="shared" si="101"/>
        <v>0</v>
      </c>
      <c r="O427" s="111">
        <f t="shared" si="101"/>
        <v>80</v>
      </c>
      <c r="P427" s="97">
        <f t="shared" si="98"/>
        <v>80</v>
      </c>
      <c r="Q427" s="97">
        <f t="shared" si="99"/>
        <v>0</v>
      </c>
    </row>
    <row r="428" spans="1:17" ht="30.6" customHeight="1" x14ac:dyDescent="0.2">
      <c r="A428" s="40"/>
      <c r="B428" s="113" t="s">
        <v>95</v>
      </c>
      <c r="C428" s="113" t="s">
        <v>51</v>
      </c>
      <c r="D428" s="133" t="s">
        <v>399</v>
      </c>
      <c r="E428" s="133" t="s">
        <v>94</v>
      </c>
      <c r="F428" s="134" t="s">
        <v>96</v>
      </c>
      <c r="G428" s="111">
        <v>80</v>
      </c>
      <c r="H428" s="106"/>
      <c r="I428" s="111">
        <v>80</v>
      </c>
      <c r="J428" s="115">
        <v>0</v>
      </c>
      <c r="K428" s="106"/>
      <c r="L428" s="115">
        <v>0</v>
      </c>
      <c r="M428" s="111">
        <v>80</v>
      </c>
      <c r="N428" s="111"/>
      <c r="O428" s="111">
        <v>80</v>
      </c>
      <c r="P428" s="97">
        <f t="shared" si="98"/>
        <v>80</v>
      </c>
      <c r="Q428" s="97">
        <f t="shared" si="99"/>
        <v>0</v>
      </c>
    </row>
    <row r="429" spans="1:17" ht="15.75" x14ac:dyDescent="0.2">
      <c r="A429" s="20" t="s">
        <v>416</v>
      </c>
      <c r="B429" s="107" t="s">
        <v>417</v>
      </c>
      <c r="C429" s="107" t="s">
        <v>51</v>
      </c>
      <c r="D429" s="129" t="s">
        <v>418</v>
      </c>
      <c r="E429" s="129" t="s">
        <v>11</v>
      </c>
      <c r="F429" s="130" t="s">
        <v>11</v>
      </c>
      <c r="G429" s="106">
        <f>G430+G436+G442+G448</f>
        <v>57674.1</v>
      </c>
      <c r="H429" s="109">
        <f>H430+H436+H442</f>
        <v>349.8</v>
      </c>
      <c r="I429" s="106">
        <f>I430+I436+I442+I448</f>
        <v>58023.9</v>
      </c>
      <c r="J429" s="108">
        <f>J430+J436+J442+J448</f>
        <v>2934.3</v>
      </c>
      <c r="K429" s="109">
        <f>K430+K436+K442</f>
        <v>0</v>
      </c>
      <c r="L429" s="108">
        <f>L430+L436+L442+L448</f>
        <v>2934.3</v>
      </c>
      <c r="M429" s="106">
        <f>M430+M436+M442+M448</f>
        <v>60608.399999999994</v>
      </c>
      <c r="N429" s="106">
        <f>N430+N436+N442+N448</f>
        <v>349.8</v>
      </c>
      <c r="O429" s="106">
        <f>O430+O436+O442+O448</f>
        <v>60958.2</v>
      </c>
      <c r="P429" s="97">
        <f t="shared" si="98"/>
        <v>58023.9</v>
      </c>
      <c r="Q429" s="97">
        <f t="shared" si="99"/>
        <v>0</v>
      </c>
    </row>
    <row r="430" spans="1:17" ht="15.75" x14ac:dyDescent="0.2">
      <c r="A430" s="33" t="s">
        <v>419</v>
      </c>
      <c r="B430" s="110" t="s">
        <v>420</v>
      </c>
      <c r="C430" s="110" t="s">
        <v>51</v>
      </c>
      <c r="D430" s="131" t="s">
        <v>421</v>
      </c>
      <c r="E430" s="131" t="s">
        <v>11</v>
      </c>
      <c r="F430" s="132" t="s">
        <v>11</v>
      </c>
      <c r="G430" s="109">
        <f t="shared" ref="G430:O434" si="102">G431</f>
        <v>4272.7</v>
      </c>
      <c r="H430" s="111">
        <f t="shared" si="102"/>
        <v>52.8</v>
      </c>
      <c r="I430" s="109">
        <f t="shared" si="102"/>
        <v>4325.5</v>
      </c>
      <c r="J430" s="112">
        <f t="shared" si="102"/>
        <v>0</v>
      </c>
      <c r="K430" s="111">
        <f>K431</f>
        <v>0</v>
      </c>
      <c r="L430" s="112">
        <f t="shared" si="102"/>
        <v>0</v>
      </c>
      <c r="M430" s="109">
        <f t="shared" si="102"/>
        <v>4272.7</v>
      </c>
      <c r="N430" s="109">
        <f t="shared" si="102"/>
        <v>52.8</v>
      </c>
      <c r="O430" s="109">
        <f t="shared" si="102"/>
        <v>4325.5</v>
      </c>
      <c r="P430" s="97">
        <f t="shared" si="98"/>
        <v>4325.5</v>
      </c>
      <c r="Q430" s="97">
        <f t="shared" si="99"/>
        <v>0</v>
      </c>
    </row>
    <row r="431" spans="1:17" ht="31.5" x14ac:dyDescent="0.2">
      <c r="A431" s="40"/>
      <c r="B431" s="113" t="s">
        <v>87</v>
      </c>
      <c r="C431" s="113" t="s">
        <v>51</v>
      </c>
      <c r="D431" s="133" t="s">
        <v>421</v>
      </c>
      <c r="E431" s="133" t="s">
        <v>88</v>
      </c>
      <c r="F431" s="134" t="s">
        <v>11</v>
      </c>
      <c r="G431" s="111">
        <f t="shared" si="102"/>
        <v>4272.7</v>
      </c>
      <c r="H431" s="111">
        <f t="shared" si="102"/>
        <v>52.8</v>
      </c>
      <c r="I431" s="111">
        <f t="shared" si="102"/>
        <v>4325.5</v>
      </c>
      <c r="J431" s="114">
        <f t="shared" si="102"/>
        <v>0</v>
      </c>
      <c r="K431" s="111">
        <f>K432</f>
        <v>0</v>
      </c>
      <c r="L431" s="114">
        <f t="shared" si="102"/>
        <v>0</v>
      </c>
      <c r="M431" s="111">
        <f t="shared" si="102"/>
        <v>4272.7</v>
      </c>
      <c r="N431" s="111">
        <f t="shared" si="102"/>
        <v>52.8</v>
      </c>
      <c r="O431" s="111">
        <f t="shared" si="102"/>
        <v>4325.5</v>
      </c>
      <c r="P431" s="97">
        <f t="shared" si="98"/>
        <v>4325.5</v>
      </c>
      <c r="Q431" s="97">
        <f t="shared" si="99"/>
        <v>0</v>
      </c>
    </row>
    <row r="432" spans="1:17" ht="31.5" x14ac:dyDescent="0.2">
      <c r="A432" s="40"/>
      <c r="B432" s="113" t="s">
        <v>422</v>
      </c>
      <c r="C432" s="113" t="s">
        <v>51</v>
      </c>
      <c r="D432" s="133" t="s">
        <v>421</v>
      </c>
      <c r="E432" s="133" t="s">
        <v>423</v>
      </c>
      <c r="F432" s="134" t="s">
        <v>11</v>
      </c>
      <c r="G432" s="111">
        <f t="shared" si="102"/>
        <v>4272.7</v>
      </c>
      <c r="H432" s="111">
        <f t="shared" si="102"/>
        <v>52.8</v>
      </c>
      <c r="I432" s="111">
        <f t="shared" si="102"/>
        <v>4325.5</v>
      </c>
      <c r="J432" s="114">
        <f t="shared" si="102"/>
        <v>0</v>
      </c>
      <c r="K432" s="111">
        <f>K433</f>
        <v>0</v>
      </c>
      <c r="L432" s="114">
        <f t="shared" si="102"/>
        <v>0</v>
      </c>
      <c r="M432" s="111">
        <f t="shared" si="102"/>
        <v>4272.7</v>
      </c>
      <c r="N432" s="111">
        <f t="shared" si="102"/>
        <v>52.8</v>
      </c>
      <c r="O432" s="111">
        <f t="shared" si="102"/>
        <v>4325.5</v>
      </c>
      <c r="P432" s="97">
        <f t="shared" si="98"/>
        <v>4325.5</v>
      </c>
      <c r="Q432" s="97">
        <f t="shared" si="99"/>
        <v>0</v>
      </c>
    </row>
    <row r="433" spans="1:17" ht="47.25" x14ac:dyDescent="0.2">
      <c r="A433" s="40"/>
      <c r="B433" s="113" t="s">
        <v>424</v>
      </c>
      <c r="C433" s="113" t="s">
        <v>51</v>
      </c>
      <c r="D433" s="133" t="s">
        <v>421</v>
      </c>
      <c r="E433" s="133" t="s">
        <v>425</v>
      </c>
      <c r="F433" s="134" t="s">
        <v>11</v>
      </c>
      <c r="G433" s="111">
        <f t="shared" si="102"/>
        <v>4272.7</v>
      </c>
      <c r="H433" s="111">
        <f t="shared" si="102"/>
        <v>52.8</v>
      </c>
      <c r="I433" s="111">
        <f t="shared" si="102"/>
        <v>4325.5</v>
      </c>
      <c r="J433" s="114">
        <f t="shared" si="102"/>
        <v>0</v>
      </c>
      <c r="K433" s="111">
        <f>K434</f>
        <v>0</v>
      </c>
      <c r="L433" s="114">
        <f t="shared" si="102"/>
        <v>0</v>
      </c>
      <c r="M433" s="111">
        <f t="shared" si="102"/>
        <v>4272.7</v>
      </c>
      <c r="N433" s="111">
        <f t="shared" si="102"/>
        <v>52.8</v>
      </c>
      <c r="O433" s="111">
        <f t="shared" si="102"/>
        <v>4325.5</v>
      </c>
      <c r="P433" s="97">
        <f t="shared" si="98"/>
        <v>4325.5</v>
      </c>
      <c r="Q433" s="97">
        <f t="shared" si="99"/>
        <v>0</v>
      </c>
    </row>
    <row r="434" spans="1:17" ht="33" customHeight="1" x14ac:dyDescent="0.2">
      <c r="A434" s="40"/>
      <c r="B434" s="113" t="s">
        <v>426</v>
      </c>
      <c r="C434" s="113" t="s">
        <v>51</v>
      </c>
      <c r="D434" s="133" t="s">
        <v>421</v>
      </c>
      <c r="E434" s="133" t="s">
        <v>427</v>
      </c>
      <c r="F434" s="134" t="s">
        <v>11</v>
      </c>
      <c r="G434" s="111">
        <f>G435</f>
        <v>4272.7</v>
      </c>
      <c r="H434" s="111">
        <f>H435</f>
        <v>52.8</v>
      </c>
      <c r="I434" s="111">
        <f>I435</f>
        <v>4325.5</v>
      </c>
      <c r="J434" s="114">
        <f t="shared" si="102"/>
        <v>0</v>
      </c>
      <c r="K434" s="111"/>
      <c r="L434" s="114">
        <f t="shared" si="102"/>
        <v>0</v>
      </c>
      <c r="M434" s="111">
        <f t="shared" si="102"/>
        <v>4272.7</v>
      </c>
      <c r="N434" s="111">
        <f t="shared" si="102"/>
        <v>52.8</v>
      </c>
      <c r="O434" s="111">
        <f t="shared" si="102"/>
        <v>4325.5</v>
      </c>
      <c r="P434" s="97">
        <f t="shared" si="98"/>
        <v>4325.5</v>
      </c>
      <c r="Q434" s="97">
        <f t="shared" si="99"/>
        <v>0</v>
      </c>
    </row>
    <row r="435" spans="1:17" ht="31.5" x14ac:dyDescent="0.2">
      <c r="A435" s="40"/>
      <c r="B435" s="113" t="s">
        <v>112</v>
      </c>
      <c r="C435" s="113" t="s">
        <v>51</v>
      </c>
      <c r="D435" s="133" t="s">
        <v>421</v>
      </c>
      <c r="E435" s="133" t="s">
        <v>427</v>
      </c>
      <c r="F435" s="134" t="s">
        <v>113</v>
      </c>
      <c r="G435" s="111">
        <v>4272.7</v>
      </c>
      <c r="H435" s="111">
        <v>52.8</v>
      </c>
      <c r="I435" s="111">
        <f>SUM(G435:H435)</f>
        <v>4325.5</v>
      </c>
      <c r="J435" s="115">
        <v>0</v>
      </c>
      <c r="K435" s="109"/>
      <c r="L435" s="115">
        <v>0</v>
      </c>
      <c r="M435" s="111">
        <f>SUM(G435)</f>
        <v>4272.7</v>
      </c>
      <c r="N435" s="111">
        <f>H435+K435</f>
        <v>52.8</v>
      </c>
      <c r="O435" s="111">
        <f>SUM(M435:N435)</f>
        <v>4325.5</v>
      </c>
      <c r="P435" s="97">
        <f t="shared" si="98"/>
        <v>4325.5</v>
      </c>
      <c r="Q435" s="97">
        <f t="shared" si="99"/>
        <v>0</v>
      </c>
    </row>
    <row r="436" spans="1:17" ht="15.75" x14ac:dyDescent="0.2">
      <c r="A436" s="33" t="s">
        <v>428</v>
      </c>
      <c r="B436" s="110" t="s">
        <v>429</v>
      </c>
      <c r="C436" s="110" t="s">
        <v>51</v>
      </c>
      <c r="D436" s="131" t="s">
        <v>430</v>
      </c>
      <c r="E436" s="131" t="s">
        <v>11</v>
      </c>
      <c r="F436" s="132" t="s">
        <v>11</v>
      </c>
      <c r="G436" s="109">
        <f t="shared" ref="G436:O440" si="103">G437</f>
        <v>51483</v>
      </c>
      <c r="H436" s="111">
        <f t="shared" si="103"/>
        <v>297</v>
      </c>
      <c r="I436" s="109">
        <f t="shared" si="103"/>
        <v>51780</v>
      </c>
      <c r="J436" s="112">
        <f t="shared" si="103"/>
        <v>0</v>
      </c>
      <c r="K436" s="111">
        <f>K437</f>
        <v>0</v>
      </c>
      <c r="L436" s="112">
        <f t="shared" si="103"/>
        <v>0</v>
      </c>
      <c r="M436" s="109">
        <f t="shared" si="103"/>
        <v>51483</v>
      </c>
      <c r="N436" s="109">
        <f t="shared" si="103"/>
        <v>297</v>
      </c>
      <c r="O436" s="109">
        <f t="shared" si="103"/>
        <v>51780</v>
      </c>
      <c r="P436" s="97">
        <f t="shared" si="98"/>
        <v>51780</v>
      </c>
      <c r="Q436" s="97">
        <f t="shared" si="99"/>
        <v>0</v>
      </c>
    </row>
    <row r="437" spans="1:17" ht="31.5" x14ac:dyDescent="0.2">
      <c r="A437" s="40"/>
      <c r="B437" s="113" t="s">
        <v>87</v>
      </c>
      <c r="C437" s="113" t="s">
        <v>51</v>
      </c>
      <c r="D437" s="133" t="s">
        <v>430</v>
      </c>
      <c r="E437" s="133" t="s">
        <v>88</v>
      </c>
      <c r="F437" s="134" t="s">
        <v>11</v>
      </c>
      <c r="G437" s="111">
        <f t="shared" si="103"/>
        <v>51483</v>
      </c>
      <c r="H437" s="111">
        <f t="shared" si="103"/>
        <v>297</v>
      </c>
      <c r="I437" s="111">
        <f t="shared" si="103"/>
        <v>51780</v>
      </c>
      <c r="J437" s="114">
        <f t="shared" si="103"/>
        <v>0</v>
      </c>
      <c r="K437" s="111">
        <f>K438</f>
        <v>0</v>
      </c>
      <c r="L437" s="114">
        <f t="shared" si="103"/>
        <v>0</v>
      </c>
      <c r="M437" s="111">
        <f t="shared" si="103"/>
        <v>51483</v>
      </c>
      <c r="N437" s="111">
        <f t="shared" si="103"/>
        <v>297</v>
      </c>
      <c r="O437" s="111">
        <f t="shared" si="103"/>
        <v>51780</v>
      </c>
      <c r="P437" s="97">
        <f t="shared" si="98"/>
        <v>51780</v>
      </c>
      <c r="Q437" s="97">
        <f t="shared" si="99"/>
        <v>0</v>
      </c>
    </row>
    <row r="438" spans="1:17" ht="31.5" x14ac:dyDescent="0.2">
      <c r="A438" s="40"/>
      <c r="B438" s="113" t="s">
        <v>422</v>
      </c>
      <c r="C438" s="113" t="s">
        <v>51</v>
      </c>
      <c r="D438" s="133" t="s">
        <v>430</v>
      </c>
      <c r="E438" s="133" t="s">
        <v>423</v>
      </c>
      <c r="F438" s="134" t="s">
        <v>11</v>
      </c>
      <c r="G438" s="111">
        <f t="shared" si="103"/>
        <v>51483</v>
      </c>
      <c r="H438" s="111">
        <f t="shared" si="103"/>
        <v>297</v>
      </c>
      <c r="I438" s="111">
        <f t="shared" si="103"/>
        <v>51780</v>
      </c>
      <c r="J438" s="114">
        <f t="shared" si="103"/>
        <v>0</v>
      </c>
      <c r="K438" s="111">
        <f>K439</f>
        <v>0</v>
      </c>
      <c r="L438" s="114">
        <f t="shared" si="103"/>
        <v>0</v>
      </c>
      <c r="M438" s="111">
        <f t="shared" si="103"/>
        <v>51483</v>
      </c>
      <c r="N438" s="111">
        <f t="shared" si="103"/>
        <v>297</v>
      </c>
      <c r="O438" s="111">
        <f t="shared" si="103"/>
        <v>51780</v>
      </c>
      <c r="P438" s="97">
        <f t="shared" si="98"/>
        <v>51780</v>
      </c>
      <c r="Q438" s="97">
        <f t="shared" si="99"/>
        <v>0</v>
      </c>
    </row>
    <row r="439" spans="1:17" ht="31.5" x14ac:dyDescent="0.2">
      <c r="A439" s="40"/>
      <c r="B439" s="113" t="s">
        <v>431</v>
      </c>
      <c r="C439" s="113" t="s">
        <v>51</v>
      </c>
      <c r="D439" s="133" t="s">
        <v>430</v>
      </c>
      <c r="E439" s="133" t="s">
        <v>432</v>
      </c>
      <c r="F439" s="134" t="s">
        <v>11</v>
      </c>
      <c r="G439" s="111">
        <f t="shared" si="103"/>
        <v>51483</v>
      </c>
      <c r="H439" s="111">
        <f t="shared" si="103"/>
        <v>297</v>
      </c>
      <c r="I439" s="111">
        <f t="shared" si="103"/>
        <v>51780</v>
      </c>
      <c r="J439" s="114">
        <f t="shared" si="103"/>
        <v>0</v>
      </c>
      <c r="K439" s="111">
        <f>K440</f>
        <v>0</v>
      </c>
      <c r="L439" s="114">
        <f t="shared" si="103"/>
        <v>0</v>
      </c>
      <c r="M439" s="111">
        <f t="shared" si="103"/>
        <v>51483</v>
      </c>
      <c r="N439" s="111">
        <f t="shared" si="103"/>
        <v>297</v>
      </c>
      <c r="O439" s="111">
        <f t="shared" si="103"/>
        <v>51780</v>
      </c>
      <c r="P439" s="97">
        <f t="shared" si="98"/>
        <v>51780</v>
      </c>
      <c r="Q439" s="97">
        <f t="shared" si="99"/>
        <v>0</v>
      </c>
    </row>
    <row r="440" spans="1:17" ht="21" customHeight="1" x14ac:dyDescent="0.2">
      <c r="A440" s="40"/>
      <c r="B440" s="113" t="s">
        <v>433</v>
      </c>
      <c r="C440" s="113" t="s">
        <v>51</v>
      </c>
      <c r="D440" s="133" t="s">
        <v>430</v>
      </c>
      <c r="E440" s="133" t="s">
        <v>434</v>
      </c>
      <c r="F440" s="134" t="s">
        <v>11</v>
      </c>
      <c r="G440" s="111">
        <f>G441</f>
        <v>51483</v>
      </c>
      <c r="H440" s="109">
        <f>297</f>
        <v>297</v>
      </c>
      <c r="I440" s="111">
        <f>I441</f>
        <v>51780</v>
      </c>
      <c r="J440" s="114">
        <f t="shared" si="103"/>
        <v>0</v>
      </c>
      <c r="K440" s="111"/>
      <c r="L440" s="114">
        <f t="shared" si="103"/>
        <v>0</v>
      </c>
      <c r="M440" s="111">
        <f t="shared" si="103"/>
        <v>51483</v>
      </c>
      <c r="N440" s="111">
        <f t="shared" si="103"/>
        <v>297</v>
      </c>
      <c r="O440" s="111">
        <f t="shared" si="103"/>
        <v>51780</v>
      </c>
      <c r="P440" s="97">
        <f t="shared" si="98"/>
        <v>51780</v>
      </c>
      <c r="Q440" s="97">
        <f t="shared" si="99"/>
        <v>0</v>
      </c>
    </row>
    <row r="441" spans="1:17" ht="31.5" x14ac:dyDescent="0.2">
      <c r="A441" s="40"/>
      <c r="B441" s="113" t="s">
        <v>112</v>
      </c>
      <c r="C441" s="113" t="s">
        <v>51</v>
      </c>
      <c r="D441" s="133" t="s">
        <v>430</v>
      </c>
      <c r="E441" s="133" t="s">
        <v>434</v>
      </c>
      <c r="F441" s="134" t="s">
        <v>113</v>
      </c>
      <c r="G441" s="111">
        <v>51483</v>
      </c>
      <c r="H441" s="109">
        <f>297</f>
        <v>297</v>
      </c>
      <c r="I441" s="111">
        <f>SUM(G441)+H441</f>
        <v>51780</v>
      </c>
      <c r="J441" s="115">
        <v>0</v>
      </c>
      <c r="K441" s="109"/>
      <c r="L441" s="115">
        <v>0</v>
      </c>
      <c r="M441" s="111">
        <f>SUM(G441)</f>
        <v>51483</v>
      </c>
      <c r="N441" s="111">
        <f>SUM(H441)</f>
        <v>297</v>
      </c>
      <c r="O441" s="111">
        <f>SUM(M441)+N441</f>
        <v>51780</v>
      </c>
      <c r="P441" s="97">
        <f t="shared" si="98"/>
        <v>51780</v>
      </c>
      <c r="Q441" s="97">
        <f t="shared" si="99"/>
        <v>0</v>
      </c>
    </row>
    <row r="442" spans="1:17" ht="15.75" x14ac:dyDescent="0.2">
      <c r="A442" s="33" t="s">
        <v>435</v>
      </c>
      <c r="B442" s="110" t="s">
        <v>436</v>
      </c>
      <c r="C442" s="110" t="s">
        <v>51</v>
      </c>
      <c r="D442" s="131" t="s">
        <v>437</v>
      </c>
      <c r="E442" s="131" t="s">
        <v>11</v>
      </c>
      <c r="F442" s="132" t="s">
        <v>11</v>
      </c>
      <c r="G442" s="109">
        <f t="shared" ref="G442:O446" si="104">G443</f>
        <v>1798.4</v>
      </c>
      <c r="H442" s="109">
        <f t="shared" si="104"/>
        <v>0</v>
      </c>
      <c r="I442" s="109">
        <f t="shared" si="104"/>
        <v>1798.4</v>
      </c>
      <c r="J442" s="112">
        <f t="shared" si="104"/>
        <v>2934.3</v>
      </c>
      <c r="K442" s="109">
        <f>K443</f>
        <v>0</v>
      </c>
      <c r="L442" s="112">
        <f t="shared" si="104"/>
        <v>2934.3</v>
      </c>
      <c r="M442" s="109">
        <f t="shared" si="104"/>
        <v>4732.7000000000007</v>
      </c>
      <c r="N442" s="109">
        <f t="shared" si="104"/>
        <v>0</v>
      </c>
      <c r="O442" s="109">
        <f t="shared" si="104"/>
        <v>4732.7000000000007</v>
      </c>
      <c r="P442" s="97">
        <f t="shared" si="98"/>
        <v>1798.4</v>
      </c>
      <c r="Q442" s="97">
        <f t="shared" si="99"/>
        <v>0</v>
      </c>
    </row>
    <row r="443" spans="1:17" ht="31.5" x14ac:dyDescent="0.2">
      <c r="A443" s="40"/>
      <c r="B443" s="113" t="s">
        <v>245</v>
      </c>
      <c r="C443" s="113" t="s">
        <v>51</v>
      </c>
      <c r="D443" s="133" t="s">
        <v>437</v>
      </c>
      <c r="E443" s="133" t="s">
        <v>246</v>
      </c>
      <c r="F443" s="134" t="s">
        <v>11</v>
      </c>
      <c r="G443" s="111">
        <f t="shared" si="104"/>
        <v>1798.4</v>
      </c>
      <c r="H443" s="111">
        <f t="shared" si="104"/>
        <v>0</v>
      </c>
      <c r="I443" s="111">
        <f t="shared" si="104"/>
        <v>1798.4</v>
      </c>
      <c r="J443" s="114">
        <f t="shared" si="104"/>
        <v>2934.3</v>
      </c>
      <c r="K443" s="111">
        <f>K444</f>
        <v>0</v>
      </c>
      <c r="L443" s="114">
        <f t="shared" si="104"/>
        <v>2934.3</v>
      </c>
      <c r="M443" s="111">
        <f t="shared" si="104"/>
        <v>4732.7000000000007</v>
      </c>
      <c r="N443" s="111">
        <f t="shared" si="104"/>
        <v>0</v>
      </c>
      <c r="O443" s="111">
        <f t="shared" si="104"/>
        <v>4732.7000000000007</v>
      </c>
      <c r="P443" s="97">
        <f t="shared" si="98"/>
        <v>1798.4</v>
      </c>
      <c r="Q443" s="97">
        <f t="shared" si="99"/>
        <v>0</v>
      </c>
    </row>
    <row r="444" spans="1:17" ht="31.5" x14ac:dyDescent="0.2">
      <c r="A444" s="40"/>
      <c r="B444" s="113" t="s">
        <v>438</v>
      </c>
      <c r="C444" s="113" t="s">
        <v>51</v>
      </c>
      <c r="D444" s="133" t="s">
        <v>437</v>
      </c>
      <c r="E444" s="133" t="s">
        <v>439</v>
      </c>
      <c r="F444" s="134" t="s">
        <v>11</v>
      </c>
      <c r="G444" s="111">
        <f t="shared" si="104"/>
        <v>1798.4</v>
      </c>
      <c r="H444" s="111">
        <f t="shared" si="104"/>
        <v>0</v>
      </c>
      <c r="I444" s="111">
        <f t="shared" si="104"/>
        <v>1798.4</v>
      </c>
      <c r="J444" s="114">
        <f t="shared" si="104"/>
        <v>2934.3</v>
      </c>
      <c r="K444" s="111">
        <f>K445</f>
        <v>0</v>
      </c>
      <c r="L444" s="114">
        <f t="shared" si="104"/>
        <v>2934.3</v>
      </c>
      <c r="M444" s="111">
        <f t="shared" si="104"/>
        <v>4732.7000000000007</v>
      </c>
      <c r="N444" s="111">
        <f t="shared" si="104"/>
        <v>0</v>
      </c>
      <c r="O444" s="111">
        <f t="shared" si="104"/>
        <v>4732.7000000000007</v>
      </c>
      <c r="P444" s="97">
        <f t="shared" si="98"/>
        <v>1798.4</v>
      </c>
      <c r="Q444" s="97">
        <f t="shared" si="99"/>
        <v>0</v>
      </c>
    </row>
    <row r="445" spans="1:17" ht="47.25" x14ac:dyDescent="0.2">
      <c r="A445" s="40"/>
      <c r="B445" s="113" t="s">
        <v>599</v>
      </c>
      <c r="C445" s="113" t="s">
        <v>51</v>
      </c>
      <c r="D445" s="133" t="s">
        <v>437</v>
      </c>
      <c r="E445" s="133" t="s">
        <v>441</v>
      </c>
      <c r="F445" s="134" t="s">
        <v>11</v>
      </c>
      <c r="G445" s="111">
        <f t="shared" si="104"/>
        <v>1798.4</v>
      </c>
      <c r="H445" s="111">
        <f t="shared" si="104"/>
        <v>0</v>
      </c>
      <c r="I445" s="111">
        <f t="shared" si="104"/>
        <v>1798.4</v>
      </c>
      <c r="J445" s="114">
        <f t="shared" si="104"/>
        <v>2934.3</v>
      </c>
      <c r="K445" s="111">
        <f>K446</f>
        <v>0</v>
      </c>
      <c r="L445" s="114">
        <f t="shared" si="104"/>
        <v>2934.3</v>
      </c>
      <c r="M445" s="111">
        <f t="shared" si="104"/>
        <v>4732.7000000000007</v>
      </c>
      <c r="N445" s="111">
        <f t="shared" si="104"/>
        <v>0</v>
      </c>
      <c r="O445" s="111">
        <f t="shared" si="104"/>
        <v>4732.7000000000007</v>
      </c>
      <c r="P445" s="97">
        <f t="shared" si="98"/>
        <v>1798.4</v>
      </c>
      <c r="Q445" s="97">
        <f t="shared" si="99"/>
        <v>0</v>
      </c>
    </row>
    <row r="446" spans="1:17" ht="31.5" x14ac:dyDescent="0.2">
      <c r="A446" s="40"/>
      <c r="B446" s="113" t="s">
        <v>442</v>
      </c>
      <c r="C446" s="113" t="s">
        <v>51</v>
      </c>
      <c r="D446" s="133" t="s">
        <v>437</v>
      </c>
      <c r="E446" s="133" t="s">
        <v>443</v>
      </c>
      <c r="F446" s="134" t="s">
        <v>11</v>
      </c>
      <c r="G446" s="111">
        <f>G447</f>
        <v>1798.4</v>
      </c>
      <c r="H446" s="111">
        <f>H447</f>
        <v>0</v>
      </c>
      <c r="I446" s="111">
        <f>I447</f>
        <v>1798.4</v>
      </c>
      <c r="J446" s="114">
        <f t="shared" si="104"/>
        <v>2934.3</v>
      </c>
      <c r="K446" s="111">
        <f>K447</f>
        <v>0</v>
      </c>
      <c r="L446" s="114">
        <f t="shared" si="104"/>
        <v>2934.3</v>
      </c>
      <c r="M446" s="111">
        <f t="shared" si="104"/>
        <v>4732.7000000000007</v>
      </c>
      <c r="N446" s="111">
        <f t="shared" si="104"/>
        <v>0</v>
      </c>
      <c r="O446" s="111">
        <f t="shared" si="104"/>
        <v>4732.7000000000007</v>
      </c>
      <c r="P446" s="97">
        <f t="shared" si="98"/>
        <v>1798.4</v>
      </c>
      <c r="Q446" s="97">
        <f t="shared" si="99"/>
        <v>0</v>
      </c>
    </row>
    <row r="447" spans="1:17" ht="31.5" x14ac:dyDescent="0.2">
      <c r="A447" s="40"/>
      <c r="B447" s="113" t="s">
        <v>112</v>
      </c>
      <c r="C447" s="113" t="s">
        <v>51</v>
      </c>
      <c r="D447" s="133" t="s">
        <v>437</v>
      </c>
      <c r="E447" s="133" t="s">
        <v>443</v>
      </c>
      <c r="F447" s="134" t="s">
        <v>113</v>
      </c>
      <c r="G447" s="111">
        <v>1798.4</v>
      </c>
      <c r="H447" s="111"/>
      <c r="I447" s="111">
        <f>G447+H447</f>
        <v>1798.4</v>
      </c>
      <c r="J447" s="115">
        <v>2934.3</v>
      </c>
      <c r="K447" s="111"/>
      <c r="L447" s="115">
        <f>J447+K447</f>
        <v>2934.3</v>
      </c>
      <c r="M447" s="111">
        <f>SUM(G447+J447)</f>
        <v>4732.7000000000007</v>
      </c>
      <c r="N447" s="111">
        <f>H447+K447</f>
        <v>0</v>
      </c>
      <c r="O447" s="111">
        <f>SUM(I447+L447)</f>
        <v>4732.7000000000007</v>
      </c>
      <c r="P447" s="97">
        <f t="shared" si="98"/>
        <v>1798.4</v>
      </c>
      <c r="Q447" s="97">
        <f t="shared" si="99"/>
        <v>0</v>
      </c>
    </row>
    <row r="448" spans="1:17" ht="15.75" x14ac:dyDescent="0.2">
      <c r="A448" s="33" t="s">
        <v>444</v>
      </c>
      <c r="B448" s="110" t="s">
        <v>445</v>
      </c>
      <c r="C448" s="110" t="s">
        <v>51</v>
      </c>
      <c r="D448" s="131" t="s">
        <v>446</v>
      </c>
      <c r="E448" s="131" t="s">
        <v>11</v>
      </c>
      <c r="F448" s="132" t="s">
        <v>11</v>
      </c>
      <c r="G448" s="109">
        <f t="shared" ref="G448:O452" si="105">G449</f>
        <v>120</v>
      </c>
      <c r="H448" s="111">
        <f t="shared" si="105"/>
        <v>0</v>
      </c>
      <c r="I448" s="109">
        <f t="shared" si="105"/>
        <v>120</v>
      </c>
      <c r="J448" s="112">
        <f t="shared" si="105"/>
        <v>0</v>
      </c>
      <c r="K448" s="111">
        <f>K449</f>
        <v>0</v>
      </c>
      <c r="L448" s="112">
        <f t="shared" si="105"/>
        <v>0</v>
      </c>
      <c r="M448" s="109">
        <f t="shared" si="105"/>
        <v>120</v>
      </c>
      <c r="N448" s="109">
        <f t="shared" si="105"/>
        <v>0</v>
      </c>
      <c r="O448" s="109">
        <f t="shared" si="105"/>
        <v>120</v>
      </c>
      <c r="P448" s="97">
        <f t="shared" si="98"/>
        <v>120</v>
      </c>
      <c r="Q448" s="97">
        <f t="shared" si="99"/>
        <v>0</v>
      </c>
    </row>
    <row r="449" spans="1:17" ht="31.5" x14ac:dyDescent="0.2">
      <c r="A449" s="40"/>
      <c r="B449" s="113" t="s">
        <v>87</v>
      </c>
      <c r="C449" s="113" t="s">
        <v>51</v>
      </c>
      <c r="D449" s="133" t="s">
        <v>446</v>
      </c>
      <c r="E449" s="133" t="s">
        <v>88</v>
      </c>
      <c r="F449" s="134" t="s">
        <v>11</v>
      </c>
      <c r="G449" s="111">
        <f t="shared" si="105"/>
        <v>120</v>
      </c>
      <c r="H449" s="111">
        <f t="shared" si="105"/>
        <v>0</v>
      </c>
      <c r="I449" s="111">
        <f t="shared" si="105"/>
        <v>120</v>
      </c>
      <c r="J449" s="114">
        <f t="shared" si="105"/>
        <v>0</v>
      </c>
      <c r="K449" s="111">
        <f>K450</f>
        <v>0</v>
      </c>
      <c r="L449" s="114">
        <f t="shared" si="105"/>
        <v>0</v>
      </c>
      <c r="M449" s="111">
        <f t="shared" si="105"/>
        <v>120</v>
      </c>
      <c r="N449" s="111">
        <f t="shared" si="105"/>
        <v>0</v>
      </c>
      <c r="O449" s="111">
        <f t="shared" si="105"/>
        <v>120</v>
      </c>
      <c r="P449" s="97">
        <f t="shared" si="98"/>
        <v>120</v>
      </c>
      <c r="Q449" s="97">
        <f t="shared" si="99"/>
        <v>0</v>
      </c>
    </row>
    <row r="450" spans="1:17" ht="47.25" x14ac:dyDescent="0.2">
      <c r="A450" s="40"/>
      <c r="B450" s="113" t="s">
        <v>89</v>
      </c>
      <c r="C450" s="113" t="s">
        <v>51</v>
      </c>
      <c r="D450" s="133" t="s">
        <v>446</v>
      </c>
      <c r="E450" s="133" t="s">
        <v>90</v>
      </c>
      <c r="F450" s="134" t="s">
        <v>11</v>
      </c>
      <c r="G450" s="111">
        <f t="shared" si="105"/>
        <v>120</v>
      </c>
      <c r="H450" s="111">
        <f t="shared" si="105"/>
        <v>0</v>
      </c>
      <c r="I450" s="111">
        <f t="shared" si="105"/>
        <v>120</v>
      </c>
      <c r="J450" s="114">
        <f t="shared" si="105"/>
        <v>0</v>
      </c>
      <c r="K450" s="111">
        <f>K451</f>
        <v>0</v>
      </c>
      <c r="L450" s="114">
        <f t="shared" si="105"/>
        <v>0</v>
      </c>
      <c r="M450" s="111">
        <f t="shared" si="105"/>
        <v>120</v>
      </c>
      <c r="N450" s="111">
        <f t="shared" si="105"/>
        <v>0</v>
      </c>
      <c r="O450" s="111">
        <f t="shared" si="105"/>
        <v>120</v>
      </c>
      <c r="P450" s="97">
        <f t="shared" si="98"/>
        <v>120</v>
      </c>
      <c r="Q450" s="97">
        <f t="shared" si="99"/>
        <v>0</v>
      </c>
    </row>
    <row r="451" spans="1:17" ht="36" customHeight="1" x14ac:dyDescent="0.2">
      <c r="A451" s="40"/>
      <c r="B451" s="113" t="s">
        <v>91</v>
      </c>
      <c r="C451" s="113" t="s">
        <v>51</v>
      </c>
      <c r="D451" s="133" t="s">
        <v>446</v>
      </c>
      <c r="E451" s="133" t="s">
        <v>92</v>
      </c>
      <c r="F451" s="134" t="s">
        <v>11</v>
      </c>
      <c r="G451" s="111">
        <f t="shared" si="105"/>
        <v>120</v>
      </c>
      <c r="H451" s="111">
        <f t="shared" si="105"/>
        <v>0</v>
      </c>
      <c r="I451" s="111">
        <f t="shared" si="105"/>
        <v>120</v>
      </c>
      <c r="J451" s="114">
        <f t="shared" si="105"/>
        <v>0</v>
      </c>
      <c r="K451" s="111">
        <f>K452</f>
        <v>0</v>
      </c>
      <c r="L451" s="114">
        <f t="shared" si="105"/>
        <v>0</v>
      </c>
      <c r="M451" s="111">
        <f t="shared" si="105"/>
        <v>120</v>
      </c>
      <c r="N451" s="111">
        <f t="shared" si="105"/>
        <v>0</v>
      </c>
      <c r="O451" s="111">
        <f t="shared" si="105"/>
        <v>120</v>
      </c>
      <c r="P451" s="97">
        <f t="shared" si="98"/>
        <v>120</v>
      </c>
      <c r="Q451" s="97">
        <f t="shared" si="99"/>
        <v>0</v>
      </c>
    </row>
    <row r="452" spans="1:17" ht="47.25" x14ac:dyDescent="0.2">
      <c r="A452" s="40"/>
      <c r="B452" s="113" t="s">
        <v>93</v>
      </c>
      <c r="C452" s="113" t="s">
        <v>51</v>
      </c>
      <c r="D452" s="133" t="s">
        <v>446</v>
      </c>
      <c r="E452" s="133" t="s">
        <v>94</v>
      </c>
      <c r="F452" s="134" t="s">
        <v>11</v>
      </c>
      <c r="G452" s="111">
        <f>G453</f>
        <v>120</v>
      </c>
      <c r="H452" s="111"/>
      <c r="I452" s="111">
        <f>I453</f>
        <v>120</v>
      </c>
      <c r="J452" s="114">
        <f t="shared" si="105"/>
        <v>0</v>
      </c>
      <c r="K452" s="111"/>
      <c r="L452" s="114">
        <f t="shared" si="105"/>
        <v>0</v>
      </c>
      <c r="M452" s="111">
        <f t="shared" si="105"/>
        <v>120</v>
      </c>
      <c r="N452" s="111">
        <f t="shared" si="105"/>
        <v>0</v>
      </c>
      <c r="O452" s="111">
        <f t="shared" si="105"/>
        <v>120</v>
      </c>
      <c r="P452" s="97">
        <f t="shared" si="98"/>
        <v>120</v>
      </c>
      <c r="Q452" s="97">
        <f t="shared" si="99"/>
        <v>0</v>
      </c>
    </row>
    <row r="453" spans="1:17" ht="33.6" customHeight="1" x14ac:dyDescent="0.2">
      <c r="A453" s="40"/>
      <c r="B453" s="113" t="s">
        <v>95</v>
      </c>
      <c r="C453" s="113" t="s">
        <v>51</v>
      </c>
      <c r="D453" s="133" t="s">
        <v>446</v>
      </c>
      <c r="E453" s="133" t="s">
        <v>94</v>
      </c>
      <c r="F453" s="134" t="s">
        <v>96</v>
      </c>
      <c r="G453" s="111">
        <v>120</v>
      </c>
      <c r="H453" s="106"/>
      <c r="I453" s="111">
        <v>120</v>
      </c>
      <c r="J453" s="115">
        <v>0</v>
      </c>
      <c r="K453" s="106"/>
      <c r="L453" s="115">
        <v>0</v>
      </c>
      <c r="M453" s="111">
        <v>120</v>
      </c>
      <c r="N453" s="111"/>
      <c r="O453" s="111">
        <v>120</v>
      </c>
      <c r="P453" s="97">
        <f t="shared" si="98"/>
        <v>120</v>
      </c>
      <c r="Q453" s="97">
        <f t="shared" si="99"/>
        <v>0</v>
      </c>
    </row>
    <row r="454" spans="1:17" ht="15.75" x14ac:dyDescent="0.2">
      <c r="A454" s="20" t="s">
        <v>447</v>
      </c>
      <c r="B454" s="107" t="s">
        <v>448</v>
      </c>
      <c r="C454" s="107" t="s">
        <v>51</v>
      </c>
      <c r="D454" s="129" t="s">
        <v>449</v>
      </c>
      <c r="E454" s="129" t="s">
        <v>11</v>
      </c>
      <c r="F454" s="130" t="s">
        <v>11</v>
      </c>
      <c r="G454" s="106">
        <f>G455</f>
        <v>1863.8</v>
      </c>
      <c r="H454" s="109">
        <f>H455+H460</f>
        <v>0</v>
      </c>
      <c r="I454" s="106">
        <f>I455</f>
        <v>1863.8</v>
      </c>
      <c r="J454" s="108">
        <f>J455</f>
        <v>0</v>
      </c>
      <c r="K454" s="109">
        <f>K455+K460</f>
        <v>0</v>
      </c>
      <c r="L454" s="108">
        <f>L455</f>
        <v>0</v>
      </c>
      <c r="M454" s="106">
        <f>M455</f>
        <v>1863.8</v>
      </c>
      <c r="N454" s="106">
        <f>N455</f>
        <v>0</v>
      </c>
      <c r="O454" s="106">
        <f>O455</f>
        <v>1863.8</v>
      </c>
      <c r="P454" s="97">
        <f t="shared" si="98"/>
        <v>1863.8</v>
      </c>
      <c r="Q454" s="97">
        <f t="shared" si="99"/>
        <v>0</v>
      </c>
    </row>
    <row r="455" spans="1:17" ht="15.75" x14ac:dyDescent="0.2">
      <c r="A455" s="33" t="s">
        <v>450</v>
      </c>
      <c r="B455" s="110" t="s">
        <v>451</v>
      </c>
      <c r="C455" s="110" t="s">
        <v>51</v>
      </c>
      <c r="D455" s="131" t="s">
        <v>452</v>
      </c>
      <c r="E455" s="131" t="s">
        <v>11</v>
      </c>
      <c r="F455" s="132" t="s">
        <v>11</v>
      </c>
      <c r="G455" s="109">
        <f>G456+G461</f>
        <v>1863.8</v>
      </c>
      <c r="H455" s="111">
        <f t="shared" ref="G455:O457" si="106">H456</f>
        <v>0</v>
      </c>
      <c r="I455" s="109">
        <f>I456+I461</f>
        <v>1863.8</v>
      </c>
      <c r="J455" s="112">
        <f>J456+J461</f>
        <v>0</v>
      </c>
      <c r="K455" s="111">
        <f t="shared" si="106"/>
        <v>0</v>
      </c>
      <c r="L455" s="112">
        <f>L456+L461</f>
        <v>0</v>
      </c>
      <c r="M455" s="109">
        <f>M456+M461</f>
        <v>1863.8</v>
      </c>
      <c r="N455" s="109">
        <f>N456+N461</f>
        <v>0</v>
      </c>
      <c r="O455" s="109">
        <f>O456+O461</f>
        <v>1863.8</v>
      </c>
      <c r="P455" s="97">
        <f t="shared" si="98"/>
        <v>1863.8</v>
      </c>
      <c r="Q455" s="97">
        <f t="shared" si="99"/>
        <v>0</v>
      </c>
    </row>
    <row r="456" spans="1:17" ht="31.5" x14ac:dyDescent="0.2">
      <c r="A456" s="40"/>
      <c r="B456" s="113" t="s">
        <v>453</v>
      </c>
      <c r="C456" s="113" t="s">
        <v>51</v>
      </c>
      <c r="D456" s="133" t="s">
        <v>452</v>
      </c>
      <c r="E456" s="133" t="s">
        <v>454</v>
      </c>
      <c r="F456" s="134" t="s">
        <v>11</v>
      </c>
      <c r="G456" s="111">
        <f t="shared" si="106"/>
        <v>1813.8</v>
      </c>
      <c r="H456" s="111">
        <f t="shared" si="106"/>
        <v>0</v>
      </c>
      <c r="I456" s="111">
        <f t="shared" si="106"/>
        <v>1813.8</v>
      </c>
      <c r="J456" s="114">
        <f t="shared" si="106"/>
        <v>0</v>
      </c>
      <c r="K456" s="111">
        <f t="shared" si="106"/>
        <v>0</v>
      </c>
      <c r="L456" s="114">
        <f t="shared" si="106"/>
        <v>0</v>
      </c>
      <c r="M456" s="111">
        <f t="shared" si="106"/>
        <v>1813.8</v>
      </c>
      <c r="N456" s="111">
        <f t="shared" si="106"/>
        <v>0</v>
      </c>
      <c r="O456" s="111">
        <f t="shared" si="106"/>
        <v>1813.8</v>
      </c>
      <c r="P456" s="97">
        <f t="shared" si="98"/>
        <v>1813.8</v>
      </c>
      <c r="Q456" s="97">
        <f t="shared" si="99"/>
        <v>0</v>
      </c>
    </row>
    <row r="457" spans="1:17" ht="63" x14ac:dyDescent="0.2">
      <c r="A457" s="40"/>
      <c r="B457" s="113" t="s">
        <v>455</v>
      </c>
      <c r="C457" s="113" t="s">
        <v>51</v>
      </c>
      <c r="D457" s="133" t="s">
        <v>452</v>
      </c>
      <c r="E457" s="133" t="s">
        <v>456</v>
      </c>
      <c r="F457" s="134" t="s">
        <v>11</v>
      </c>
      <c r="G457" s="111">
        <f t="shared" si="106"/>
        <v>1813.8</v>
      </c>
      <c r="H457" s="111">
        <f>H458+H459</f>
        <v>0</v>
      </c>
      <c r="I457" s="111">
        <f t="shared" si="106"/>
        <v>1813.8</v>
      </c>
      <c r="J457" s="114">
        <f t="shared" si="106"/>
        <v>0</v>
      </c>
      <c r="K457" s="111">
        <f>K458+K459</f>
        <v>0</v>
      </c>
      <c r="L457" s="114">
        <f t="shared" si="106"/>
        <v>0</v>
      </c>
      <c r="M457" s="111">
        <f t="shared" si="106"/>
        <v>1813.8</v>
      </c>
      <c r="N457" s="111">
        <f t="shared" si="106"/>
        <v>0</v>
      </c>
      <c r="O457" s="111">
        <f t="shared" si="106"/>
        <v>1813.8</v>
      </c>
      <c r="P457" s="97">
        <f t="shared" si="98"/>
        <v>1813.8</v>
      </c>
      <c r="Q457" s="97">
        <f t="shared" si="99"/>
        <v>0</v>
      </c>
    </row>
    <row r="458" spans="1:17" ht="47.25" x14ac:dyDescent="0.2">
      <c r="A458" s="40"/>
      <c r="B458" s="113" t="s">
        <v>457</v>
      </c>
      <c r="C458" s="113" t="s">
        <v>51</v>
      </c>
      <c r="D458" s="133" t="s">
        <v>452</v>
      </c>
      <c r="E458" s="133" t="s">
        <v>458</v>
      </c>
      <c r="F458" s="134" t="s">
        <v>11</v>
      </c>
      <c r="G458" s="111">
        <f>G459+G460</f>
        <v>1813.8</v>
      </c>
      <c r="H458" s="111"/>
      <c r="I458" s="111">
        <f>I459+I460</f>
        <v>1813.8</v>
      </c>
      <c r="J458" s="114">
        <f>J459+J460</f>
        <v>0</v>
      </c>
      <c r="K458" s="111"/>
      <c r="L458" s="114">
        <f>L459+L460</f>
        <v>0</v>
      </c>
      <c r="M458" s="111">
        <f>M459+M460</f>
        <v>1813.8</v>
      </c>
      <c r="N458" s="111">
        <f>N459+N460</f>
        <v>0</v>
      </c>
      <c r="O458" s="111">
        <f>O459+O460</f>
        <v>1813.8</v>
      </c>
      <c r="P458" s="97">
        <f t="shared" si="98"/>
        <v>1813.8</v>
      </c>
      <c r="Q458" s="97">
        <f t="shared" si="99"/>
        <v>0</v>
      </c>
    </row>
    <row r="459" spans="1:17" ht="31.5" x14ac:dyDescent="0.2">
      <c r="A459" s="40"/>
      <c r="B459" s="113" t="s">
        <v>40</v>
      </c>
      <c r="C459" s="113" t="s">
        <v>51</v>
      </c>
      <c r="D459" s="133" t="s">
        <v>452</v>
      </c>
      <c r="E459" s="133" t="s">
        <v>458</v>
      </c>
      <c r="F459" s="134" t="s">
        <v>41</v>
      </c>
      <c r="G459" s="111">
        <v>300</v>
      </c>
      <c r="H459" s="111"/>
      <c r="I459" s="111">
        <v>300</v>
      </c>
      <c r="J459" s="115">
        <v>0</v>
      </c>
      <c r="K459" s="111"/>
      <c r="L459" s="115">
        <v>0</v>
      </c>
      <c r="M459" s="111">
        <v>300</v>
      </c>
      <c r="N459" s="111"/>
      <c r="O459" s="111">
        <v>300</v>
      </c>
      <c r="P459" s="97">
        <f t="shared" si="98"/>
        <v>300</v>
      </c>
      <c r="Q459" s="97">
        <f t="shared" si="99"/>
        <v>0</v>
      </c>
    </row>
    <row r="460" spans="1:17" ht="31.5" x14ac:dyDescent="0.2">
      <c r="A460" s="40"/>
      <c r="B460" s="113" t="s">
        <v>112</v>
      </c>
      <c r="C460" s="113" t="s">
        <v>51</v>
      </c>
      <c r="D460" s="133" t="s">
        <v>452</v>
      </c>
      <c r="E460" s="133" t="s">
        <v>458</v>
      </c>
      <c r="F460" s="134" t="s">
        <v>113</v>
      </c>
      <c r="G460" s="111">
        <v>1513.8</v>
      </c>
      <c r="H460" s="111"/>
      <c r="I460" s="111">
        <v>1513.8</v>
      </c>
      <c r="J460" s="115">
        <v>0</v>
      </c>
      <c r="K460" s="111"/>
      <c r="L460" s="115">
        <v>0</v>
      </c>
      <c r="M460" s="111">
        <v>1513.8</v>
      </c>
      <c r="N460" s="111"/>
      <c r="O460" s="111">
        <v>1513.8</v>
      </c>
      <c r="P460" s="97">
        <f t="shared" si="98"/>
        <v>1513.8</v>
      </c>
      <c r="Q460" s="97">
        <f t="shared" si="99"/>
        <v>0</v>
      </c>
    </row>
    <row r="461" spans="1:17" ht="15.75" x14ac:dyDescent="0.2">
      <c r="A461" s="40"/>
      <c r="B461" s="113" t="s">
        <v>459</v>
      </c>
      <c r="C461" s="113" t="s">
        <v>51</v>
      </c>
      <c r="D461" s="133" t="s">
        <v>452</v>
      </c>
      <c r="E461" s="133" t="s">
        <v>460</v>
      </c>
      <c r="F461" s="134" t="s">
        <v>11</v>
      </c>
      <c r="G461" s="111">
        <f t="shared" ref="G461:O463" si="107">G462</f>
        <v>50</v>
      </c>
      <c r="H461" s="111">
        <f t="shared" si="107"/>
        <v>0</v>
      </c>
      <c r="I461" s="111">
        <f t="shared" si="107"/>
        <v>50</v>
      </c>
      <c r="J461" s="114">
        <f t="shared" si="107"/>
        <v>0</v>
      </c>
      <c r="K461" s="111">
        <f>K462</f>
        <v>0</v>
      </c>
      <c r="L461" s="114">
        <f t="shared" si="107"/>
        <v>0</v>
      </c>
      <c r="M461" s="111">
        <f t="shared" si="107"/>
        <v>50</v>
      </c>
      <c r="N461" s="111">
        <f t="shared" si="107"/>
        <v>0</v>
      </c>
      <c r="O461" s="111">
        <f t="shared" si="107"/>
        <v>50</v>
      </c>
      <c r="P461" s="97">
        <f t="shared" si="98"/>
        <v>50</v>
      </c>
      <c r="Q461" s="97">
        <f t="shared" si="99"/>
        <v>0</v>
      </c>
    </row>
    <row r="462" spans="1:17" ht="39.6" customHeight="1" x14ac:dyDescent="0.2">
      <c r="A462" s="40"/>
      <c r="B462" s="113" t="s">
        <v>461</v>
      </c>
      <c r="C462" s="113" t="s">
        <v>51</v>
      </c>
      <c r="D462" s="133" t="s">
        <v>452</v>
      </c>
      <c r="E462" s="133" t="s">
        <v>462</v>
      </c>
      <c r="F462" s="134" t="s">
        <v>11</v>
      </c>
      <c r="G462" s="111">
        <f t="shared" si="107"/>
        <v>50</v>
      </c>
      <c r="H462" s="111">
        <f t="shared" si="107"/>
        <v>0</v>
      </c>
      <c r="I462" s="111">
        <f t="shared" si="107"/>
        <v>50</v>
      </c>
      <c r="J462" s="114">
        <f t="shared" si="107"/>
        <v>0</v>
      </c>
      <c r="K462" s="111">
        <f>K463</f>
        <v>0</v>
      </c>
      <c r="L462" s="114">
        <f t="shared" si="107"/>
        <v>0</v>
      </c>
      <c r="M462" s="111">
        <f t="shared" si="107"/>
        <v>50</v>
      </c>
      <c r="N462" s="111">
        <f t="shared" si="107"/>
        <v>0</v>
      </c>
      <c r="O462" s="111">
        <f t="shared" si="107"/>
        <v>50</v>
      </c>
      <c r="P462" s="97">
        <f t="shared" si="98"/>
        <v>50</v>
      </c>
      <c r="Q462" s="97">
        <f t="shared" si="99"/>
        <v>0</v>
      </c>
    </row>
    <row r="463" spans="1:17" ht="31.5" x14ac:dyDescent="0.2">
      <c r="A463" s="40"/>
      <c r="B463" s="113" t="s">
        <v>463</v>
      </c>
      <c r="C463" s="113" t="s">
        <v>51</v>
      </c>
      <c r="D463" s="133" t="s">
        <v>452</v>
      </c>
      <c r="E463" s="133" t="s">
        <v>464</v>
      </c>
      <c r="F463" s="134" t="s">
        <v>11</v>
      </c>
      <c r="G463" s="111">
        <f>G464</f>
        <v>50</v>
      </c>
      <c r="H463" s="111"/>
      <c r="I463" s="111">
        <f>I464</f>
        <v>50</v>
      </c>
      <c r="J463" s="114">
        <f t="shared" si="107"/>
        <v>0</v>
      </c>
      <c r="K463" s="111"/>
      <c r="L463" s="114">
        <f t="shared" si="107"/>
        <v>0</v>
      </c>
      <c r="M463" s="111">
        <f t="shared" si="107"/>
        <v>50</v>
      </c>
      <c r="N463" s="111">
        <f t="shared" si="107"/>
        <v>0</v>
      </c>
      <c r="O463" s="111">
        <f t="shared" si="107"/>
        <v>50</v>
      </c>
      <c r="P463" s="97">
        <f t="shared" si="98"/>
        <v>50</v>
      </c>
      <c r="Q463" s="97">
        <f t="shared" si="99"/>
        <v>0</v>
      </c>
    </row>
    <row r="464" spans="1:17" ht="31.5" x14ac:dyDescent="0.2">
      <c r="A464" s="40"/>
      <c r="B464" s="113" t="s">
        <v>40</v>
      </c>
      <c r="C464" s="113" t="s">
        <v>51</v>
      </c>
      <c r="D464" s="133" t="s">
        <v>452</v>
      </c>
      <c r="E464" s="133" t="s">
        <v>464</v>
      </c>
      <c r="F464" s="134" t="s">
        <v>41</v>
      </c>
      <c r="G464" s="111">
        <v>50</v>
      </c>
      <c r="H464" s="106"/>
      <c r="I464" s="111">
        <v>50</v>
      </c>
      <c r="J464" s="115"/>
      <c r="K464" s="106">
        <f t="shared" ref="G464:O470" si="108">K465</f>
        <v>0</v>
      </c>
      <c r="L464" s="115"/>
      <c r="M464" s="111">
        <v>50</v>
      </c>
      <c r="N464" s="111"/>
      <c r="O464" s="111">
        <v>50</v>
      </c>
      <c r="P464" s="97">
        <f t="shared" si="98"/>
        <v>50</v>
      </c>
      <c r="Q464" s="97">
        <f t="shared" si="99"/>
        <v>0</v>
      </c>
    </row>
    <row r="465" spans="1:17" ht="31.5" x14ac:dyDescent="0.2">
      <c r="A465" s="20" t="s">
        <v>465</v>
      </c>
      <c r="B465" s="107" t="s">
        <v>466</v>
      </c>
      <c r="C465" s="107" t="s">
        <v>51</v>
      </c>
      <c r="D465" s="129" t="s">
        <v>467</v>
      </c>
      <c r="E465" s="129" t="s">
        <v>11</v>
      </c>
      <c r="F465" s="130" t="s">
        <v>11</v>
      </c>
      <c r="G465" s="106">
        <f t="shared" si="108"/>
        <v>20.5</v>
      </c>
      <c r="H465" s="109">
        <f t="shared" si="108"/>
        <v>0</v>
      </c>
      <c r="I465" s="106">
        <f t="shared" si="108"/>
        <v>20.5</v>
      </c>
      <c r="J465" s="108">
        <f t="shared" si="108"/>
        <v>0</v>
      </c>
      <c r="K465" s="109">
        <f t="shared" si="108"/>
        <v>0</v>
      </c>
      <c r="L465" s="108">
        <f t="shared" si="108"/>
        <v>0</v>
      </c>
      <c r="M465" s="106">
        <f t="shared" si="108"/>
        <v>20.5</v>
      </c>
      <c r="N465" s="106">
        <f t="shared" si="108"/>
        <v>0</v>
      </c>
      <c r="O465" s="106">
        <f t="shared" si="108"/>
        <v>20.5</v>
      </c>
      <c r="P465" s="97">
        <f t="shared" si="98"/>
        <v>20.5</v>
      </c>
      <c r="Q465" s="97">
        <f t="shared" si="99"/>
        <v>0</v>
      </c>
    </row>
    <row r="466" spans="1:17" ht="31.5" x14ac:dyDescent="0.2">
      <c r="A466" s="33" t="s">
        <v>468</v>
      </c>
      <c r="B466" s="110" t="s">
        <v>469</v>
      </c>
      <c r="C466" s="110" t="s">
        <v>51</v>
      </c>
      <c r="D466" s="131" t="s">
        <v>470</v>
      </c>
      <c r="E466" s="131" t="s">
        <v>11</v>
      </c>
      <c r="F466" s="132" t="s">
        <v>11</v>
      </c>
      <c r="G466" s="109">
        <f t="shared" si="108"/>
        <v>20.5</v>
      </c>
      <c r="H466" s="111">
        <f t="shared" si="108"/>
        <v>0</v>
      </c>
      <c r="I466" s="109">
        <f t="shared" si="108"/>
        <v>20.5</v>
      </c>
      <c r="J466" s="112">
        <f t="shared" si="108"/>
        <v>0</v>
      </c>
      <c r="K466" s="111">
        <f t="shared" si="108"/>
        <v>0</v>
      </c>
      <c r="L466" s="112">
        <f t="shared" si="108"/>
        <v>0</v>
      </c>
      <c r="M466" s="109">
        <f t="shared" si="108"/>
        <v>20.5</v>
      </c>
      <c r="N466" s="109">
        <f t="shared" si="108"/>
        <v>0</v>
      </c>
      <c r="O466" s="109">
        <f t="shared" si="108"/>
        <v>20.5</v>
      </c>
      <c r="P466" s="97">
        <f t="shared" si="98"/>
        <v>20.5</v>
      </c>
      <c r="Q466" s="97">
        <f t="shared" si="99"/>
        <v>0</v>
      </c>
    </row>
    <row r="467" spans="1:17" ht="31.5" x14ac:dyDescent="0.2">
      <c r="A467" s="40"/>
      <c r="B467" s="113" t="s">
        <v>128</v>
      </c>
      <c r="C467" s="113" t="s">
        <v>51</v>
      </c>
      <c r="D467" s="133" t="s">
        <v>470</v>
      </c>
      <c r="E467" s="133" t="s">
        <v>129</v>
      </c>
      <c r="F467" s="134" t="s">
        <v>11</v>
      </c>
      <c r="G467" s="111">
        <f t="shared" si="108"/>
        <v>20.5</v>
      </c>
      <c r="H467" s="111">
        <f t="shared" si="108"/>
        <v>0</v>
      </c>
      <c r="I467" s="111">
        <f t="shared" si="108"/>
        <v>20.5</v>
      </c>
      <c r="J467" s="114">
        <f t="shared" si="108"/>
        <v>0</v>
      </c>
      <c r="K467" s="111">
        <f t="shared" si="108"/>
        <v>0</v>
      </c>
      <c r="L467" s="114">
        <f t="shared" si="108"/>
        <v>0</v>
      </c>
      <c r="M467" s="111">
        <f t="shared" si="108"/>
        <v>20.5</v>
      </c>
      <c r="N467" s="111">
        <f t="shared" si="108"/>
        <v>0</v>
      </c>
      <c r="O467" s="111">
        <f t="shared" si="108"/>
        <v>20.5</v>
      </c>
      <c r="P467" s="97">
        <f t="shared" si="98"/>
        <v>20.5</v>
      </c>
      <c r="Q467" s="97">
        <f t="shared" si="99"/>
        <v>0</v>
      </c>
    </row>
    <row r="468" spans="1:17" ht="15.75" x14ac:dyDescent="0.2">
      <c r="A468" s="40"/>
      <c r="B468" s="113" t="s">
        <v>141</v>
      </c>
      <c r="C468" s="113" t="s">
        <v>51</v>
      </c>
      <c r="D468" s="133" t="s">
        <v>470</v>
      </c>
      <c r="E468" s="133" t="s">
        <v>142</v>
      </c>
      <c r="F468" s="134" t="s">
        <v>11</v>
      </c>
      <c r="G468" s="111">
        <f t="shared" si="108"/>
        <v>20.5</v>
      </c>
      <c r="H468" s="111">
        <f t="shared" si="108"/>
        <v>0</v>
      </c>
      <c r="I468" s="111">
        <f t="shared" si="108"/>
        <v>20.5</v>
      </c>
      <c r="J468" s="114">
        <f t="shared" si="108"/>
        <v>0</v>
      </c>
      <c r="K468" s="111">
        <f t="shared" si="108"/>
        <v>0</v>
      </c>
      <c r="L468" s="114">
        <f t="shared" si="108"/>
        <v>0</v>
      </c>
      <c r="M468" s="111">
        <f t="shared" si="108"/>
        <v>20.5</v>
      </c>
      <c r="N468" s="111">
        <f t="shared" si="108"/>
        <v>0</v>
      </c>
      <c r="O468" s="111">
        <f t="shared" si="108"/>
        <v>20.5</v>
      </c>
      <c r="P468" s="97">
        <f t="shared" si="98"/>
        <v>20.5</v>
      </c>
      <c r="Q468" s="97">
        <f t="shared" si="99"/>
        <v>0</v>
      </c>
    </row>
    <row r="469" spans="1:17" ht="24" customHeight="1" x14ac:dyDescent="0.2">
      <c r="A469" s="40"/>
      <c r="B469" s="113" t="s">
        <v>143</v>
      </c>
      <c r="C469" s="113" t="s">
        <v>51</v>
      </c>
      <c r="D469" s="133" t="s">
        <v>470</v>
      </c>
      <c r="E469" s="133" t="s">
        <v>144</v>
      </c>
      <c r="F469" s="134" t="s">
        <v>11</v>
      </c>
      <c r="G469" s="111">
        <f t="shared" si="108"/>
        <v>20.5</v>
      </c>
      <c r="H469" s="111">
        <f>SUM(H470)</f>
        <v>0</v>
      </c>
      <c r="I469" s="111">
        <f t="shared" si="108"/>
        <v>20.5</v>
      </c>
      <c r="J469" s="114">
        <f t="shared" si="108"/>
        <v>0</v>
      </c>
      <c r="K469" s="111">
        <f t="shared" si="108"/>
        <v>0</v>
      </c>
      <c r="L469" s="114">
        <f t="shared" si="108"/>
        <v>0</v>
      </c>
      <c r="M469" s="111">
        <f t="shared" si="108"/>
        <v>20.5</v>
      </c>
      <c r="N469" s="111">
        <f t="shared" si="108"/>
        <v>0</v>
      </c>
      <c r="O469" s="111">
        <f t="shared" si="108"/>
        <v>20.5</v>
      </c>
      <c r="P469" s="97">
        <f t="shared" si="98"/>
        <v>20.5</v>
      </c>
      <c r="Q469" s="97">
        <f t="shared" si="99"/>
        <v>0</v>
      </c>
    </row>
    <row r="470" spans="1:17" ht="15.75" x14ac:dyDescent="0.2">
      <c r="A470" s="40"/>
      <c r="B470" s="113" t="s">
        <v>471</v>
      </c>
      <c r="C470" s="113" t="s">
        <v>51</v>
      </c>
      <c r="D470" s="133" t="s">
        <v>470</v>
      </c>
      <c r="E470" s="133" t="s">
        <v>472</v>
      </c>
      <c r="F470" s="134" t="s">
        <v>11</v>
      </c>
      <c r="G470" s="111">
        <f t="shared" si="108"/>
        <v>20.5</v>
      </c>
      <c r="H470" s="111">
        <f t="shared" si="108"/>
        <v>0</v>
      </c>
      <c r="I470" s="111">
        <f t="shared" si="108"/>
        <v>20.5</v>
      </c>
      <c r="J470" s="114">
        <f t="shared" si="108"/>
        <v>0</v>
      </c>
      <c r="K470" s="111"/>
      <c r="L470" s="114">
        <f t="shared" si="108"/>
        <v>0</v>
      </c>
      <c r="M470" s="111">
        <f t="shared" si="108"/>
        <v>20.5</v>
      </c>
      <c r="N470" s="111">
        <f t="shared" si="108"/>
        <v>0</v>
      </c>
      <c r="O470" s="111">
        <f t="shared" si="108"/>
        <v>20.5</v>
      </c>
      <c r="P470" s="97">
        <f t="shared" si="98"/>
        <v>20.5</v>
      </c>
      <c r="Q470" s="97">
        <f t="shared" si="99"/>
        <v>0</v>
      </c>
    </row>
    <row r="471" spans="1:17" ht="31.5" x14ac:dyDescent="0.2">
      <c r="A471" s="40"/>
      <c r="B471" s="113" t="s">
        <v>473</v>
      </c>
      <c r="C471" s="113" t="s">
        <v>51</v>
      </c>
      <c r="D471" s="133" t="s">
        <v>470</v>
      </c>
      <c r="E471" s="133" t="s">
        <v>472</v>
      </c>
      <c r="F471" s="134" t="s">
        <v>474</v>
      </c>
      <c r="G471" s="111">
        <v>20.5</v>
      </c>
      <c r="H471" s="106"/>
      <c r="I471" s="111">
        <v>20.5</v>
      </c>
      <c r="J471" s="115">
        <v>0</v>
      </c>
      <c r="K471" s="106"/>
      <c r="L471" s="115">
        <v>0</v>
      </c>
      <c r="M471" s="111">
        <f>SUM(G471)</f>
        <v>20.5</v>
      </c>
      <c r="N471" s="111">
        <f>SUM(H471)</f>
        <v>0</v>
      </c>
      <c r="O471" s="111">
        <f>SUM(I471)</f>
        <v>20.5</v>
      </c>
      <c r="P471" s="97">
        <f t="shared" si="98"/>
        <v>20.5</v>
      </c>
      <c r="Q471" s="97">
        <f t="shared" si="99"/>
        <v>0</v>
      </c>
    </row>
    <row r="472" spans="1:17" ht="31.5" x14ac:dyDescent="0.2">
      <c r="A472" s="20" t="s">
        <v>475</v>
      </c>
      <c r="B472" s="107" t="s">
        <v>476</v>
      </c>
      <c r="C472" s="107" t="s">
        <v>477</v>
      </c>
      <c r="D472" s="129" t="s">
        <v>11</v>
      </c>
      <c r="E472" s="129" t="s">
        <v>11</v>
      </c>
      <c r="F472" s="130" t="s">
        <v>11</v>
      </c>
      <c r="G472" s="106">
        <f>G473</f>
        <v>143833.30000000002</v>
      </c>
      <c r="H472" s="106">
        <f>H473+H503+H513</f>
        <v>211.5</v>
      </c>
      <c r="I472" s="106">
        <f>I473</f>
        <v>144044.80000000002</v>
      </c>
      <c r="J472" s="108">
        <f>J473</f>
        <v>27919.600000000002</v>
      </c>
      <c r="K472" s="169">
        <f>K473+K503+K515</f>
        <v>0</v>
      </c>
      <c r="L472" s="108">
        <f>L473</f>
        <v>27919.600000000002</v>
      </c>
      <c r="M472" s="106">
        <f>M473</f>
        <v>171752.90000000002</v>
      </c>
      <c r="N472" s="106">
        <f>N473</f>
        <v>211.5</v>
      </c>
      <c r="O472" s="106">
        <f>O473</f>
        <v>171964.40000000002</v>
      </c>
      <c r="P472" s="97">
        <f t="shared" si="98"/>
        <v>144044.80000000002</v>
      </c>
      <c r="Q472" s="97">
        <f t="shared" si="99"/>
        <v>0</v>
      </c>
    </row>
    <row r="473" spans="1:17" ht="15.75" x14ac:dyDescent="0.2">
      <c r="A473" s="20" t="s">
        <v>478</v>
      </c>
      <c r="B473" s="107" t="s">
        <v>479</v>
      </c>
      <c r="C473" s="107" t="s">
        <v>477</v>
      </c>
      <c r="D473" s="129" t="s">
        <v>480</v>
      </c>
      <c r="E473" s="129" t="s">
        <v>11</v>
      </c>
      <c r="F473" s="130" t="s">
        <v>11</v>
      </c>
      <c r="G473" s="106">
        <f>G474+G508+G516</f>
        <v>143833.30000000002</v>
      </c>
      <c r="H473" s="109">
        <f>H474+H516+H508</f>
        <v>211.5</v>
      </c>
      <c r="I473" s="106">
        <f>I474+I508+I516</f>
        <v>144044.80000000002</v>
      </c>
      <c r="J473" s="108">
        <f>J474+J508+J516</f>
        <v>27919.600000000002</v>
      </c>
      <c r="K473" s="169">
        <f>K474+K508+K516</f>
        <v>0</v>
      </c>
      <c r="L473" s="108">
        <f>L474+L508+L516</f>
        <v>27919.600000000002</v>
      </c>
      <c r="M473" s="106">
        <f>SUM(G473+J473)</f>
        <v>171752.90000000002</v>
      </c>
      <c r="N473" s="106">
        <f>N474+N508+N516</f>
        <v>211.5</v>
      </c>
      <c r="O473" s="106">
        <f>SUM(I473+L473)</f>
        <v>171964.40000000002</v>
      </c>
      <c r="P473" s="97">
        <f t="shared" si="98"/>
        <v>144044.80000000002</v>
      </c>
      <c r="Q473" s="97">
        <f t="shared" si="99"/>
        <v>0</v>
      </c>
    </row>
    <row r="474" spans="1:17" ht="15.75" x14ac:dyDescent="0.2">
      <c r="A474" s="33" t="s">
        <v>481</v>
      </c>
      <c r="B474" s="110" t="s">
        <v>482</v>
      </c>
      <c r="C474" s="110" t="s">
        <v>477</v>
      </c>
      <c r="D474" s="131" t="s">
        <v>483</v>
      </c>
      <c r="E474" s="131" t="s">
        <v>11</v>
      </c>
      <c r="F474" s="132" t="s">
        <v>11</v>
      </c>
      <c r="G474" s="109">
        <f>G475</f>
        <v>113344.90000000001</v>
      </c>
      <c r="H474" s="111">
        <f>H475+H483+H504</f>
        <v>211.5</v>
      </c>
      <c r="I474" s="109">
        <f>I475+I504</f>
        <v>113556.40000000001</v>
      </c>
      <c r="J474" s="112">
        <f>J475</f>
        <v>26634.300000000003</v>
      </c>
      <c r="K474" s="111">
        <f>K475+K483</f>
        <v>0</v>
      </c>
      <c r="L474" s="112">
        <f>L475</f>
        <v>26634.300000000003</v>
      </c>
      <c r="M474" s="109">
        <f>M475</f>
        <v>139979.20000000001</v>
      </c>
      <c r="N474" s="109">
        <f>N475+N504</f>
        <v>211.5</v>
      </c>
      <c r="O474" s="169">
        <f>O475+O504</f>
        <v>140190.70000000001</v>
      </c>
      <c r="P474" s="97">
        <f t="shared" si="98"/>
        <v>113556.40000000001</v>
      </c>
      <c r="Q474" s="97">
        <f t="shared" si="99"/>
        <v>0</v>
      </c>
    </row>
    <row r="475" spans="1:17" ht="31.5" x14ac:dyDescent="0.2">
      <c r="A475" s="40"/>
      <c r="B475" s="113" t="s">
        <v>484</v>
      </c>
      <c r="C475" s="113" t="s">
        <v>477</v>
      </c>
      <c r="D475" s="133" t="s">
        <v>483</v>
      </c>
      <c r="E475" s="133" t="s">
        <v>485</v>
      </c>
      <c r="F475" s="134" t="s">
        <v>11</v>
      </c>
      <c r="G475" s="111">
        <f>G476+G484</f>
        <v>113344.90000000001</v>
      </c>
      <c r="H475" s="111">
        <f>H476+H484</f>
        <v>211.5</v>
      </c>
      <c r="I475" s="111">
        <f>I476+I484</f>
        <v>113556.40000000001</v>
      </c>
      <c r="J475" s="114">
        <f>J476+J484</f>
        <v>26634.300000000003</v>
      </c>
      <c r="K475" s="111">
        <f>K476+K484</f>
        <v>0</v>
      </c>
      <c r="L475" s="114">
        <f>L476+L484</f>
        <v>26634.300000000003</v>
      </c>
      <c r="M475" s="111">
        <f>M476+M484</f>
        <v>139979.20000000001</v>
      </c>
      <c r="N475" s="111">
        <f>N476+N484</f>
        <v>211.5</v>
      </c>
      <c r="O475" s="167">
        <f>O476+O484</f>
        <v>140190.70000000001</v>
      </c>
      <c r="P475" s="97">
        <f t="shared" si="98"/>
        <v>113556.40000000001</v>
      </c>
      <c r="Q475" s="97">
        <f t="shared" si="99"/>
        <v>0</v>
      </c>
    </row>
    <row r="476" spans="1:17" ht="15.75" x14ac:dyDescent="0.2">
      <c r="A476" s="40"/>
      <c r="B476" s="113" t="s">
        <v>486</v>
      </c>
      <c r="C476" s="113" t="s">
        <v>477</v>
      </c>
      <c r="D476" s="133" t="s">
        <v>483</v>
      </c>
      <c r="E476" s="133" t="s">
        <v>487</v>
      </c>
      <c r="F476" s="134" t="s">
        <v>11</v>
      </c>
      <c r="G476" s="111">
        <f>G477</f>
        <v>6928.2</v>
      </c>
      <c r="H476" s="111">
        <f>H477</f>
        <v>-400</v>
      </c>
      <c r="I476" s="111">
        <f>I477</f>
        <v>6528.2</v>
      </c>
      <c r="J476" s="114">
        <f>J477</f>
        <v>0</v>
      </c>
      <c r="K476" s="111">
        <f>K477+K479+K481</f>
        <v>0</v>
      </c>
      <c r="L476" s="114">
        <f>L477</f>
        <v>0</v>
      </c>
      <c r="M476" s="111">
        <f>M477</f>
        <v>6928.2</v>
      </c>
      <c r="N476" s="111">
        <f>N477</f>
        <v>-400</v>
      </c>
      <c r="O476" s="111">
        <f>O477</f>
        <v>6528.2</v>
      </c>
      <c r="P476" s="97">
        <f t="shared" si="98"/>
        <v>6528.2</v>
      </c>
      <c r="Q476" s="97">
        <f t="shared" si="99"/>
        <v>0</v>
      </c>
    </row>
    <row r="477" spans="1:17" ht="15.75" x14ac:dyDescent="0.2">
      <c r="A477" s="40"/>
      <c r="B477" s="113" t="s">
        <v>488</v>
      </c>
      <c r="C477" s="113" t="s">
        <v>477</v>
      </c>
      <c r="D477" s="133" t="s">
        <v>483</v>
      </c>
      <c r="E477" s="133" t="s">
        <v>489</v>
      </c>
      <c r="F477" s="134" t="s">
        <v>11</v>
      </c>
      <c r="G477" s="111">
        <f>G478+G480+G482</f>
        <v>6928.2</v>
      </c>
      <c r="H477" s="111">
        <f>H478+H480</f>
        <v>-400</v>
      </c>
      <c r="I477" s="111">
        <f>SUM(G477+H477)</f>
        <v>6528.2</v>
      </c>
      <c r="J477" s="114">
        <f>J478+J480+J482</f>
        <v>0</v>
      </c>
      <c r="K477" s="111">
        <f>K478</f>
        <v>0</v>
      </c>
      <c r="L477" s="114">
        <f>L478+L480+L482</f>
        <v>0</v>
      </c>
      <c r="M477" s="111">
        <f>M478+M480+M482</f>
        <v>6928.2</v>
      </c>
      <c r="N477" s="111">
        <f>N478+N480</f>
        <v>-400</v>
      </c>
      <c r="O477" s="167">
        <f>SUM(M477+N477)</f>
        <v>6528.2</v>
      </c>
      <c r="P477" s="97">
        <f t="shared" si="98"/>
        <v>6528.2</v>
      </c>
      <c r="Q477" s="97">
        <f t="shared" si="99"/>
        <v>0</v>
      </c>
    </row>
    <row r="478" spans="1:17" ht="15.75" x14ac:dyDescent="0.2">
      <c r="A478" s="40"/>
      <c r="B478" s="113" t="s">
        <v>490</v>
      </c>
      <c r="C478" s="113" t="s">
        <v>477</v>
      </c>
      <c r="D478" s="133" t="s">
        <v>483</v>
      </c>
      <c r="E478" s="133" t="s">
        <v>491</v>
      </c>
      <c r="F478" s="134" t="s">
        <v>11</v>
      </c>
      <c r="G478" s="111">
        <f>G479</f>
        <v>6028.2</v>
      </c>
      <c r="H478" s="111">
        <f>H479</f>
        <v>-400</v>
      </c>
      <c r="I478" s="111">
        <f>I479</f>
        <v>5628.2</v>
      </c>
      <c r="J478" s="114">
        <f>J479</f>
        <v>0</v>
      </c>
      <c r="K478" s="111"/>
      <c r="L478" s="114">
        <f>L479</f>
        <v>0</v>
      </c>
      <c r="M478" s="111">
        <f>M479</f>
        <v>6028.2</v>
      </c>
      <c r="N478" s="111">
        <f>N479</f>
        <v>-400</v>
      </c>
      <c r="O478" s="167">
        <f>O479</f>
        <v>5628.2</v>
      </c>
      <c r="P478" s="97">
        <f t="shared" si="98"/>
        <v>5628.2</v>
      </c>
      <c r="Q478" s="97">
        <f t="shared" si="99"/>
        <v>0</v>
      </c>
    </row>
    <row r="479" spans="1:17" ht="31.5" x14ac:dyDescent="0.2">
      <c r="A479" s="40"/>
      <c r="B479" s="113" t="s">
        <v>40</v>
      </c>
      <c r="C479" s="113" t="s">
        <v>477</v>
      </c>
      <c r="D479" s="133" t="s">
        <v>483</v>
      </c>
      <c r="E479" s="133" t="s">
        <v>491</v>
      </c>
      <c r="F479" s="134" t="s">
        <v>41</v>
      </c>
      <c r="G479" s="111">
        <v>6028.2</v>
      </c>
      <c r="H479" s="111">
        <v>-400</v>
      </c>
      <c r="I479" s="111">
        <f>SUM(G479+H479)</f>
        <v>5628.2</v>
      </c>
      <c r="J479" s="115">
        <v>0</v>
      </c>
      <c r="K479" s="111"/>
      <c r="L479" s="115">
        <v>0</v>
      </c>
      <c r="M479" s="111">
        <f>SUM(G479)</f>
        <v>6028.2</v>
      </c>
      <c r="N479" s="111">
        <f>SUM(H479)</f>
        <v>-400</v>
      </c>
      <c r="O479" s="167">
        <f>SUM(M479+N479)</f>
        <v>5628.2</v>
      </c>
      <c r="P479" s="97">
        <f t="shared" si="98"/>
        <v>5628.2</v>
      </c>
      <c r="Q479" s="97">
        <f t="shared" si="99"/>
        <v>0</v>
      </c>
    </row>
    <row r="480" spans="1:17" ht="15.75" x14ac:dyDescent="0.2">
      <c r="A480" s="40"/>
      <c r="B480" s="113" t="s">
        <v>492</v>
      </c>
      <c r="C480" s="113" t="s">
        <v>477</v>
      </c>
      <c r="D480" s="133" t="s">
        <v>483</v>
      </c>
      <c r="E480" s="133" t="s">
        <v>493</v>
      </c>
      <c r="F480" s="134" t="s">
        <v>11</v>
      </c>
      <c r="G480" s="111">
        <f>G481</f>
        <v>900</v>
      </c>
      <c r="H480" s="111"/>
      <c r="I480" s="111">
        <f>I481</f>
        <v>900</v>
      </c>
      <c r="J480" s="114">
        <f>J481</f>
        <v>0</v>
      </c>
      <c r="K480" s="111"/>
      <c r="L480" s="114">
        <f>L481</f>
        <v>0</v>
      </c>
      <c r="M480" s="111">
        <f>M481</f>
        <v>900</v>
      </c>
      <c r="N480" s="111">
        <f>N481</f>
        <v>0</v>
      </c>
      <c r="O480" s="167">
        <f>O481</f>
        <v>900</v>
      </c>
      <c r="P480" s="97">
        <f t="shared" si="98"/>
        <v>900</v>
      </c>
      <c r="Q480" s="97">
        <f t="shared" si="99"/>
        <v>0</v>
      </c>
    </row>
    <row r="481" spans="1:18" ht="26.25" customHeight="1" x14ac:dyDescent="0.2">
      <c r="A481" s="40"/>
      <c r="B481" s="113" t="s">
        <v>40</v>
      </c>
      <c r="C481" s="113" t="s">
        <v>477</v>
      </c>
      <c r="D481" s="133" t="s">
        <v>483</v>
      </c>
      <c r="E481" s="133" t="s">
        <v>493</v>
      </c>
      <c r="F481" s="134" t="s">
        <v>41</v>
      </c>
      <c r="G481" s="111">
        <v>900</v>
      </c>
      <c r="H481" s="111"/>
      <c r="I481" s="111">
        <v>900</v>
      </c>
      <c r="J481" s="115">
        <v>0</v>
      </c>
      <c r="K481" s="111"/>
      <c r="L481" s="115">
        <v>0</v>
      </c>
      <c r="M481" s="111">
        <f>G481+J481</f>
        <v>900</v>
      </c>
      <c r="N481" s="111">
        <f>SUM(H481)</f>
        <v>0</v>
      </c>
      <c r="O481" s="167">
        <f>I481+L481</f>
        <v>900</v>
      </c>
      <c r="P481" s="97">
        <f t="shared" si="98"/>
        <v>900</v>
      </c>
      <c r="Q481" s="97">
        <f t="shared" si="99"/>
        <v>0</v>
      </c>
    </row>
    <row r="482" spans="1:18" ht="15.75" hidden="1" x14ac:dyDescent="0.2">
      <c r="A482" s="40"/>
      <c r="B482" s="113" t="s">
        <v>378</v>
      </c>
      <c r="C482" s="113" t="s">
        <v>477</v>
      </c>
      <c r="D482" s="133" t="s">
        <v>483</v>
      </c>
      <c r="E482" s="133" t="s">
        <v>494</v>
      </c>
      <c r="F482" s="134" t="s">
        <v>11</v>
      </c>
      <c r="G482" s="111">
        <f>G483</f>
        <v>0</v>
      </c>
      <c r="H482" s="111"/>
      <c r="I482" s="111">
        <f>I483</f>
        <v>0</v>
      </c>
      <c r="J482" s="114">
        <f>J483</f>
        <v>0</v>
      </c>
      <c r="K482" s="111"/>
      <c r="L482" s="114">
        <f>L483</f>
        <v>0</v>
      </c>
      <c r="M482" s="111">
        <f>M483</f>
        <v>0</v>
      </c>
      <c r="N482" s="111">
        <f>N483</f>
        <v>0</v>
      </c>
      <c r="O482" s="111">
        <f>O483</f>
        <v>0</v>
      </c>
      <c r="P482" s="97">
        <f t="shared" si="98"/>
        <v>0</v>
      </c>
      <c r="Q482" s="97">
        <f t="shared" si="99"/>
        <v>0</v>
      </c>
    </row>
    <row r="483" spans="1:18" ht="31.5" hidden="1" x14ac:dyDescent="0.2">
      <c r="A483" s="40"/>
      <c r="B483" s="113" t="s">
        <v>40</v>
      </c>
      <c r="C483" s="113" t="s">
        <v>477</v>
      </c>
      <c r="D483" s="133" t="s">
        <v>483</v>
      </c>
      <c r="E483" s="133" t="s">
        <v>494</v>
      </c>
      <c r="F483" s="134" t="s">
        <v>41</v>
      </c>
      <c r="G483" s="111"/>
      <c r="H483" s="111"/>
      <c r="I483" s="111"/>
      <c r="J483" s="115">
        <v>0</v>
      </c>
      <c r="K483" s="111"/>
      <c r="L483" s="115">
        <v>0</v>
      </c>
      <c r="M483" s="111"/>
      <c r="N483" s="111"/>
      <c r="O483" s="111"/>
      <c r="P483" s="97">
        <f t="shared" ref="P483:P554" si="109">G483+H483</f>
        <v>0</v>
      </c>
      <c r="Q483" s="97">
        <f t="shared" ref="Q483:Q554" si="110">I483-P483</f>
        <v>0</v>
      </c>
    </row>
    <row r="484" spans="1:18" ht="47.25" x14ac:dyDescent="0.2">
      <c r="A484" s="40"/>
      <c r="B484" s="113" t="s">
        <v>495</v>
      </c>
      <c r="C484" s="113" t="s">
        <v>477</v>
      </c>
      <c r="D484" s="133" t="s">
        <v>483</v>
      </c>
      <c r="E484" s="133" t="s">
        <v>496</v>
      </c>
      <c r="F484" s="134" t="s">
        <v>11</v>
      </c>
      <c r="G484" s="111">
        <f>G485+G501</f>
        <v>106416.70000000001</v>
      </c>
      <c r="H484" s="111">
        <f>H485+H501</f>
        <v>611.5</v>
      </c>
      <c r="I484" s="111">
        <f>I485+I501</f>
        <v>107028.20000000001</v>
      </c>
      <c r="J484" s="114">
        <f t="shared" ref="J484:M484" si="111">J485+J501</f>
        <v>26634.300000000003</v>
      </c>
      <c r="K484" s="111">
        <f t="shared" si="111"/>
        <v>0</v>
      </c>
      <c r="L484" s="114">
        <f t="shared" si="111"/>
        <v>26634.300000000003</v>
      </c>
      <c r="M484" s="111">
        <f t="shared" si="111"/>
        <v>133051</v>
      </c>
      <c r="N484" s="111">
        <f>N485</f>
        <v>611.5</v>
      </c>
      <c r="O484" s="167">
        <f>O485+O501</f>
        <v>133662.5</v>
      </c>
      <c r="P484" s="97">
        <f t="shared" si="109"/>
        <v>107028.20000000001</v>
      </c>
      <c r="Q484" s="97">
        <f t="shared" si="110"/>
        <v>0</v>
      </c>
    </row>
    <row r="485" spans="1:18" ht="47.25" x14ac:dyDescent="0.2">
      <c r="A485" s="40"/>
      <c r="B485" s="113" t="s">
        <v>497</v>
      </c>
      <c r="C485" s="113" t="s">
        <v>477</v>
      </c>
      <c r="D485" s="133" t="s">
        <v>483</v>
      </c>
      <c r="E485" s="133" t="s">
        <v>498</v>
      </c>
      <c r="F485" s="134" t="s">
        <v>11</v>
      </c>
      <c r="G485" s="111">
        <f>G486+G495+G499+G493+G491</f>
        <v>106162.30000000002</v>
      </c>
      <c r="H485" s="111">
        <f>H486+H495+H499+H493+H491</f>
        <v>611.5</v>
      </c>
      <c r="I485" s="111">
        <f>I486+I495+I499+I493+I491</f>
        <v>106773.80000000002</v>
      </c>
      <c r="J485" s="114">
        <f>J486+J495+J499+J493+J497</f>
        <v>25071.800000000003</v>
      </c>
      <c r="K485" s="111">
        <f>K486+K488+K493+K495+K499+K497</f>
        <v>0</v>
      </c>
      <c r="L485" s="114">
        <f>L486+L495+L499+L493+L497</f>
        <v>25071.800000000003</v>
      </c>
      <c r="M485" s="111">
        <f>M486+M495+M499+M493+M497+M491</f>
        <v>131234.1</v>
      </c>
      <c r="N485" s="111">
        <f>N486+N495+N499+N493+N491</f>
        <v>611.5</v>
      </c>
      <c r="O485" s="167">
        <f>O486+O495+O499+O493+O497+O491</f>
        <v>131845.6</v>
      </c>
      <c r="P485" s="97">
        <f t="shared" si="109"/>
        <v>106773.80000000002</v>
      </c>
      <c r="Q485" s="97">
        <f t="shared" si="110"/>
        <v>0</v>
      </c>
      <c r="R485">
        <v>-0.1</v>
      </c>
    </row>
    <row r="486" spans="1:18" ht="31.5" x14ac:dyDescent="0.2">
      <c r="A486" s="40"/>
      <c r="B486" s="113" t="s">
        <v>134</v>
      </c>
      <c r="C486" s="113" t="s">
        <v>477</v>
      </c>
      <c r="D486" s="133" t="s">
        <v>483</v>
      </c>
      <c r="E486" s="133" t="s">
        <v>499</v>
      </c>
      <c r="F486" s="134" t="s">
        <v>11</v>
      </c>
      <c r="G486" s="111">
        <f>G487+G488+G489+G490</f>
        <v>99695.200000000012</v>
      </c>
      <c r="H486" s="111">
        <f>SUM(H488)+H489</f>
        <v>0</v>
      </c>
      <c r="I486" s="111">
        <f>I487+I488+I489+I490</f>
        <v>99695.200000000012</v>
      </c>
      <c r="J486" s="114">
        <f>J487+J488+J489+J490</f>
        <v>20725.600000000002</v>
      </c>
      <c r="K486" s="111">
        <f>K487+K488+K489</f>
        <v>0</v>
      </c>
      <c r="L486" s="114">
        <f>L487+L488+L489+L490</f>
        <v>20725.600000000002</v>
      </c>
      <c r="M486" s="111">
        <f>M487+M488+M489+M490</f>
        <v>120420.8</v>
      </c>
      <c r="N486" s="111">
        <f>N487+N488+N490+N489</f>
        <v>0</v>
      </c>
      <c r="O486" s="167">
        <f>O487+O488+O489+O490</f>
        <v>120420.8</v>
      </c>
      <c r="P486" s="97">
        <f t="shared" si="109"/>
        <v>99695.200000000012</v>
      </c>
      <c r="Q486" s="97">
        <f t="shared" si="110"/>
        <v>0</v>
      </c>
    </row>
    <row r="487" spans="1:18" ht="48" customHeight="1" x14ac:dyDescent="0.2">
      <c r="A487" s="40"/>
      <c r="B487" s="113" t="s">
        <v>61</v>
      </c>
      <c r="C487" s="113" t="s">
        <v>477</v>
      </c>
      <c r="D487" s="133" t="s">
        <v>483</v>
      </c>
      <c r="E487" s="133" t="s">
        <v>499</v>
      </c>
      <c r="F487" s="134" t="s">
        <v>62</v>
      </c>
      <c r="G487" s="111">
        <v>16500.3</v>
      </c>
      <c r="H487" s="111"/>
      <c r="I487" s="111">
        <v>16500.3</v>
      </c>
      <c r="J487" s="115">
        <v>3655.4</v>
      </c>
      <c r="K487" s="111"/>
      <c r="L487" s="111">
        <f>J487+K487</f>
        <v>3655.4</v>
      </c>
      <c r="M487" s="111">
        <f>G487+J487</f>
        <v>20155.7</v>
      </c>
      <c r="N487" s="111">
        <f>H487+K487</f>
        <v>0</v>
      </c>
      <c r="O487" s="167">
        <f>I487+L487</f>
        <v>20155.7</v>
      </c>
      <c r="P487" s="97">
        <f t="shared" si="109"/>
        <v>16500.3</v>
      </c>
      <c r="Q487" s="97">
        <f t="shared" si="110"/>
        <v>0</v>
      </c>
    </row>
    <row r="488" spans="1:18" ht="31.5" x14ac:dyDescent="0.2">
      <c r="A488" s="40"/>
      <c r="B488" s="113" t="s">
        <v>40</v>
      </c>
      <c r="C488" s="113" t="s">
        <v>477</v>
      </c>
      <c r="D488" s="133" t="s">
        <v>483</v>
      </c>
      <c r="E488" s="133" t="s">
        <v>499</v>
      </c>
      <c r="F488" s="134" t="s">
        <v>41</v>
      </c>
      <c r="G488" s="111">
        <v>6034.3</v>
      </c>
      <c r="H488" s="111"/>
      <c r="I488" s="111">
        <f>SUM(G488)+H488</f>
        <v>6034.3</v>
      </c>
      <c r="J488" s="115">
        <v>0</v>
      </c>
      <c r="K488" s="111"/>
      <c r="L488" s="115">
        <v>0</v>
      </c>
      <c r="M488" s="111">
        <f>SUM(G488)</f>
        <v>6034.3</v>
      </c>
      <c r="N488" s="111">
        <f>SUM(H488)</f>
        <v>0</v>
      </c>
      <c r="O488" s="167">
        <f>SUM(I488)</f>
        <v>6034.3</v>
      </c>
      <c r="P488" s="97">
        <f t="shared" si="109"/>
        <v>6034.3</v>
      </c>
      <c r="Q488" s="97">
        <f t="shared" si="110"/>
        <v>0</v>
      </c>
    </row>
    <row r="489" spans="1:18" ht="39" customHeight="1" x14ac:dyDescent="0.2">
      <c r="A489" s="40"/>
      <c r="B489" s="113" t="s">
        <v>95</v>
      </c>
      <c r="C489" s="113" t="s">
        <v>477</v>
      </c>
      <c r="D489" s="133" t="s">
        <v>483</v>
      </c>
      <c r="E489" s="133" t="s">
        <v>499</v>
      </c>
      <c r="F489" s="134" t="s">
        <v>96</v>
      </c>
      <c r="G489" s="111">
        <f>75925300/1000+1213.2</f>
        <v>77138.5</v>
      </c>
      <c r="H489" s="111"/>
      <c r="I489" s="111">
        <f>75925300/1000+1213.2+H489</f>
        <v>77138.5</v>
      </c>
      <c r="J489" s="115">
        <v>17070.2</v>
      </c>
      <c r="K489" s="111"/>
      <c r="L489" s="111">
        <f>J489+K489</f>
        <v>17070.2</v>
      </c>
      <c r="M489" s="111">
        <f>G489+J489</f>
        <v>94208.7</v>
      </c>
      <c r="N489" s="111">
        <f>SUM(K489)+H489</f>
        <v>0</v>
      </c>
      <c r="O489" s="167">
        <f>I489+L489</f>
        <v>94208.7</v>
      </c>
      <c r="P489" s="97">
        <f t="shared" si="109"/>
        <v>77138.5</v>
      </c>
      <c r="Q489" s="97">
        <f t="shared" si="110"/>
        <v>0</v>
      </c>
    </row>
    <row r="490" spans="1:18" ht="15.75" x14ac:dyDescent="0.2">
      <c r="A490" s="40"/>
      <c r="B490" s="113" t="s">
        <v>338</v>
      </c>
      <c r="C490" s="113" t="s">
        <v>477</v>
      </c>
      <c r="D490" s="133" t="s">
        <v>483</v>
      </c>
      <c r="E490" s="133" t="s">
        <v>499</v>
      </c>
      <c r="F490" s="134" t="s">
        <v>71</v>
      </c>
      <c r="G490" s="111">
        <v>22.1</v>
      </c>
      <c r="H490" s="111"/>
      <c r="I490" s="111">
        <v>22.1</v>
      </c>
      <c r="J490" s="115">
        <v>0</v>
      </c>
      <c r="K490" s="111"/>
      <c r="L490" s="115">
        <v>0</v>
      </c>
      <c r="M490" s="111">
        <f>G490+J490</f>
        <v>22.1</v>
      </c>
      <c r="N490" s="111">
        <f>SUM(H490)</f>
        <v>0</v>
      </c>
      <c r="O490" s="111">
        <f>I490+L490</f>
        <v>22.1</v>
      </c>
      <c r="P490" s="97">
        <f t="shared" si="109"/>
        <v>22.1</v>
      </c>
      <c r="Q490" s="97">
        <f t="shared" si="110"/>
        <v>0</v>
      </c>
    </row>
    <row r="491" spans="1:18" ht="31.5" x14ac:dyDescent="0.2">
      <c r="A491" s="40"/>
      <c r="B491" s="113" t="s">
        <v>392</v>
      </c>
      <c r="C491" s="113">
        <v>993</v>
      </c>
      <c r="D491" s="133" t="s">
        <v>483</v>
      </c>
      <c r="E491" s="136" t="s">
        <v>600</v>
      </c>
      <c r="F491" s="134"/>
      <c r="G491" s="111">
        <v>397.2</v>
      </c>
      <c r="H491" s="111">
        <f>H492</f>
        <v>400</v>
      </c>
      <c r="I491" s="111">
        <f>SUM(H491)+G491</f>
        <v>797.2</v>
      </c>
      <c r="J491" s="115"/>
      <c r="K491" s="111"/>
      <c r="L491" s="115"/>
      <c r="M491" s="111">
        <f>SUM(G491)</f>
        <v>397.2</v>
      </c>
      <c r="N491" s="111">
        <f>SUM(H491)</f>
        <v>400</v>
      </c>
      <c r="O491" s="167">
        <f>SUM(I491)</f>
        <v>797.2</v>
      </c>
      <c r="P491" s="97">
        <f t="shared" si="109"/>
        <v>797.2</v>
      </c>
      <c r="Q491" s="97">
        <f t="shared" si="110"/>
        <v>0</v>
      </c>
    </row>
    <row r="492" spans="1:18" ht="47.25" x14ac:dyDescent="0.2">
      <c r="A492" s="40"/>
      <c r="B492" s="113" t="s">
        <v>95</v>
      </c>
      <c r="C492" s="113">
        <v>993</v>
      </c>
      <c r="D492" s="133" t="s">
        <v>483</v>
      </c>
      <c r="E492" s="136" t="s">
        <v>600</v>
      </c>
      <c r="F492" s="134">
        <v>600</v>
      </c>
      <c r="G492" s="111">
        <v>397.2</v>
      </c>
      <c r="H492" s="111">
        <f>400</f>
        <v>400</v>
      </c>
      <c r="I492" s="111">
        <f>SUM(H492)+G492</f>
        <v>797.2</v>
      </c>
      <c r="J492" s="115"/>
      <c r="K492" s="111"/>
      <c r="L492" s="115"/>
      <c r="M492" s="111">
        <f>SUM(G492)</f>
        <v>397.2</v>
      </c>
      <c r="N492" s="111">
        <f>SUM(H492)</f>
        <v>400</v>
      </c>
      <c r="O492" s="167">
        <f>SUM(I492)</f>
        <v>797.2</v>
      </c>
      <c r="P492" s="97">
        <f t="shared" si="109"/>
        <v>797.2</v>
      </c>
      <c r="Q492" s="97">
        <f t="shared" si="110"/>
        <v>0</v>
      </c>
    </row>
    <row r="493" spans="1:18" ht="31.5" x14ac:dyDescent="0.2">
      <c r="A493" s="40"/>
      <c r="B493" s="113" t="s">
        <v>500</v>
      </c>
      <c r="C493" s="113">
        <v>993</v>
      </c>
      <c r="D493" s="133" t="s">
        <v>483</v>
      </c>
      <c r="E493" s="136" t="s">
        <v>501</v>
      </c>
      <c r="F493" s="134"/>
      <c r="G493" s="111">
        <f>SUM(F493)+G494</f>
        <v>2648.7</v>
      </c>
      <c r="H493" s="111">
        <f>SUM(H494)</f>
        <v>0</v>
      </c>
      <c r="I493" s="111">
        <f>SUM(G493)+H493</f>
        <v>2648.7</v>
      </c>
      <c r="J493" s="115">
        <f>SUM(J494)</f>
        <v>0</v>
      </c>
      <c r="K493" s="111">
        <f>SUM(K494)</f>
        <v>0</v>
      </c>
      <c r="L493" s="115">
        <f>SUM(J493)+K493</f>
        <v>0</v>
      </c>
      <c r="M493" s="111">
        <f>SUM(G493+J493)</f>
        <v>2648.7</v>
      </c>
      <c r="N493" s="111">
        <f>SUM(K493)+H493</f>
        <v>0</v>
      </c>
      <c r="O493" s="167">
        <f>SUM(I493)+L493</f>
        <v>2648.7</v>
      </c>
      <c r="P493" s="97">
        <f t="shared" si="109"/>
        <v>2648.7</v>
      </c>
      <c r="Q493" s="97">
        <f t="shared" si="110"/>
        <v>0</v>
      </c>
    </row>
    <row r="494" spans="1:18" ht="47.25" x14ac:dyDescent="0.2">
      <c r="A494" s="40"/>
      <c r="B494" s="113" t="s">
        <v>95</v>
      </c>
      <c r="C494" s="113">
        <v>993</v>
      </c>
      <c r="D494" s="133" t="s">
        <v>483</v>
      </c>
      <c r="E494" s="136" t="s">
        <v>501</v>
      </c>
      <c r="F494" s="134">
        <v>600</v>
      </c>
      <c r="G494" s="111">
        <v>2648.7</v>
      </c>
      <c r="H494" s="111"/>
      <c r="I494" s="111">
        <f>SUM(G494)+H494</f>
        <v>2648.7</v>
      </c>
      <c r="J494" s="115">
        <v>0</v>
      </c>
      <c r="K494" s="111"/>
      <c r="L494" s="115">
        <f>SUM(J494)+K494</f>
        <v>0</v>
      </c>
      <c r="M494" s="111">
        <f>SUM(G494+J494)</f>
        <v>2648.7</v>
      </c>
      <c r="N494" s="111">
        <f>SUM(K494)+H494</f>
        <v>0</v>
      </c>
      <c r="O494" s="167">
        <f>SUM(I494)+L494</f>
        <v>2648.7</v>
      </c>
      <c r="P494" s="97">
        <f t="shared" si="109"/>
        <v>2648.7</v>
      </c>
      <c r="Q494" s="97">
        <f t="shared" si="110"/>
        <v>0</v>
      </c>
    </row>
    <row r="495" spans="1:18" ht="47.25" x14ac:dyDescent="0.2">
      <c r="A495" s="40"/>
      <c r="B495" s="113" t="s">
        <v>283</v>
      </c>
      <c r="C495" s="113" t="s">
        <v>477</v>
      </c>
      <c r="D495" s="133" t="s">
        <v>483</v>
      </c>
      <c r="E495" s="133" t="s">
        <v>502</v>
      </c>
      <c r="F495" s="134" t="s">
        <v>11</v>
      </c>
      <c r="G495" s="111">
        <f>G496</f>
        <v>2795.1</v>
      </c>
      <c r="H495" s="111">
        <f>SUM(H496)</f>
        <v>211.5</v>
      </c>
      <c r="I495" s="111">
        <f>SUM(G495)+H495</f>
        <v>3006.6</v>
      </c>
      <c r="J495" s="114">
        <f t="shared" ref="J495:O495" si="112">J496</f>
        <v>0</v>
      </c>
      <c r="K495" s="111">
        <f t="shared" si="112"/>
        <v>0</v>
      </c>
      <c r="L495" s="114">
        <f t="shared" si="112"/>
        <v>0</v>
      </c>
      <c r="M495" s="111">
        <f t="shared" si="112"/>
        <v>2795.1</v>
      </c>
      <c r="N495" s="111">
        <f t="shared" si="112"/>
        <v>211.5</v>
      </c>
      <c r="O495" s="167">
        <f t="shared" si="112"/>
        <v>3006.6</v>
      </c>
      <c r="P495" s="97">
        <f t="shared" si="109"/>
        <v>3006.6</v>
      </c>
      <c r="Q495" s="97">
        <f t="shared" si="110"/>
        <v>0</v>
      </c>
    </row>
    <row r="496" spans="1:18" ht="36" customHeight="1" x14ac:dyDescent="0.2">
      <c r="A496" s="40"/>
      <c r="B496" s="113" t="s">
        <v>95</v>
      </c>
      <c r="C496" s="113" t="s">
        <v>477</v>
      </c>
      <c r="D496" s="133" t="s">
        <v>483</v>
      </c>
      <c r="E496" s="133" t="s">
        <v>502</v>
      </c>
      <c r="F496" s="134" t="s">
        <v>96</v>
      </c>
      <c r="G496" s="111">
        <v>2795.1</v>
      </c>
      <c r="H496" s="111">
        <v>211.5</v>
      </c>
      <c r="I496" s="111">
        <f>SUM(G496)+H496</f>
        <v>3006.6</v>
      </c>
      <c r="J496" s="115"/>
      <c r="K496" s="111">
        <v>0</v>
      </c>
      <c r="L496" s="115">
        <f>SUM(J496:K496)</f>
        <v>0</v>
      </c>
      <c r="M496" s="111">
        <f>SUM(G496)</f>
        <v>2795.1</v>
      </c>
      <c r="N496" s="111">
        <f>H496+K496</f>
        <v>211.5</v>
      </c>
      <c r="O496" s="167">
        <f>SUM(M496)+N496</f>
        <v>3006.6</v>
      </c>
      <c r="P496" s="97">
        <f t="shared" si="109"/>
        <v>3006.6</v>
      </c>
      <c r="Q496" s="97">
        <f t="shared" si="110"/>
        <v>0</v>
      </c>
    </row>
    <row r="497" spans="1:17" ht="79.150000000000006" customHeight="1" x14ac:dyDescent="0.2">
      <c r="A497" s="40"/>
      <c r="B497" s="118" t="s">
        <v>587</v>
      </c>
      <c r="C497" s="113" t="s">
        <v>477</v>
      </c>
      <c r="D497" s="133" t="s">
        <v>483</v>
      </c>
      <c r="E497" s="136" t="s">
        <v>586</v>
      </c>
      <c r="F497" s="134" t="s">
        <v>11</v>
      </c>
      <c r="G497" s="111"/>
      <c r="H497" s="111"/>
      <c r="I497" s="111"/>
      <c r="J497" s="115">
        <f t="shared" ref="J497:O497" si="113">J498</f>
        <v>500</v>
      </c>
      <c r="K497" s="111">
        <f t="shared" si="113"/>
        <v>0</v>
      </c>
      <c r="L497" s="115">
        <f t="shared" si="113"/>
        <v>500</v>
      </c>
      <c r="M497" s="111">
        <f t="shared" si="113"/>
        <v>500</v>
      </c>
      <c r="N497" s="111">
        <f t="shared" si="113"/>
        <v>0</v>
      </c>
      <c r="O497" s="111">
        <f t="shared" si="113"/>
        <v>500</v>
      </c>
      <c r="P497" s="97">
        <f t="shared" si="109"/>
        <v>0</v>
      </c>
      <c r="Q497" s="97">
        <f t="shared" si="110"/>
        <v>0</v>
      </c>
    </row>
    <row r="498" spans="1:17" ht="36" customHeight="1" x14ac:dyDescent="0.2">
      <c r="A498" s="40"/>
      <c r="B498" s="113" t="s">
        <v>95</v>
      </c>
      <c r="C498" s="113" t="s">
        <v>477</v>
      </c>
      <c r="D498" s="133" t="s">
        <v>483</v>
      </c>
      <c r="E498" s="136" t="s">
        <v>586</v>
      </c>
      <c r="F498" s="134" t="s">
        <v>96</v>
      </c>
      <c r="G498" s="111"/>
      <c r="H498" s="111"/>
      <c r="I498" s="111"/>
      <c r="J498" s="115">
        <v>500</v>
      </c>
      <c r="K498" s="111"/>
      <c r="L498" s="115">
        <f>SUM(J498:K498)</f>
        <v>500</v>
      </c>
      <c r="M498" s="111">
        <f>G498+J498</f>
        <v>500</v>
      </c>
      <c r="N498" s="111">
        <f>H498+K498</f>
        <v>0</v>
      </c>
      <c r="O498" s="111">
        <f>SUM(M498:N498)</f>
        <v>500</v>
      </c>
      <c r="P498" s="97">
        <f t="shared" si="109"/>
        <v>0</v>
      </c>
      <c r="Q498" s="97">
        <f t="shared" si="110"/>
        <v>0</v>
      </c>
    </row>
    <row r="499" spans="1:17" ht="31.5" x14ac:dyDescent="0.2">
      <c r="A499" s="40"/>
      <c r="B499" s="113" t="s">
        <v>503</v>
      </c>
      <c r="C499" s="113" t="s">
        <v>477</v>
      </c>
      <c r="D499" s="133" t="s">
        <v>483</v>
      </c>
      <c r="E499" s="133" t="s">
        <v>504</v>
      </c>
      <c r="F499" s="134" t="s">
        <v>11</v>
      </c>
      <c r="G499" s="111">
        <f>G500</f>
        <v>626.1</v>
      </c>
      <c r="H499" s="111">
        <f>SUM(H500)</f>
        <v>0</v>
      </c>
      <c r="I499" s="111">
        <f>I500</f>
        <v>626.1</v>
      </c>
      <c r="J499" s="114">
        <f>J500</f>
        <v>3846.2</v>
      </c>
      <c r="K499" s="111"/>
      <c r="L499" s="114">
        <f>L500</f>
        <v>3846.2</v>
      </c>
      <c r="M499" s="111">
        <f>M500</f>
        <v>4472.3</v>
      </c>
      <c r="N499" s="111">
        <f>N500</f>
        <v>0</v>
      </c>
      <c r="O499" s="167">
        <f>O500</f>
        <v>4472.3</v>
      </c>
      <c r="P499" s="97">
        <f t="shared" si="109"/>
        <v>626.1</v>
      </c>
      <c r="Q499" s="97">
        <f t="shared" si="110"/>
        <v>0</v>
      </c>
    </row>
    <row r="500" spans="1:17" ht="36" customHeight="1" x14ac:dyDescent="0.2">
      <c r="A500" s="40"/>
      <c r="B500" s="113" t="s">
        <v>95</v>
      </c>
      <c r="C500" s="113" t="s">
        <v>477</v>
      </c>
      <c r="D500" s="133" t="s">
        <v>483</v>
      </c>
      <c r="E500" s="133" t="s">
        <v>504</v>
      </c>
      <c r="F500" s="134" t="s">
        <v>96</v>
      </c>
      <c r="G500" s="111">
        <v>626.1</v>
      </c>
      <c r="H500" s="111"/>
      <c r="I500" s="111">
        <v>626.1</v>
      </c>
      <c r="J500" s="115">
        <v>3846.2</v>
      </c>
      <c r="K500" s="111"/>
      <c r="L500" s="115">
        <v>3846.2</v>
      </c>
      <c r="M500" s="111">
        <f>G500+J500</f>
        <v>4472.3</v>
      </c>
      <c r="N500" s="111">
        <f>SUM(H500)</f>
        <v>0</v>
      </c>
      <c r="O500" s="167">
        <f>I500+L500</f>
        <v>4472.3</v>
      </c>
      <c r="P500" s="97">
        <f t="shared" si="109"/>
        <v>626.1</v>
      </c>
      <c r="Q500" s="97">
        <f t="shared" si="110"/>
        <v>0</v>
      </c>
    </row>
    <row r="501" spans="1:17" ht="16.899999999999999" customHeight="1" x14ac:dyDescent="0.2">
      <c r="A501" s="40"/>
      <c r="B501" s="135" t="s">
        <v>505</v>
      </c>
      <c r="C501" s="113">
        <v>993</v>
      </c>
      <c r="D501" s="133" t="s">
        <v>483</v>
      </c>
      <c r="E501" s="133" t="s">
        <v>506</v>
      </c>
      <c r="F501" s="134"/>
      <c r="G501" s="111">
        <v>254.4</v>
      </c>
      <c r="H501" s="111"/>
      <c r="I501" s="111">
        <v>254.4</v>
      </c>
      <c r="J501" s="115">
        <v>1562.5</v>
      </c>
      <c r="K501" s="111"/>
      <c r="L501" s="115">
        <v>1562.5</v>
      </c>
      <c r="M501" s="111">
        <f>254.4+J501</f>
        <v>1816.9</v>
      </c>
      <c r="N501" s="111"/>
      <c r="O501" s="111">
        <f>254.4+L501</f>
        <v>1816.9</v>
      </c>
      <c r="P501" s="97">
        <f t="shared" si="109"/>
        <v>254.4</v>
      </c>
      <c r="Q501" s="97">
        <f t="shared" si="110"/>
        <v>0</v>
      </c>
    </row>
    <row r="502" spans="1:17" ht="36" customHeight="1" x14ac:dyDescent="0.2">
      <c r="A502" s="40"/>
      <c r="B502" s="135" t="s">
        <v>507</v>
      </c>
      <c r="C502" s="113">
        <v>993</v>
      </c>
      <c r="D502" s="133" t="s">
        <v>483</v>
      </c>
      <c r="E502" s="133" t="s">
        <v>508</v>
      </c>
      <c r="F502" s="134"/>
      <c r="G502" s="111">
        <v>254.4</v>
      </c>
      <c r="H502" s="111"/>
      <c r="I502" s="111">
        <v>254.4</v>
      </c>
      <c r="J502" s="115">
        <v>1562.5</v>
      </c>
      <c r="K502" s="111"/>
      <c r="L502" s="115">
        <v>1562.5</v>
      </c>
      <c r="M502" s="111">
        <f>254.4+J502</f>
        <v>1816.9</v>
      </c>
      <c r="N502" s="111"/>
      <c r="O502" s="111">
        <f>254.4+L502</f>
        <v>1816.9</v>
      </c>
      <c r="P502" s="97">
        <f t="shared" si="109"/>
        <v>254.4</v>
      </c>
      <c r="Q502" s="97">
        <f t="shared" si="110"/>
        <v>0</v>
      </c>
    </row>
    <row r="503" spans="1:17" ht="32.25" customHeight="1" x14ac:dyDescent="0.2">
      <c r="A503" s="40"/>
      <c r="B503" s="113" t="s">
        <v>95</v>
      </c>
      <c r="C503" s="113">
        <v>993</v>
      </c>
      <c r="D503" s="133" t="s">
        <v>483</v>
      </c>
      <c r="E503" s="133" t="s">
        <v>508</v>
      </c>
      <c r="F503" s="134">
        <v>600</v>
      </c>
      <c r="G503" s="111">
        <v>254.4</v>
      </c>
      <c r="H503" s="109"/>
      <c r="I503" s="111">
        <v>254.4</v>
      </c>
      <c r="J503" s="115">
        <v>1562.5</v>
      </c>
      <c r="K503" s="109"/>
      <c r="L503" s="115">
        <v>1562.5</v>
      </c>
      <c r="M503" s="111">
        <f>254.4+J503</f>
        <v>1816.9</v>
      </c>
      <c r="N503" s="111"/>
      <c r="O503" s="111">
        <f>254.4+L503</f>
        <v>1816.9</v>
      </c>
      <c r="P503" s="97">
        <f t="shared" si="109"/>
        <v>254.4</v>
      </c>
      <c r="Q503" s="97">
        <f t="shared" si="110"/>
        <v>0</v>
      </c>
    </row>
    <row r="504" spans="1:17" ht="36" hidden="1" customHeight="1" x14ac:dyDescent="0.2">
      <c r="A504" s="40"/>
      <c r="B504" s="135" t="s">
        <v>459</v>
      </c>
      <c r="C504" s="113">
        <v>993</v>
      </c>
      <c r="D504" s="133" t="s">
        <v>483</v>
      </c>
      <c r="E504" s="133">
        <v>1300000000</v>
      </c>
      <c r="F504" s="134"/>
      <c r="G504" s="111"/>
      <c r="H504" s="111">
        <f>SUM(H505)</f>
        <v>0</v>
      </c>
      <c r="I504" s="111">
        <f>SUM(H505)</f>
        <v>0</v>
      </c>
      <c r="J504" s="115"/>
      <c r="K504" s="109"/>
      <c r="L504" s="115"/>
      <c r="M504" s="111"/>
      <c r="N504" s="111">
        <f t="shared" ref="N504:O507" si="114">SUM(H504)</f>
        <v>0</v>
      </c>
      <c r="O504" s="111">
        <f t="shared" si="114"/>
        <v>0</v>
      </c>
      <c r="P504" s="97">
        <f t="shared" si="109"/>
        <v>0</v>
      </c>
      <c r="Q504" s="97">
        <f t="shared" si="110"/>
        <v>0</v>
      </c>
    </row>
    <row r="505" spans="1:17" ht="36" hidden="1" customHeight="1" x14ac:dyDescent="0.2">
      <c r="A505" s="40"/>
      <c r="B505" s="135" t="s">
        <v>461</v>
      </c>
      <c r="C505" s="113">
        <v>993</v>
      </c>
      <c r="D505" s="133" t="s">
        <v>483</v>
      </c>
      <c r="E505" s="136" t="s">
        <v>462</v>
      </c>
      <c r="F505" s="134"/>
      <c r="G505" s="111"/>
      <c r="H505" s="111">
        <f>SUM(H506)</f>
        <v>0</v>
      </c>
      <c r="I505" s="111">
        <f>SUM(H506)</f>
        <v>0</v>
      </c>
      <c r="J505" s="115"/>
      <c r="K505" s="109"/>
      <c r="L505" s="115"/>
      <c r="M505" s="111"/>
      <c r="N505" s="111">
        <f t="shared" si="114"/>
        <v>0</v>
      </c>
      <c r="O505" s="111">
        <f t="shared" si="114"/>
        <v>0</v>
      </c>
      <c r="P505" s="97">
        <f t="shared" si="109"/>
        <v>0</v>
      </c>
      <c r="Q505" s="97">
        <f t="shared" si="110"/>
        <v>0</v>
      </c>
    </row>
    <row r="506" spans="1:17" ht="36" hidden="1" customHeight="1" x14ac:dyDescent="0.2">
      <c r="A506" s="40"/>
      <c r="B506" s="135" t="s">
        <v>463</v>
      </c>
      <c r="C506" s="113">
        <v>993</v>
      </c>
      <c r="D506" s="133" t="s">
        <v>483</v>
      </c>
      <c r="E506" s="136" t="s">
        <v>464</v>
      </c>
      <c r="F506" s="134"/>
      <c r="G506" s="111"/>
      <c r="H506" s="111">
        <f>SUM(H507)</f>
        <v>0</v>
      </c>
      <c r="I506" s="111">
        <f>SUM(H507)</f>
        <v>0</v>
      </c>
      <c r="J506" s="115"/>
      <c r="K506" s="109"/>
      <c r="L506" s="115"/>
      <c r="M506" s="111"/>
      <c r="N506" s="111">
        <f t="shared" si="114"/>
        <v>0</v>
      </c>
      <c r="O506" s="111">
        <f t="shared" si="114"/>
        <v>0</v>
      </c>
      <c r="P506" s="97">
        <f t="shared" si="109"/>
        <v>0</v>
      </c>
      <c r="Q506" s="97">
        <f t="shared" si="110"/>
        <v>0</v>
      </c>
    </row>
    <row r="507" spans="1:17" ht="36" hidden="1" customHeight="1" x14ac:dyDescent="0.2">
      <c r="A507" s="40"/>
      <c r="B507" s="113" t="s">
        <v>40</v>
      </c>
      <c r="C507" s="113">
        <v>993</v>
      </c>
      <c r="D507" s="133" t="s">
        <v>483</v>
      </c>
      <c r="E507" s="136" t="s">
        <v>464</v>
      </c>
      <c r="F507" s="134">
        <v>200</v>
      </c>
      <c r="G507" s="111"/>
      <c r="H507" s="109"/>
      <c r="I507" s="151">
        <f>SUM(H507)</f>
        <v>0</v>
      </c>
      <c r="J507" s="115"/>
      <c r="K507" s="109"/>
      <c r="L507" s="115"/>
      <c r="M507" s="111"/>
      <c r="N507" s="111">
        <f t="shared" si="114"/>
        <v>0</v>
      </c>
      <c r="O507" s="111">
        <f t="shared" si="114"/>
        <v>0</v>
      </c>
      <c r="P507" s="97">
        <f t="shared" si="109"/>
        <v>0</v>
      </c>
      <c r="Q507" s="97">
        <f t="shared" si="110"/>
        <v>0</v>
      </c>
    </row>
    <row r="508" spans="1:17" ht="15.75" x14ac:dyDescent="0.2">
      <c r="A508" s="33" t="s">
        <v>509</v>
      </c>
      <c r="B508" s="110" t="s">
        <v>510</v>
      </c>
      <c r="C508" s="110" t="s">
        <v>477</v>
      </c>
      <c r="D508" s="131" t="s">
        <v>511</v>
      </c>
      <c r="E508" s="131" t="s">
        <v>11</v>
      </c>
      <c r="F508" s="132" t="s">
        <v>11</v>
      </c>
      <c r="G508" s="109">
        <f t="shared" ref="G508:O512" si="115">G509</f>
        <v>11335.7</v>
      </c>
      <c r="H508" s="109">
        <f t="shared" si="115"/>
        <v>0</v>
      </c>
      <c r="I508" s="109">
        <f t="shared" si="115"/>
        <v>11335.7</v>
      </c>
      <c r="J508" s="112">
        <f t="shared" si="115"/>
        <v>747.5</v>
      </c>
      <c r="K508" s="111">
        <f>K509</f>
        <v>0</v>
      </c>
      <c r="L508" s="112">
        <f t="shared" si="115"/>
        <v>747.5</v>
      </c>
      <c r="M508" s="109">
        <f>M509</f>
        <v>12083.2</v>
      </c>
      <c r="N508" s="109">
        <f t="shared" si="115"/>
        <v>0</v>
      </c>
      <c r="O508" s="109">
        <f t="shared" si="115"/>
        <v>12083.2</v>
      </c>
      <c r="P508" s="97">
        <f t="shared" si="109"/>
        <v>11335.7</v>
      </c>
      <c r="Q508" s="97">
        <f t="shared" si="110"/>
        <v>0</v>
      </c>
    </row>
    <row r="509" spans="1:17" ht="31.5" x14ac:dyDescent="0.2">
      <c r="A509" s="40"/>
      <c r="B509" s="113" t="s">
        <v>484</v>
      </c>
      <c r="C509" s="113" t="s">
        <v>477</v>
      </c>
      <c r="D509" s="133" t="s">
        <v>511</v>
      </c>
      <c r="E509" s="133" t="s">
        <v>485</v>
      </c>
      <c r="F509" s="134" t="s">
        <v>11</v>
      </c>
      <c r="G509" s="111">
        <f t="shared" si="115"/>
        <v>11335.7</v>
      </c>
      <c r="H509" s="111">
        <f t="shared" si="115"/>
        <v>0</v>
      </c>
      <c r="I509" s="111">
        <f t="shared" si="115"/>
        <v>11335.7</v>
      </c>
      <c r="J509" s="114">
        <f t="shared" si="115"/>
        <v>747.5</v>
      </c>
      <c r="K509" s="111">
        <f>K510</f>
        <v>0</v>
      </c>
      <c r="L509" s="114">
        <f t="shared" si="115"/>
        <v>747.5</v>
      </c>
      <c r="M509" s="111">
        <f t="shared" si="115"/>
        <v>12083.2</v>
      </c>
      <c r="N509" s="111">
        <f t="shared" si="115"/>
        <v>0</v>
      </c>
      <c r="O509" s="111">
        <f t="shared" si="115"/>
        <v>12083.2</v>
      </c>
      <c r="P509" s="97">
        <f t="shared" si="109"/>
        <v>11335.7</v>
      </c>
      <c r="Q509" s="97">
        <f t="shared" si="110"/>
        <v>0</v>
      </c>
    </row>
    <row r="510" spans="1:17" ht="47.25" x14ac:dyDescent="0.2">
      <c r="A510" s="40"/>
      <c r="B510" s="113" t="s">
        <v>495</v>
      </c>
      <c r="C510" s="113" t="s">
        <v>477</v>
      </c>
      <c r="D510" s="133" t="s">
        <v>511</v>
      </c>
      <c r="E510" s="133" t="s">
        <v>496</v>
      </c>
      <c r="F510" s="134" t="s">
        <v>11</v>
      </c>
      <c r="G510" s="111">
        <f t="shared" si="115"/>
        <v>11335.7</v>
      </c>
      <c r="H510" s="111">
        <f t="shared" si="115"/>
        <v>0</v>
      </c>
      <c r="I510" s="111">
        <f t="shared" si="115"/>
        <v>11335.7</v>
      </c>
      <c r="J510" s="114">
        <f t="shared" si="115"/>
        <v>747.5</v>
      </c>
      <c r="K510" s="111">
        <f>K511</f>
        <v>0</v>
      </c>
      <c r="L510" s="114">
        <f t="shared" si="115"/>
        <v>747.5</v>
      </c>
      <c r="M510" s="111">
        <f t="shared" si="115"/>
        <v>12083.2</v>
      </c>
      <c r="N510" s="111">
        <f t="shared" si="115"/>
        <v>0</v>
      </c>
      <c r="O510" s="111">
        <f t="shared" si="115"/>
        <v>12083.2</v>
      </c>
      <c r="P510" s="97">
        <f t="shared" si="109"/>
        <v>11335.7</v>
      </c>
      <c r="Q510" s="97">
        <f t="shared" si="110"/>
        <v>0</v>
      </c>
    </row>
    <row r="511" spans="1:17" ht="47.25" x14ac:dyDescent="0.2">
      <c r="A511" s="40"/>
      <c r="B511" s="113" t="s">
        <v>497</v>
      </c>
      <c r="C511" s="113" t="s">
        <v>477</v>
      </c>
      <c r="D511" s="133" t="s">
        <v>511</v>
      </c>
      <c r="E511" s="133" t="s">
        <v>498</v>
      </c>
      <c r="F511" s="134" t="s">
        <v>11</v>
      </c>
      <c r="G511" s="111">
        <f>G512+G514</f>
        <v>11335.7</v>
      </c>
      <c r="H511" s="111">
        <f>SUM(H512)</f>
        <v>0</v>
      </c>
      <c r="I511" s="111">
        <f>I512+I514</f>
        <v>11335.7</v>
      </c>
      <c r="J511" s="114">
        <f t="shared" si="115"/>
        <v>747.5</v>
      </c>
      <c r="K511" s="111">
        <f>K512</f>
        <v>0</v>
      </c>
      <c r="L511" s="114">
        <f t="shared" si="115"/>
        <v>747.5</v>
      </c>
      <c r="M511" s="111">
        <f>M512+M514</f>
        <v>12083.2</v>
      </c>
      <c r="N511" s="111">
        <f>SUM(K511)</f>
        <v>0</v>
      </c>
      <c r="O511" s="111">
        <f>O512+O514</f>
        <v>12083.2</v>
      </c>
      <c r="P511" s="97">
        <f t="shared" si="109"/>
        <v>11335.7</v>
      </c>
      <c r="Q511" s="97">
        <f t="shared" si="110"/>
        <v>0</v>
      </c>
    </row>
    <row r="512" spans="1:17" ht="31.5" x14ac:dyDescent="0.2">
      <c r="A512" s="40"/>
      <c r="B512" s="113" t="s">
        <v>134</v>
      </c>
      <c r="C512" s="113" t="s">
        <v>477</v>
      </c>
      <c r="D512" s="133" t="s">
        <v>511</v>
      </c>
      <c r="E512" s="133" t="s">
        <v>499</v>
      </c>
      <c r="F512" s="134" t="s">
        <v>11</v>
      </c>
      <c r="G512" s="111">
        <f>G513</f>
        <v>10735.7</v>
      </c>
      <c r="H512" s="109"/>
      <c r="I512" s="111">
        <f>I513</f>
        <v>10735.7</v>
      </c>
      <c r="J512" s="114">
        <f t="shared" si="115"/>
        <v>747.5</v>
      </c>
      <c r="K512" s="109">
        <f>K513</f>
        <v>0</v>
      </c>
      <c r="L512" s="114">
        <f t="shared" si="115"/>
        <v>747.5</v>
      </c>
      <c r="M512" s="111">
        <f t="shared" si="115"/>
        <v>11483.2</v>
      </c>
      <c r="N512" s="111">
        <f t="shared" si="115"/>
        <v>0</v>
      </c>
      <c r="O512" s="111">
        <f t="shared" si="115"/>
        <v>11483.2</v>
      </c>
      <c r="P512" s="97">
        <f t="shared" si="109"/>
        <v>10735.7</v>
      </c>
      <c r="Q512" s="97">
        <f t="shared" si="110"/>
        <v>0</v>
      </c>
    </row>
    <row r="513" spans="1:17" ht="36.6" customHeight="1" x14ac:dyDescent="0.2">
      <c r="A513" s="40"/>
      <c r="B513" s="113" t="s">
        <v>95</v>
      </c>
      <c r="C513" s="113" t="s">
        <v>477</v>
      </c>
      <c r="D513" s="133" t="s">
        <v>511</v>
      </c>
      <c r="E513" s="133" t="s">
        <v>499</v>
      </c>
      <c r="F513" s="134" t="s">
        <v>96</v>
      </c>
      <c r="G513" s="111">
        <f>10735700/1000</f>
        <v>10735.7</v>
      </c>
      <c r="H513" s="109"/>
      <c r="I513" s="111">
        <f>10735700/1000+H513</f>
        <v>10735.7</v>
      </c>
      <c r="J513" s="115">
        <v>747.5</v>
      </c>
      <c r="K513" s="111"/>
      <c r="L513" s="115">
        <f>J513+K513</f>
        <v>747.5</v>
      </c>
      <c r="M513" s="111">
        <f>G513+J513</f>
        <v>11483.2</v>
      </c>
      <c r="N513" s="111">
        <f>SUM(K513)</f>
        <v>0</v>
      </c>
      <c r="O513" s="111">
        <f>I513+L513</f>
        <v>11483.2</v>
      </c>
      <c r="P513" s="97">
        <f t="shared" si="109"/>
        <v>10735.7</v>
      </c>
      <c r="Q513" s="97">
        <f t="shared" si="110"/>
        <v>0</v>
      </c>
    </row>
    <row r="514" spans="1:17" ht="36.6" customHeight="1" x14ac:dyDescent="0.2">
      <c r="A514" s="40"/>
      <c r="B514" s="113" t="s">
        <v>283</v>
      </c>
      <c r="C514" s="113">
        <v>993</v>
      </c>
      <c r="D514" s="133" t="s">
        <v>511</v>
      </c>
      <c r="E514" s="133" t="s">
        <v>502</v>
      </c>
      <c r="F514" s="134"/>
      <c r="G514" s="111">
        <f>SUM(G515)</f>
        <v>600</v>
      </c>
      <c r="H514" s="109"/>
      <c r="I514" s="111">
        <f>SUM(G514)</f>
        <v>600</v>
      </c>
      <c r="J514" s="115"/>
      <c r="K514" s="109"/>
      <c r="L514" s="115"/>
      <c r="M514" s="111">
        <f t="shared" ref="M514:O515" si="116">SUM(G514)</f>
        <v>600</v>
      </c>
      <c r="N514" s="111">
        <f t="shared" si="116"/>
        <v>0</v>
      </c>
      <c r="O514" s="111">
        <f t="shared" si="116"/>
        <v>600</v>
      </c>
      <c r="P514" s="97">
        <f t="shared" si="109"/>
        <v>600</v>
      </c>
      <c r="Q514" s="97">
        <f t="shared" si="110"/>
        <v>0</v>
      </c>
    </row>
    <row r="515" spans="1:17" ht="36.6" customHeight="1" x14ac:dyDescent="0.2">
      <c r="A515" s="40"/>
      <c r="B515" s="113" t="s">
        <v>95</v>
      </c>
      <c r="C515" s="113">
        <v>993</v>
      </c>
      <c r="D515" s="133" t="s">
        <v>511</v>
      </c>
      <c r="E515" s="133" t="s">
        <v>502</v>
      </c>
      <c r="F515" s="134">
        <v>600</v>
      </c>
      <c r="G515" s="111">
        <v>600</v>
      </c>
      <c r="H515" s="109"/>
      <c r="I515" s="111">
        <f>SUM(G515)</f>
        <v>600</v>
      </c>
      <c r="J515" s="115"/>
      <c r="K515" s="109"/>
      <c r="L515" s="115"/>
      <c r="M515" s="111">
        <f t="shared" si="116"/>
        <v>600</v>
      </c>
      <c r="N515" s="111">
        <f t="shared" si="116"/>
        <v>0</v>
      </c>
      <c r="O515" s="111">
        <f t="shared" si="116"/>
        <v>600</v>
      </c>
      <c r="P515" s="97">
        <f t="shared" si="109"/>
        <v>600</v>
      </c>
      <c r="Q515" s="97">
        <f t="shared" si="110"/>
        <v>0</v>
      </c>
    </row>
    <row r="516" spans="1:17" ht="31.5" x14ac:dyDescent="0.2">
      <c r="A516" s="33" t="s">
        <v>512</v>
      </c>
      <c r="B516" s="110" t="s">
        <v>513</v>
      </c>
      <c r="C516" s="110" t="s">
        <v>477</v>
      </c>
      <c r="D516" s="131" t="s">
        <v>514</v>
      </c>
      <c r="E516" s="131" t="s">
        <v>11</v>
      </c>
      <c r="F516" s="132" t="s">
        <v>11</v>
      </c>
      <c r="G516" s="109">
        <f>G517</f>
        <v>19152.7</v>
      </c>
      <c r="H516" s="109">
        <f>H517+H528</f>
        <v>0</v>
      </c>
      <c r="I516" s="109">
        <f>I517</f>
        <v>19152.7</v>
      </c>
      <c r="J516" s="112">
        <f>J517</f>
        <v>537.79999999999995</v>
      </c>
      <c r="K516" s="111">
        <f>K517+K528</f>
        <v>0</v>
      </c>
      <c r="L516" s="112">
        <f>L517</f>
        <v>537.79999999999995</v>
      </c>
      <c r="M516" s="109">
        <f>M517</f>
        <v>19690.5</v>
      </c>
      <c r="N516" s="109">
        <f>N517</f>
        <v>0</v>
      </c>
      <c r="O516" s="169">
        <f>O517</f>
        <v>19690.5</v>
      </c>
      <c r="P516" s="97">
        <f t="shared" si="109"/>
        <v>19152.7</v>
      </c>
      <c r="Q516" s="97">
        <f t="shared" si="110"/>
        <v>0</v>
      </c>
    </row>
    <row r="517" spans="1:17" ht="31.5" x14ac:dyDescent="0.2">
      <c r="A517" s="40"/>
      <c r="B517" s="113" t="s">
        <v>484</v>
      </c>
      <c r="C517" s="113" t="s">
        <v>477</v>
      </c>
      <c r="D517" s="133" t="s">
        <v>514</v>
      </c>
      <c r="E517" s="133" t="s">
        <v>485</v>
      </c>
      <c r="F517" s="134" t="s">
        <v>11</v>
      </c>
      <c r="G517" s="111">
        <f>G518+G529</f>
        <v>19152.7</v>
      </c>
      <c r="H517" s="111">
        <f>H518+H529</f>
        <v>0</v>
      </c>
      <c r="I517" s="111">
        <f>I518+I529</f>
        <v>19152.7</v>
      </c>
      <c r="J517" s="114">
        <f>J518+J529</f>
        <v>537.79999999999995</v>
      </c>
      <c r="K517" s="111">
        <f>K518+K522</f>
        <v>0</v>
      </c>
      <c r="L517" s="114">
        <f>L518+L529</f>
        <v>537.79999999999995</v>
      </c>
      <c r="M517" s="111">
        <f>M518+M529+M537</f>
        <v>19690.5</v>
      </c>
      <c r="N517" s="111">
        <f>N518+N529</f>
        <v>0</v>
      </c>
      <c r="O517" s="111">
        <f>O518+O529+O537</f>
        <v>19690.5</v>
      </c>
      <c r="P517" s="97">
        <f t="shared" si="109"/>
        <v>19152.7</v>
      </c>
      <c r="Q517" s="97">
        <f t="shared" si="110"/>
        <v>0</v>
      </c>
    </row>
    <row r="518" spans="1:17" ht="47.25" x14ac:dyDescent="0.2">
      <c r="A518" s="40"/>
      <c r="B518" s="113" t="s">
        <v>495</v>
      </c>
      <c r="C518" s="113" t="s">
        <v>477</v>
      </c>
      <c r="D518" s="133" t="s">
        <v>514</v>
      </c>
      <c r="E518" s="133" t="s">
        <v>496</v>
      </c>
      <c r="F518" s="134" t="s">
        <v>11</v>
      </c>
      <c r="G518" s="111">
        <f>G519+G524</f>
        <v>16014.7</v>
      </c>
      <c r="H518" s="111">
        <f>H519+H524</f>
        <v>0</v>
      </c>
      <c r="I518" s="111">
        <f>I519+I524</f>
        <v>16014.7</v>
      </c>
      <c r="J518" s="114">
        <f>J519+J524</f>
        <v>537.79999999999995</v>
      </c>
      <c r="K518" s="111">
        <f>K519</f>
        <v>0</v>
      </c>
      <c r="L518" s="114">
        <f>L519+L524</f>
        <v>537.79999999999995</v>
      </c>
      <c r="M518" s="111">
        <f>M519+M524</f>
        <v>16552.5</v>
      </c>
      <c r="N518" s="111">
        <f>N519+N524</f>
        <v>0</v>
      </c>
      <c r="O518" s="111">
        <f>O519+O524</f>
        <v>16552.5</v>
      </c>
      <c r="P518" s="97">
        <f t="shared" si="109"/>
        <v>16014.7</v>
      </c>
      <c r="Q518" s="97">
        <f t="shared" si="110"/>
        <v>0</v>
      </c>
    </row>
    <row r="519" spans="1:17" ht="47.25" x14ac:dyDescent="0.2">
      <c r="A519" s="40"/>
      <c r="B519" s="113" t="s">
        <v>497</v>
      </c>
      <c r="C519" s="113" t="s">
        <v>477</v>
      </c>
      <c r="D519" s="133" t="s">
        <v>514</v>
      </c>
      <c r="E519" s="133" t="s">
        <v>498</v>
      </c>
      <c r="F519" s="134" t="s">
        <v>11</v>
      </c>
      <c r="G519" s="111">
        <f>G520</f>
        <v>4752.5999999999995</v>
      </c>
      <c r="H519" s="111">
        <f>H520</f>
        <v>0</v>
      </c>
      <c r="I519" s="111">
        <f>I520</f>
        <v>4752.5999999999995</v>
      </c>
      <c r="J519" s="114">
        <f>J520</f>
        <v>537.79999999999995</v>
      </c>
      <c r="K519" s="111">
        <f>K520</f>
        <v>0</v>
      </c>
      <c r="L519" s="114">
        <f>L520</f>
        <v>537.79999999999995</v>
      </c>
      <c r="M519" s="111">
        <f>M520</f>
        <v>5290.4</v>
      </c>
      <c r="N519" s="111">
        <f>N520</f>
        <v>0</v>
      </c>
      <c r="O519" s="111">
        <f>O520</f>
        <v>5290.4</v>
      </c>
      <c r="P519" s="97">
        <f t="shared" si="109"/>
        <v>4752.5999999999995</v>
      </c>
      <c r="Q519" s="97">
        <f t="shared" si="110"/>
        <v>0</v>
      </c>
    </row>
    <row r="520" spans="1:17" ht="31.5" x14ac:dyDescent="0.2">
      <c r="A520" s="40"/>
      <c r="B520" s="113" t="s">
        <v>134</v>
      </c>
      <c r="C520" s="113" t="s">
        <v>477</v>
      </c>
      <c r="D520" s="133" t="s">
        <v>514</v>
      </c>
      <c r="E520" s="133" t="s">
        <v>499</v>
      </c>
      <c r="F520" s="134" t="s">
        <v>11</v>
      </c>
      <c r="G520" s="111">
        <f>G521+G522+G523</f>
        <v>4752.5999999999995</v>
      </c>
      <c r="H520" s="111">
        <f>H521+H522</f>
        <v>0</v>
      </c>
      <c r="I520" s="111">
        <f>SUM(I521:I523)</f>
        <v>4752.5999999999995</v>
      </c>
      <c r="J520" s="114">
        <f>J521+J522</f>
        <v>537.79999999999995</v>
      </c>
      <c r="K520" s="111">
        <f>K521</f>
        <v>0</v>
      </c>
      <c r="L520" s="114">
        <f>L521+L522</f>
        <v>537.79999999999995</v>
      </c>
      <c r="M520" s="111">
        <f>M521+M522+M523</f>
        <v>5290.4</v>
      </c>
      <c r="N520" s="111">
        <f>N521+N522+N523</f>
        <v>0</v>
      </c>
      <c r="O520" s="111">
        <f>O521+O522+O523</f>
        <v>5290.4</v>
      </c>
      <c r="P520" s="97">
        <f t="shared" si="109"/>
        <v>4752.5999999999995</v>
      </c>
      <c r="Q520" s="97">
        <f t="shared" si="110"/>
        <v>0</v>
      </c>
    </row>
    <row r="521" spans="1:17" ht="78.75" x14ac:dyDescent="0.2">
      <c r="A521" s="40"/>
      <c r="B521" s="113" t="s">
        <v>61</v>
      </c>
      <c r="C521" s="113" t="s">
        <v>477</v>
      </c>
      <c r="D521" s="133" t="s">
        <v>514</v>
      </c>
      <c r="E521" s="133" t="s">
        <v>499</v>
      </c>
      <c r="F521" s="134" t="s">
        <v>62</v>
      </c>
      <c r="G521" s="111">
        <v>4110.2</v>
      </c>
      <c r="H521" s="111"/>
      <c r="I521" s="111">
        <f>G521+H521</f>
        <v>4110.2</v>
      </c>
      <c r="J521" s="115">
        <v>537.79999999999995</v>
      </c>
      <c r="K521" s="111"/>
      <c r="L521" s="115">
        <f>J521+K521</f>
        <v>537.79999999999995</v>
      </c>
      <c r="M521" s="111">
        <f>G521+J521</f>
        <v>4648</v>
      </c>
      <c r="N521" s="111">
        <f>H521+K521</f>
        <v>0</v>
      </c>
      <c r="O521" s="111">
        <f>I521+L521</f>
        <v>4648</v>
      </c>
      <c r="P521" s="97">
        <f t="shared" si="109"/>
        <v>4110.2</v>
      </c>
      <c r="Q521" s="97">
        <f t="shared" si="110"/>
        <v>0</v>
      </c>
    </row>
    <row r="522" spans="1:17" ht="31.5" x14ac:dyDescent="0.2">
      <c r="A522" s="40"/>
      <c r="B522" s="113" t="s">
        <v>40</v>
      </c>
      <c r="C522" s="113" t="s">
        <v>477</v>
      </c>
      <c r="D522" s="133" t="s">
        <v>514</v>
      </c>
      <c r="E522" s="133" t="s">
        <v>499</v>
      </c>
      <c r="F522" s="134" t="s">
        <v>41</v>
      </c>
      <c r="G522" s="111">
        <v>641.4</v>
      </c>
      <c r="H522" s="111"/>
      <c r="I522" s="111">
        <f>SUM(G522+H522)</f>
        <v>641.4</v>
      </c>
      <c r="J522" s="115"/>
      <c r="K522" s="111"/>
      <c r="L522" s="115"/>
      <c r="M522" s="111">
        <f>SUM(G522)</f>
        <v>641.4</v>
      </c>
      <c r="N522" s="111">
        <f>SUM(H522)</f>
        <v>0</v>
      </c>
      <c r="O522" s="111">
        <f>SUM(M522+N522)</f>
        <v>641.4</v>
      </c>
      <c r="P522" s="97">
        <f t="shared" si="109"/>
        <v>641.4</v>
      </c>
      <c r="Q522" s="97">
        <f t="shared" si="110"/>
        <v>0</v>
      </c>
    </row>
    <row r="523" spans="1:17" ht="15.75" x14ac:dyDescent="0.2">
      <c r="A523" s="40"/>
      <c r="B523" s="113" t="s">
        <v>70</v>
      </c>
      <c r="C523" s="113">
        <v>993</v>
      </c>
      <c r="D523" s="133" t="s">
        <v>514</v>
      </c>
      <c r="E523" s="133" t="s">
        <v>499</v>
      </c>
      <c r="F523" s="134">
        <v>800</v>
      </c>
      <c r="G523" s="111">
        <v>1</v>
      </c>
      <c r="H523" s="111"/>
      <c r="I523" s="111">
        <v>1</v>
      </c>
      <c r="J523" s="115"/>
      <c r="K523" s="111"/>
      <c r="L523" s="115"/>
      <c r="M523" s="111">
        <f>SUM(G523)</f>
        <v>1</v>
      </c>
      <c r="N523" s="111">
        <f>SUM(H523)</f>
        <v>0</v>
      </c>
      <c r="O523" s="111">
        <f>SUM(I523)</f>
        <v>1</v>
      </c>
      <c r="P523" s="97">
        <f t="shared" si="109"/>
        <v>1</v>
      </c>
      <c r="Q523" s="97">
        <f t="shared" si="110"/>
        <v>0</v>
      </c>
    </row>
    <row r="524" spans="1:17" ht="47.25" x14ac:dyDescent="0.2">
      <c r="A524" s="40"/>
      <c r="B524" s="113" t="s">
        <v>515</v>
      </c>
      <c r="C524" s="113" t="s">
        <v>477</v>
      </c>
      <c r="D524" s="133" t="s">
        <v>514</v>
      </c>
      <c r="E524" s="133" t="s">
        <v>516</v>
      </c>
      <c r="F524" s="134" t="s">
        <v>11</v>
      </c>
      <c r="G524" s="111">
        <f>G525</f>
        <v>11262.1</v>
      </c>
      <c r="H524" s="111">
        <f>H525</f>
        <v>0</v>
      </c>
      <c r="I524" s="111">
        <f>I525</f>
        <v>11262.1</v>
      </c>
      <c r="J524" s="114">
        <f>J525</f>
        <v>0</v>
      </c>
      <c r="K524" s="111">
        <f>K525+K526+K527</f>
        <v>0</v>
      </c>
      <c r="L524" s="114">
        <f>L525</f>
        <v>0</v>
      </c>
      <c r="M524" s="111">
        <f>M525</f>
        <v>11262.1</v>
      </c>
      <c r="N524" s="111">
        <f>N525</f>
        <v>0</v>
      </c>
      <c r="O524" s="111">
        <f>O525</f>
        <v>11262.1</v>
      </c>
      <c r="P524" s="97">
        <f t="shared" si="109"/>
        <v>11262.1</v>
      </c>
      <c r="Q524" s="97">
        <f t="shared" si="110"/>
        <v>0</v>
      </c>
    </row>
    <row r="525" spans="1:17" ht="31.5" x14ac:dyDescent="0.2">
      <c r="A525" s="40"/>
      <c r="B525" s="113" t="s">
        <v>134</v>
      </c>
      <c r="C525" s="113" t="s">
        <v>477</v>
      </c>
      <c r="D525" s="133" t="s">
        <v>514</v>
      </c>
      <c r="E525" s="133" t="s">
        <v>517</v>
      </c>
      <c r="F525" s="134" t="s">
        <v>11</v>
      </c>
      <c r="G525" s="111">
        <f>G526+G527+G528</f>
        <v>11262.1</v>
      </c>
      <c r="H525" s="111">
        <f>SUM(H526+H527)</f>
        <v>0</v>
      </c>
      <c r="I525" s="111">
        <f>I526+I527+I528</f>
        <v>11262.1</v>
      </c>
      <c r="J525" s="114">
        <f>J526+J527+J528</f>
        <v>0</v>
      </c>
      <c r="K525" s="111"/>
      <c r="L525" s="114">
        <f>L526+L527+L528</f>
        <v>0</v>
      </c>
      <c r="M525" s="111">
        <f>M526+M527+M528</f>
        <v>11262.1</v>
      </c>
      <c r="N525" s="111">
        <f>N526+N527+N528</f>
        <v>0</v>
      </c>
      <c r="O525" s="111">
        <f>O526+O527+O528</f>
        <v>11262.1</v>
      </c>
      <c r="P525" s="97">
        <f t="shared" si="109"/>
        <v>11262.1</v>
      </c>
      <c r="Q525" s="97">
        <f t="shared" si="110"/>
        <v>0</v>
      </c>
    </row>
    <row r="526" spans="1:17" ht="78.75" x14ac:dyDescent="0.2">
      <c r="A526" s="40"/>
      <c r="B526" s="113" t="s">
        <v>61</v>
      </c>
      <c r="C526" s="113" t="s">
        <v>477</v>
      </c>
      <c r="D526" s="133" t="s">
        <v>514</v>
      </c>
      <c r="E526" s="133" t="s">
        <v>517</v>
      </c>
      <c r="F526" s="134" t="s">
        <v>62</v>
      </c>
      <c r="G526" s="111">
        <v>9834.1</v>
      </c>
      <c r="H526" s="111"/>
      <c r="I526" s="111">
        <f>SUM(G526)+H526</f>
        <v>9834.1</v>
      </c>
      <c r="J526" s="115">
        <v>0</v>
      </c>
      <c r="K526" s="111"/>
      <c r="L526" s="115">
        <v>0</v>
      </c>
      <c r="M526" s="111">
        <f t="shared" ref="M526:O527" si="117">SUM(G526)</f>
        <v>9834.1</v>
      </c>
      <c r="N526" s="111">
        <f t="shared" si="117"/>
        <v>0</v>
      </c>
      <c r="O526" s="111">
        <f t="shared" si="117"/>
        <v>9834.1</v>
      </c>
      <c r="P526" s="97">
        <f t="shared" si="109"/>
        <v>9834.1</v>
      </c>
      <c r="Q526" s="97">
        <f t="shared" si="110"/>
        <v>0</v>
      </c>
    </row>
    <row r="527" spans="1:17" ht="31.5" x14ac:dyDescent="0.2">
      <c r="A527" s="40"/>
      <c r="B527" s="113" t="s">
        <v>40</v>
      </c>
      <c r="C527" s="113" t="s">
        <v>477</v>
      </c>
      <c r="D527" s="133" t="s">
        <v>514</v>
      </c>
      <c r="E527" s="133" t="s">
        <v>517</v>
      </c>
      <c r="F527" s="134" t="s">
        <v>41</v>
      </c>
      <c r="G527" s="111">
        <v>1426.9</v>
      </c>
      <c r="H527" s="111"/>
      <c r="I527" s="111">
        <f>SUM(G527)</f>
        <v>1426.9</v>
      </c>
      <c r="J527" s="115">
        <v>0</v>
      </c>
      <c r="K527" s="111"/>
      <c r="L527" s="115">
        <v>0</v>
      </c>
      <c r="M527" s="111">
        <f t="shared" si="117"/>
        <v>1426.9</v>
      </c>
      <c r="N527" s="111">
        <f t="shared" si="117"/>
        <v>0</v>
      </c>
      <c r="O527" s="111">
        <f t="shared" si="117"/>
        <v>1426.9</v>
      </c>
      <c r="P527" s="97">
        <f t="shared" si="109"/>
        <v>1426.9</v>
      </c>
      <c r="Q527" s="97">
        <f t="shared" si="110"/>
        <v>0</v>
      </c>
    </row>
    <row r="528" spans="1:17" ht="15.75" x14ac:dyDescent="0.2">
      <c r="A528" s="40"/>
      <c r="B528" s="113" t="s">
        <v>70</v>
      </c>
      <c r="C528" s="113" t="s">
        <v>477</v>
      </c>
      <c r="D528" s="133" t="s">
        <v>514</v>
      </c>
      <c r="E528" s="133" t="s">
        <v>517</v>
      </c>
      <c r="F528" s="134" t="s">
        <v>71</v>
      </c>
      <c r="G528" s="111">
        <f>1100/1000</f>
        <v>1.1000000000000001</v>
      </c>
      <c r="H528" s="111"/>
      <c r="I528" s="111">
        <f>1100/1000</f>
        <v>1.1000000000000001</v>
      </c>
      <c r="J528" s="115">
        <v>0</v>
      </c>
      <c r="K528" s="111"/>
      <c r="L528" s="115">
        <v>0</v>
      </c>
      <c r="M528" s="111">
        <f>1100/1000</f>
        <v>1.1000000000000001</v>
      </c>
      <c r="N528" s="111"/>
      <c r="O528" s="111">
        <f>1100/1000</f>
        <v>1.1000000000000001</v>
      </c>
      <c r="P528" s="97">
        <f t="shared" si="109"/>
        <v>1.1000000000000001</v>
      </c>
      <c r="Q528" s="97">
        <f t="shared" si="110"/>
        <v>0</v>
      </c>
    </row>
    <row r="529" spans="1:17" ht="31.5" x14ac:dyDescent="0.2">
      <c r="A529" s="40"/>
      <c r="B529" s="113" t="s">
        <v>518</v>
      </c>
      <c r="C529" s="113" t="s">
        <v>477</v>
      </c>
      <c r="D529" s="133" t="s">
        <v>514</v>
      </c>
      <c r="E529" s="133" t="s">
        <v>519</v>
      </c>
      <c r="F529" s="134" t="s">
        <v>11</v>
      </c>
      <c r="G529" s="111">
        <f t="shared" ref="G529:O530" si="118">G530</f>
        <v>3138</v>
      </c>
      <c r="H529" s="111">
        <f t="shared" si="118"/>
        <v>0</v>
      </c>
      <c r="I529" s="111">
        <f t="shared" si="118"/>
        <v>3138</v>
      </c>
      <c r="J529" s="114">
        <f t="shared" si="118"/>
        <v>0</v>
      </c>
      <c r="K529" s="111">
        <f t="shared" si="118"/>
        <v>0</v>
      </c>
      <c r="L529" s="114">
        <f t="shared" si="118"/>
        <v>0</v>
      </c>
      <c r="M529" s="111">
        <f t="shared" si="118"/>
        <v>2090.6</v>
      </c>
      <c r="N529" s="111">
        <f t="shared" si="118"/>
        <v>0</v>
      </c>
      <c r="O529" s="111">
        <f t="shared" si="118"/>
        <v>2090.6</v>
      </c>
      <c r="P529" s="97">
        <f t="shared" si="109"/>
        <v>3138</v>
      </c>
      <c r="Q529" s="97">
        <f t="shared" si="110"/>
        <v>0</v>
      </c>
    </row>
    <row r="530" spans="1:17" ht="31.5" x14ac:dyDescent="0.2">
      <c r="A530" s="40"/>
      <c r="B530" s="113" t="s">
        <v>520</v>
      </c>
      <c r="C530" s="113" t="s">
        <v>477</v>
      </c>
      <c r="D530" s="133" t="s">
        <v>514</v>
      </c>
      <c r="E530" s="133" t="s">
        <v>521</v>
      </c>
      <c r="F530" s="134" t="s">
        <v>11</v>
      </c>
      <c r="G530" s="111">
        <f>G531+G537</f>
        <v>3138</v>
      </c>
      <c r="H530" s="111">
        <f>H531+H533+H537</f>
        <v>0</v>
      </c>
      <c r="I530" s="111">
        <f>I531+I533+I537</f>
        <v>3138</v>
      </c>
      <c r="J530" s="114">
        <f t="shared" si="118"/>
        <v>0</v>
      </c>
      <c r="K530" s="111">
        <f>K531+K532</f>
        <v>0</v>
      </c>
      <c r="L530" s="114">
        <f t="shared" si="118"/>
        <v>0</v>
      </c>
      <c r="M530" s="111">
        <f t="shared" si="118"/>
        <v>2090.6</v>
      </c>
      <c r="N530" s="111">
        <f>SUM(H530)</f>
        <v>0</v>
      </c>
      <c r="O530" s="111">
        <f>O531+O533+N530</f>
        <v>2090.6</v>
      </c>
      <c r="P530" s="97">
        <f t="shared" si="109"/>
        <v>3138</v>
      </c>
      <c r="Q530" s="97">
        <f t="shared" si="110"/>
        <v>0</v>
      </c>
    </row>
    <row r="531" spans="1:17" ht="31.5" x14ac:dyDescent="0.2">
      <c r="A531" s="40"/>
      <c r="B531" s="113" t="s">
        <v>38</v>
      </c>
      <c r="C531" s="113" t="s">
        <v>477</v>
      </c>
      <c r="D531" s="133" t="s">
        <v>514</v>
      </c>
      <c r="E531" s="133" t="s">
        <v>522</v>
      </c>
      <c r="F531" s="134" t="s">
        <v>11</v>
      </c>
      <c r="G531" s="111">
        <f>G532+G535+G536</f>
        <v>2090.6</v>
      </c>
      <c r="H531" s="111"/>
      <c r="I531" s="111">
        <f>I532+I535+I536</f>
        <v>2090.6</v>
      </c>
      <c r="J531" s="114">
        <f>J532+J535</f>
        <v>0</v>
      </c>
      <c r="K531" s="111"/>
      <c r="L531" s="114">
        <f>L532+L535</f>
        <v>0</v>
      </c>
      <c r="M531" s="111">
        <f>M532+M535+M536</f>
        <v>2090.6</v>
      </c>
      <c r="N531" s="111"/>
      <c r="O531" s="111">
        <f>O532+O535+O536</f>
        <v>2090.6</v>
      </c>
      <c r="P531" s="97">
        <f t="shared" si="109"/>
        <v>2090.6</v>
      </c>
      <c r="Q531" s="97">
        <f t="shared" si="110"/>
        <v>0</v>
      </c>
    </row>
    <row r="532" spans="1:17" ht="74.25" customHeight="1" x14ac:dyDescent="0.2">
      <c r="A532" s="40"/>
      <c r="B532" s="113" t="s">
        <v>61</v>
      </c>
      <c r="C532" s="113" t="s">
        <v>477</v>
      </c>
      <c r="D532" s="133" t="s">
        <v>514</v>
      </c>
      <c r="E532" s="133" t="s">
        <v>522</v>
      </c>
      <c r="F532" s="134" t="s">
        <v>62</v>
      </c>
      <c r="G532" s="111">
        <v>2080.1</v>
      </c>
      <c r="H532" s="111"/>
      <c r="I532" s="111">
        <f>SUM(G532)+H532</f>
        <v>2080.1</v>
      </c>
      <c r="J532" s="115">
        <v>0</v>
      </c>
      <c r="K532" s="111"/>
      <c r="L532" s="115">
        <v>0</v>
      </c>
      <c r="M532" s="111">
        <f t="shared" ref="M532:O536" si="119">SUM(G532)</f>
        <v>2080.1</v>
      </c>
      <c r="N532" s="111">
        <f t="shared" si="119"/>
        <v>0</v>
      </c>
      <c r="O532" s="111">
        <f t="shared" si="119"/>
        <v>2080.1</v>
      </c>
      <c r="P532" s="97">
        <f t="shared" si="109"/>
        <v>2080.1</v>
      </c>
      <c r="Q532" s="97">
        <f t="shared" si="110"/>
        <v>0</v>
      </c>
    </row>
    <row r="533" spans="1:17" ht="94.5" hidden="1" x14ac:dyDescent="0.2">
      <c r="A533" s="40"/>
      <c r="B533" s="135" t="s">
        <v>607</v>
      </c>
      <c r="C533" s="113">
        <v>993</v>
      </c>
      <c r="D533" s="133" t="s">
        <v>514</v>
      </c>
      <c r="E533" s="136" t="s">
        <v>608</v>
      </c>
      <c r="F533" s="134"/>
      <c r="G533" s="111"/>
      <c r="H533" s="111">
        <f>SUM(H534)</f>
        <v>0</v>
      </c>
      <c r="I533" s="111">
        <f>SUM(H533)</f>
        <v>0</v>
      </c>
      <c r="J533" s="115"/>
      <c r="K533" s="111"/>
      <c r="L533" s="115"/>
      <c r="M533" s="111"/>
      <c r="N533" s="111">
        <f>SUM(H533)</f>
        <v>0</v>
      </c>
      <c r="O533" s="111">
        <f>SUM(I533)</f>
        <v>0</v>
      </c>
      <c r="P533" s="97"/>
      <c r="Q533" s="97"/>
    </row>
    <row r="534" spans="1:17" ht="78.75" hidden="1" x14ac:dyDescent="0.2">
      <c r="A534" s="40"/>
      <c r="B534" s="113" t="s">
        <v>61</v>
      </c>
      <c r="C534" s="113">
        <v>993</v>
      </c>
      <c r="D534" s="133" t="s">
        <v>514</v>
      </c>
      <c r="E534" s="136" t="s">
        <v>608</v>
      </c>
      <c r="F534" s="134">
        <v>100</v>
      </c>
      <c r="G534" s="111"/>
      <c r="H534" s="111"/>
      <c r="I534" s="111">
        <f>SUM(H534)</f>
        <v>0</v>
      </c>
      <c r="J534" s="115"/>
      <c r="K534" s="111"/>
      <c r="L534" s="115"/>
      <c r="M534" s="111"/>
      <c r="N534" s="111">
        <f>SUM(H534)</f>
        <v>0</v>
      </c>
      <c r="O534" s="111">
        <f>SUM(I534)</f>
        <v>0</v>
      </c>
      <c r="P534" s="97"/>
      <c r="Q534" s="97"/>
    </row>
    <row r="535" spans="1:17" ht="31.5" x14ac:dyDescent="0.2">
      <c r="A535" s="40"/>
      <c r="B535" s="113" t="s">
        <v>40</v>
      </c>
      <c r="C535" s="113" t="s">
        <v>477</v>
      </c>
      <c r="D535" s="133" t="s">
        <v>514</v>
      </c>
      <c r="E535" s="133" t="s">
        <v>522</v>
      </c>
      <c r="F535" s="134" t="s">
        <v>41</v>
      </c>
      <c r="G535" s="111">
        <v>9.5</v>
      </c>
      <c r="H535" s="106"/>
      <c r="I535" s="111">
        <f>SUM(G535)</f>
        <v>9.5</v>
      </c>
      <c r="J535" s="115">
        <v>0</v>
      </c>
      <c r="K535" s="106"/>
      <c r="L535" s="115">
        <v>0</v>
      </c>
      <c r="M535" s="111">
        <f t="shared" si="119"/>
        <v>9.5</v>
      </c>
      <c r="N535" s="111">
        <f t="shared" si="119"/>
        <v>0</v>
      </c>
      <c r="O535" s="111">
        <f t="shared" si="119"/>
        <v>9.5</v>
      </c>
      <c r="P535" s="97">
        <f t="shared" si="109"/>
        <v>9.5</v>
      </c>
      <c r="Q535" s="97">
        <f t="shared" si="110"/>
        <v>0</v>
      </c>
    </row>
    <row r="536" spans="1:17" ht="15.75" x14ac:dyDescent="0.2">
      <c r="A536" s="40"/>
      <c r="B536" s="113" t="s">
        <v>70</v>
      </c>
      <c r="C536" s="113" t="s">
        <v>477</v>
      </c>
      <c r="D536" s="133" t="s">
        <v>514</v>
      </c>
      <c r="E536" s="133" t="s">
        <v>522</v>
      </c>
      <c r="F536" s="134">
        <v>800</v>
      </c>
      <c r="G536" s="111">
        <v>1</v>
      </c>
      <c r="H536" s="106">
        <v>0</v>
      </c>
      <c r="I536" s="111">
        <f>SUM(H536)+G536</f>
        <v>1</v>
      </c>
      <c r="J536" s="115"/>
      <c r="K536" s="106"/>
      <c r="L536" s="115"/>
      <c r="M536" s="111">
        <f t="shared" si="119"/>
        <v>1</v>
      </c>
      <c r="N536" s="111">
        <f t="shared" si="119"/>
        <v>0</v>
      </c>
      <c r="O536" s="111">
        <f t="shared" si="119"/>
        <v>1</v>
      </c>
      <c r="P536" s="97">
        <f t="shared" si="109"/>
        <v>1</v>
      </c>
      <c r="Q536" s="97">
        <f t="shared" si="110"/>
        <v>0</v>
      </c>
    </row>
    <row r="537" spans="1:17" ht="94.5" x14ac:dyDescent="0.2">
      <c r="A537" s="40"/>
      <c r="B537" s="135" t="s">
        <v>607</v>
      </c>
      <c r="C537" s="113">
        <v>993</v>
      </c>
      <c r="D537" s="133" t="s">
        <v>514</v>
      </c>
      <c r="E537" s="136" t="s">
        <v>608</v>
      </c>
      <c r="F537" s="134"/>
      <c r="G537" s="111">
        <f>SUM(G538)</f>
        <v>1047.4000000000001</v>
      </c>
      <c r="H537" s="106">
        <f>SUM(H538)</f>
        <v>0</v>
      </c>
      <c r="I537" s="111">
        <f>SUM(I538)</f>
        <v>1047.4000000000001</v>
      </c>
      <c r="J537" s="115"/>
      <c r="K537" s="106"/>
      <c r="L537" s="115"/>
      <c r="M537" s="111">
        <f>SUM(G537)</f>
        <v>1047.4000000000001</v>
      </c>
      <c r="N537" s="111">
        <f>SUM(H537)</f>
        <v>0</v>
      </c>
      <c r="O537" s="111">
        <f>SUM(O538)</f>
        <v>1047.4000000000001</v>
      </c>
      <c r="P537" s="97"/>
      <c r="Q537" s="97"/>
    </row>
    <row r="538" spans="1:17" ht="78.75" x14ac:dyDescent="0.2">
      <c r="A538" s="40"/>
      <c r="B538" s="113" t="s">
        <v>61</v>
      </c>
      <c r="C538" s="113">
        <v>993</v>
      </c>
      <c r="D538" s="133" t="s">
        <v>514</v>
      </c>
      <c r="E538" s="136" t="s">
        <v>608</v>
      </c>
      <c r="F538" s="134">
        <v>100</v>
      </c>
      <c r="G538" s="111">
        <v>1047.4000000000001</v>
      </c>
      <c r="H538" s="106"/>
      <c r="I538" s="111">
        <f>SUM(H538)+G538</f>
        <v>1047.4000000000001</v>
      </c>
      <c r="J538" s="115"/>
      <c r="K538" s="106"/>
      <c r="L538" s="115"/>
      <c r="M538" s="111">
        <f>SUM(G538)</f>
        <v>1047.4000000000001</v>
      </c>
      <c r="N538" s="111">
        <f>SUM(H538)</f>
        <v>0</v>
      </c>
      <c r="O538" s="111">
        <f>SUM(I538)</f>
        <v>1047.4000000000001</v>
      </c>
      <c r="P538" s="97"/>
      <c r="Q538" s="97"/>
    </row>
    <row r="539" spans="1:17" ht="47.25" x14ac:dyDescent="0.2">
      <c r="A539" s="20" t="s">
        <v>523</v>
      </c>
      <c r="B539" s="107" t="s">
        <v>524</v>
      </c>
      <c r="C539" s="107" t="s">
        <v>525</v>
      </c>
      <c r="D539" s="129" t="s">
        <v>11</v>
      </c>
      <c r="E539" s="129" t="s">
        <v>11</v>
      </c>
      <c r="F539" s="130" t="s">
        <v>11</v>
      </c>
      <c r="G539" s="106">
        <f>G540+G559</f>
        <v>25349</v>
      </c>
      <c r="H539" s="106">
        <f>H540+H559</f>
        <v>0</v>
      </c>
      <c r="I539" s="106">
        <f>I540+I559</f>
        <v>25349</v>
      </c>
      <c r="J539" s="108">
        <f>J540+J559</f>
        <v>0</v>
      </c>
      <c r="K539" s="106">
        <f>K540</f>
        <v>0</v>
      </c>
      <c r="L539" s="108">
        <f>L540+L559</f>
        <v>0</v>
      </c>
      <c r="M539" s="106">
        <f>M540+M559</f>
        <v>25349</v>
      </c>
      <c r="N539" s="106">
        <f>N540+N559</f>
        <v>0</v>
      </c>
      <c r="O539" s="106">
        <f>O540+O559</f>
        <v>25349</v>
      </c>
      <c r="P539" s="97">
        <f t="shared" si="109"/>
        <v>25349</v>
      </c>
      <c r="Q539" s="97">
        <f t="shared" si="110"/>
        <v>0</v>
      </c>
    </row>
    <row r="540" spans="1:17" ht="15.75" x14ac:dyDescent="0.2">
      <c r="A540" s="20" t="s">
        <v>526</v>
      </c>
      <c r="B540" s="107" t="s">
        <v>30</v>
      </c>
      <c r="C540" s="107" t="s">
        <v>525</v>
      </c>
      <c r="D540" s="129" t="s">
        <v>31</v>
      </c>
      <c r="E540" s="129" t="s">
        <v>11</v>
      </c>
      <c r="F540" s="130" t="s">
        <v>11</v>
      </c>
      <c r="G540" s="106">
        <f t="shared" ref="G540:O542" si="120">G541</f>
        <v>13712.5</v>
      </c>
      <c r="H540" s="109">
        <f t="shared" si="120"/>
        <v>0</v>
      </c>
      <c r="I540" s="106">
        <f t="shared" si="120"/>
        <v>13712.5</v>
      </c>
      <c r="J540" s="108">
        <f t="shared" si="120"/>
        <v>0</v>
      </c>
      <c r="K540" s="109">
        <f>K541</f>
        <v>0</v>
      </c>
      <c r="L540" s="108">
        <f t="shared" si="120"/>
        <v>0</v>
      </c>
      <c r="M540" s="106">
        <f t="shared" si="120"/>
        <v>13712.5</v>
      </c>
      <c r="N540" s="106">
        <f t="shared" si="120"/>
        <v>0</v>
      </c>
      <c r="O540" s="106">
        <f t="shared" si="120"/>
        <v>13712.5</v>
      </c>
      <c r="P540" s="97">
        <f t="shared" si="109"/>
        <v>13712.5</v>
      </c>
      <c r="Q540" s="97">
        <f t="shared" si="110"/>
        <v>0</v>
      </c>
    </row>
    <row r="541" spans="1:17" ht="15.75" x14ac:dyDescent="0.2">
      <c r="A541" s="33" t="s">
        <v>527</v>
      </c>
      <c r="B541" s="110" t="s">
        <v>85</v>
      </c>
      <c r="C541" s="110" t="s">
        <v>525</v>
      </c>
      <c r="D541" s="131" t="s">
        <v>86</v>
      </c>
      <c r="E541" s="131" t="s">
        <v>11</v>
      </c>
      <c r="F541" s="132" t="s">
        <v>11</v>
      </c>
      <c r="G541" s="109">
        <f t="shared" si="120"/>
        <v>13712.5</v>
      </c>
      <c r="H541" s="111">
        <f t="shared" si="120"/>
        <v>0</v>
      </c>
      <c r="I541" s="109">
        <f t="shared" si="120"/>
        <v>13712.5</v>
      </c>
      <c r="J541" s="112">
        <f t="shared" si="120"/>
        <v>0</v>
      </c>
      <c r="K541" s="111">
        <f>K542</f>
        <v>0</v>
      </c>
      <c r="L541" s="112">
        <f t="shared" si="120"/>
        <v>0</v>
      </c>
      <c r="M541" s="109">
        <f t="shared" si="120"/>
        <v>13712.5</v>
      </c>
      <c r="N541" s="109">
        <f t="shared" si="120"/>
        <v>0</v>
      </c>
      <c r="O541" s="109">
        <f t="shared" si="120"/>
        <v>13712.5</v>
      </c>
      <c r="P541" s="97">
        <f t="shared" si="109"/>
        <v>13712.5</v>
      </c>
      <c r="Q541" s="97">
        <f t="shared" si="110"/>
        <v>0</v>
      </c>
    </row>
    <row r="542" spans="1:17" ht="31.5" x14ac:dyDescent="0.2">
      <c r="A542" s="40"/>
      <c r="B542" s="113" t="s">
        <v>128</v>
      </c>
      <c r="C542" s="113" t="s">
        <v>525</v>
      </c>
      <c r="D542" s="133" t="s">
        <v>86</v>
      </c>
      <c r="E542" s="133" t="s">
        <v>129</v>
      </c>
      <c r="F542" s="134" t="s">
        <v>11</v>
      </c>
      <c r="G542" s="111">
        <f t="shared" si="120"/>
        <v>13712.5</v>
      </c>
      <c r="H542" s="111">
        <f t="shared" si="120"/>
        <v>0</v>
      </c>
      <c r="I542" s="111">
        <f t="shared" si="120"/>
        <v>13712.5</v>
      </c>
      <c r="J542" s="114">
        <f t="shared" si="120"/>
        <v>0</v>
      </c>
      <c r="K542" s="111">
        <f>K543+K549</f>
        <v>0</v>
      </c>
      <c r="L542" s="114">
        <f t="shared" si="120"/>
        <v>0</v>
      </c>
      <c r="M542" s="111">
        <f t="shared" si="120"/>
        <v>13712.5</v>
      </c>
      <c r="N542" s="111">
        <f t="shared" si="120"/>
        <v>0</v>
      </c>
      <c r="O542" s="111">
        <f t="shared" si="120"/>
        <v>13712.5</v>
      </c>
      <c r="P542" s="97">
        <f t="shared" si="109"/>
        <v>13712.5</v>
      </c>
      <c r="Q542" s="97">
        <f t="shared" si="110"/>
        <v>0</v>
      </c>
    </row>
    <row r="543" spans="1:17" ht="31.5" x14ac:dyDescent="0.2">
      <c r="A543" s="40"/>
      <c r="B543" s="113" t="s">
        <v>528</v>
      </c>
      <c r="C543" s="113" t="s">
        <v>525</v>
      </c>
      <c r="D543" s="133" t="s">
        <v>86</v>
      </c>
      <c r="E543" s="133" t="s">
        <v>529</v>
      </c>
      <c r="F543" s="134" t="s">
        <v>11</v>
      </c>
      <c r="G543" s="111">
        <f>G544+G552</f>
        <v>13712.5</v>
      </c>
      <c r="H543" s="111">
        <f>H544+H552</f>
        <v>0</v>
      </c>
      <c r="I543" s="111">
        <f>I544+I552</f>
        <v>13712.5</v>
      </c>
      <c r="J543" s="114">
        <f>J544+J552</f>
        <v>0</v>
      </c>
      <c r="K543" s="111">
        <f>K544</f>
        <v>0</v>
      </c>
      <c r="L543" s="114">
        <f>L544+L552</f>
        <v>0</v>
      </c>
      <c r="M543" s="111">
        <f>M544+M552</f>
        <v>13712.5</v>
      </c>
      <c r="N543" s="111">
        <f>N544+N552</f>
        <v>0</v>
      </c>
      <c r="O543" s="111">
        <f>O544+O552</f>
        <v>13712.5</v>
      </c>
      <c r="P543" s="97">
        <f t="shared" si="109"/>
        <v>13712.5</v>
      </c>
      <c r="Q543" s="97">
        <f t="shared" si="110"/>
        <v>0</v>
      </c>
    </row>
    <row r="544" spans="1:17" ht="47.25" x14ac:dyDescent="0.2">
      <c r="A544" s="40"/>
      <c r="B544" s="113" t="s">
        <v>530</v>
      </c>
      <c r="C544" s="113" t="s">
        <v>525</v>
      </c>
      <c r="D544" s="133" t="s">
        <v>86</v>
      </c>
      <c r="E544" s="133" t="s">
        <v>531</v>
      </c>
      <c r="F544" s="134" t="s">
        <v>11</v>
      </c>
      <c r="G544" s="111">
        <f>G545+G547+G550</f>
        <v>4335.0999999999995</v>
      </c>
      <c r="H544" s="111">
        <f>H545+H547</f>
        <v>0</v>
      </c>
      <c r="I544" s="111">
        <f>I545+I547+I550</f>
        <v>4335.0999999999995</v>
      </c>
      <c r="J544" s="114">
        <f>J545</f>
        <v>0</v>
      </c>
      <c r="K544" s="111"/>
      <c r="L544" s="114">
        <f>L545</f>
        <v>0</v>
      </c>
      <c r="M544" s="111">
        <f>M545+M547+M550</f>
        <v>4335.0999999999995</v>
      </c>
      <c r="N544" s="111">
        <f>SUM(H544)</f>
        <v>0</v>
      </c>
      <c r="O544" s="111">
        <f>O545+O547+O550</f>
        <v>4335.0999999999995</v>
      </c>
      <c r="P544" s="97">
        <f t="shared" si="109"/>
        <v>4335.0999999999995</v>
      </c>
      <c r="Q544" s="97">
        <f t="shared" si="110"/>
        <v>0</v>
      </c>
    </row>
    <row r="545" spans="1:17" ht="31.5" x14ac:dyDescent="0.2">
      <c r="A545" s="40"/>
      <c r="B545" s="113" t="s">
        <v>38</v>
      </c>
      <c r="C545" s="113" t="s">
        <v>525</v>
      </c>
      <c r="D545" s="133" t="s">
        <v>86</v>
      </c>
      <c r="E545" s="133" t="s">
        <v>532</v>
      </c>
      <c r="F545" s="134" t="s">
        <v>11</v>
      </c>
      <c r="G545" s="111">
        <f>G546+G549</f>
        <v>3784.2</v>
      </c>
      <c r="H545" s="111">
        <f>SUM(H546)+H549</f>
        <v>0</v>
      </c>
      <c r="I545" s="111">
        <f>I546+I549</f>
        <v>3784.2</v>
      </c>
      <c r="J545" s="114">
        <f>J546+J549</f>
        <v>0</v>
      </c>
      <c r="K545" s="111"/>
      <c r="L545" s="114">
        <f>L546+L549</f>
        <v>0</v>
      </c>
      <c r="M545" s="111">
        <f>M546+M549</f>
        <v>3784.2</v>
      </c>
      <c r="N545" s="111">
        <f>N546+N549</f>
        <v>0</v>
      </c>
      <c r="O545" s="111">
        <f>O546+O549</f>
        <v>3784.2</v>
      </c>
      <c r="P545" s="97">
        <f t="shared" si="109"/>
        <v>3784.2</v>
      </c>
      <c r="Q545" s="97">
        <f t="shared" si="110"/>
        <v>0</v>
      </c>
    </row>
    <row r="546" spans="1:17" ht="78.75" x14ac:dyDescent="0.2">
      <c r="A546" s="40"/>
      <c r="B546" s="113" t="s">
        <v>61</v>
      </c>
      <c r="C546" s="113" t="s">
        <v>525</v>
      </c>
      <c r="D546" s="133" t="s">
        <v>86</v>
      </c>
      <c r="E546" s="133" t="s">
        <v>532</v>
      </c>
      <c r="F546" s="134" t="s">
        <v>62</v>
      </c>
      <c r="G546" s="111">
        <v>3766.1</v>
      </c>
      <c r="H546" s="111"/>
      <c r="I546" s="111">
        <f>G546+H546</f>
        <v>3766.1</v>
      </c>
      <c r="J546" s="115">
        <v>0</v>
      </c>
      <c r="K546" s="111"/>
      <c r="L546" s="115">
        <v>0</v>
      </c>
      <c r="M546" s="111">
        <f t="shared" ref="M546:O549" si="121">SUM(G546)</f>
        <v>3766.1</v>
      </c>
      <c r="N546" s="111">
        <f t="shared" si="121"/>
        <v>0</v>
      </c>
      <c r="O546" s="111">
        <f t="shared" si="121"/>
        <v>3766.1</v>
      </c>
      <c r="P546" s="97">
        <f t="shared" si="109"/>
        <v>3766.1</v>
      </c>
      <c r="Q546" s="97">
        <f t="shared" si="110"/>
        <v>0</v>
      </c>
    </row>
    <row r="547" spans="1:17" ht="0.75" customHeight="1" x14ac:dyDescent="0.2">
      <c r="A547" s="40"/>
      <c r="B547" s="135" t="s">
        <v>607</v>
      </c>
      <c r="C547" s="113">
        <v>995</v>
      </c>
      <c r="D547" s="133" t="s">
        <v>86</v>
      </c>
      <c r="E547" s="133">
        <v>1230100390</v>
      </c>
      <c r="F547" s="134"/>
      <c r="G547" s="111">
        <f>SUM(G548)</f>
        <v>0</v>
      </c>
      <c r="H547" s="111">
        <f>SUM(H548)</f>
        <v>0</v>
      </c>
      <c r="I547" s="111">
        <f>SUM(H547)+G547</f>
        <v>0</v>
      </c>
      <c r="J547" s="115"/>
      <c r="K547" s="111"/>
      <c r="L547" s="115"/>
      <c r="M547" s="111">
        <f t="shared" ref="M547:O548" si="122">SUM(G547)</f>
        <v>0</v>
      </c>
      <c r="N547" s="111">
        <f t="shared" si="122"/>
        <v>0</v>
      </c>
      <c r="O547" s="111">
        <f t="shared" si="122"/>
        <v>0</v>
      </c>
      <c r="P547" s="97"/>
      <c r="Q547" s="97"/>
    </row>
    <row r="548" spans="1:17" ht="78.75" hidden="1" x14ac:dyDescent="0.2">
      <c r="A548" s="40"/>
      <c r="B548" s="113" t="s">
        <v>61</v>
      </c>
      <c r="C548" s="113">
        <v>995</v>
      </c>
      <c r="D548" s="133" t="s">
        <v>86</v>
      </c>
      <c r="E548" s="133">
        <v>1230100390</v>
      </c>
      <c r="F548" s="134">
        <v>100</v>
      </c>
      <c r="G548" s="111"/>
      <c r="H548" s="111"/>
      <c r="I548" s="111">
        <f>SUM(H548)+G548</f>
        <v>0</v>
      </c>
      <c r="J548" s="115"/>
      <c r="K548" s="111"/>
      <c r="L548" s="115"/>
      <c r="M548" s="111">
        <f t="shared" si="122"/>
        <v>0</v>
      </c>
      <c r="N548" s="111">
        <f t="shared" si="122"/>
        <v>0</v>
      </c>
      <c r="O548" s="111">
        <f t="shared" si="122"/>
        <v>0</v>
      </c>
      <c r="P548" s="97"/>
      <c r="Q548" s="97"/>
    </row>
    <row r="549" spans="1:17" ht="31.5" x14ac:dyDescent="0.2">
      <c r="A549" s="40"/>
      <c r="B549" s="113" t="s">
        <v>40</v>
      </c>
      <c r="C549" s="113" t="s">
        <v>525</v>
      </c>
      <c r="D549" s="133" t="s">
        <v>86</v>
      </c>
      <c r="E549" s="133" t="s">
        <v>532</v>
      </c>
      <c r="F549" s="134" t="s">
        <v>41</v>
      </c>
      <c r="G549" s="111">
        <v>18.100000000000001</v>
      </c>
      <c r="H549" s="111"/>
      <c r="I549" s="111">
        <f>G549+H549</f>
        <v>18.100000000000001</v>
      </c>
      <c r="J549" s="115">
        <v>0</v>
      </c>
      <c r="K549" s="111">
        <f>K552</f>
        <v>0</v>
      </c>
      <c r="L549" s="115">
        <v>0</v>
      </c>
      <c r="M549" s="111">
        <f t="shared" si="121"/>
        <v>18.100000000000001</v>
      </c>
      <c r="N549" s="111">
        <f t="shared" si="121"/>
        <v>0</v>
      </c>
      <c r="O549" s="111">
        <f t="shared" si="121"/>
        <v>18.100000000000001</v>
      </c>
      <c r="P549" s="97">
        <f t="shared" si="109"/>
        <v>18.100000000000001</v>
      </c>
      <c r="Q549" s="97">
        <f t="shared" si="110"/>
        <v>0</v>
      </c>
    </row>
    <row r="550" spans="1:17" ht="94.5" x14ac:dyDescent="0.2">
      <c r="A550" s="40"/>
      <c r="B550" s="135" t="s">
        <v>607</v>
      </c>
      <c r="C550" s="113">
        <v>995</v>
      </c>
      <c r="D550" s="133" t="s">
        <v>86</v>
      </c>
      <c r="E550" s="133">
        <v>1230100390</v>
      </c>
      <c r="F550" s="134"/>
      <c r="G550" s="111">
        <v>550.9</v>
      </c>
      <c r="H550" s="111"/>
      <c r="I550" s="111">
        <f>SUM(G550)</f>
        <v>550.9</v>
      </c>
      <c r="J550" s="115"/>
      <c r="K550" s="111"/>
      <c r="L550" s="115"/>
      <c r="M550" s="111">
        <f>SUM(G550)</f>
        <v>550.9</v>
      </c>
      <c r="N550" s="111"/>
      <c r="O550" s="111">
        <f>SUM(I550)</f>
        <v>550.9</v>
      </c>
      <c r="P550" s="97"/>
      <c r="Q550" s="97"/>
    </row>
    <row r="551" spans="1:17" ht="78.75" x14ac:dyDescent="0.2">
      <c r="A551" s="40"/>
      <c r="B551" s="113" t="s">
        <v>61</v>
      </c>
      <c r="C551" s="113">
        <v>995</v>
      </c>
      <c r="D551" s="133" t="s">
        <v>86</v>
      </c>
      <c r="E551" s="133">
        <v>1230100390</v>
      </c>
      <c r="F551" s="134">
        <v>100</v>
      </c>
      <c r="G551" s="111">
        <v>550.9</v>
      </c>
      <c r="H551" s="111"/>
      <c r="I551" s="111">
        <f>SUM(G551)</f>
        <v>550.9</v>
      </c>
      <c r="J551" s="115"/>
      <c r="K551" s="111"/>
      <c r="L551" s="115"/>
      <c r="M551" s="111">
        <f>SUM(G551)</f>
        <v>550.9</v>
      </c>
      <c r="N551" s="111"/>
      <c r="O551" s="111">
        <f>SUM(I551)</f>
        <v>550.9</v>
      </c>
      <c r="P551" s="97"/>
      <c r="Q551" s="97"/>
    </row>
    <row r="552" spans="1:17" ht="47.25" x14ac:dyDescent="0.2">
      <c r="A552" s="40"/>
      <c r="B552" s="113" t="s">
        <v>533</v>
      </c>
      <c r="C552" s="113" t="s">
        <v>525</v>
      </c>
      <c r="D552" s="133" t="s">
        <v>86</v>
      </c>
      <c r="E552" s="133" t="s">
        <v>534</v>
      </c>
      <c r="F552" s="134" t="s">
        <v>11</v>
      </c>
      <c r="G552" s="111">
        <f>G553+G557</f>
        <v>9377.4</v>
      </c>
      <c r="H552" s="111">
        <f>SUM(H553)+H557</f>
        <v>0</v>
      </c>
      <c r="I552" s="111">
        <f>I553+I557</f>
        <v>9377.4</v>
      </c>
      <c r="J552" s="114">
        <f>J553</f>
        <v>0</v>
      </c>
      <c r="K552" s="111">
        <f>K553+K554</f>
        <v>0</v>
      </c>
      <c r="L552" s="114">
        <f>L553</f>
        <v>0</v>
      </c>
      <c r="M552" s="111">
        <f>M553+M557</f>
        <v>9377.4</v>
      </c>
      <c r="N552" s="111">
        <f>N553+N557</f>
        <v>0</v>
      </c>
      <c r="O552" s="111">
        <f>O553+O557</f>
        <v>9377.4</v>
      </c>
      <c r="P552" s="97">
        <f t="shared" si="109"/>
        <v>9377.4</v>
      </c>
      <c r="Q552" s="97">
        <f t="shared" si="110"/>
        <v>0</v>
      </c>
    </row>
    <row r="553" spans="1:17" ht="47.25" x14ac:dyDescent="0.2">
      <c r="A553" s="40"/>
      <c r="B553" s="113" t="s">
        <v>535</v>
      </c>
      <c r="C553" s="113" t="s">
        <v>525</v>
      </c>
      <c r="D553" s="133" t="s">
        <v>86</v>
      </c>
      <c r="E553" s="133" t="s">
        <v>536</v>
      </c>
      <c r="F553" s="134" t="s">
        <v>11</v>
      </c>
      <c r="G553" s="111">
        <f>G554+G555</f>
        <v>1517.4</v>
      </c>
      <c r="H553" s="111">
        <f>H554+H555</f>
        <v>0</v>
      </c>
      <c r="I553" s="111">
        <f>I554+I555</f>
        <v>1517.4</v>
      </c>
      <c r="J553" s="114">
        <f>J554+J555</f>
        <v>0</v>
      </c>
      <c r="K553" s="111"/>
      <c r="L553" s="114">
        <f>L554+L555</f>
        <v>0</v>
      </c>
      <c r="M553" s="111">
        <f>M554+M555</f>
        <v>1517.4</v>
      </c>
      <c r="N553" s="111">
        <f>N554+N555</f>
        <v>0</v>
      </c>
      <c r="O553" s="111">
        <f>O554+O555</f>
        <v>1517.4</v>
      </c>
      <c r="P553" s="97">
        <f t="shared" si="109"/>
        <v>1517.4</v>
      </c>
      <c r="Q553" s="97">
        <f t="shared" si="110"/>
        <v>0</v>
      </c>
    </row>
    <row r="554" spans="1:17" ht="31.5" x14ac:dyDescent="0.2">
      <c r="A554" s="40"/>
      <c r="B554" s="113" t="s">
        <v>40</v>
      </c>
      <c r="C554" s="113" t="s">
        <v>525</v>
      </c>
      <c r="D554" s="133" t="s">
        <v>86</v>
      </c>
      <c r="E554" s="133" t="s">
        <v>536</v>
      </c>
      <c r="F554" s="134" t="s">
        <v>41</v>
      </c>
      <c r="G554" s="111">
        <v>1517.4</v>
      </c>
      <c r="H554" s="111"/>
      <c r="I554" s="111">
        <f>SUM(G554)+H554</f>
        <v>1517.4</v>
      </c>
      <c r="J554" s="115">
        <v>0</v>
      </c>
      <c r="K554" s="111"/>
      <c r="L554" s="115">
        <v>0</v>
      </c>
      <c r="M554" s="111">
        <f>SUM(G554)</f>
        <v>1517.4</v>
      </c>
      <c r="N554" s="111">
        <f>SUM(H554)</f>
        <v>0</v>
      </c>
      <c r="O554" s="111">
        <f>SUM(I554)</f>
        <v>1517.4</v>
      </c>
      <c r="P554" s="97">
        <f t="shared" si="109"/>
        <v>1517.4</v>
      </c>
      <c r="Q554" s="97">
        <f t="shared" si="110"/>
        <v>0</v>
      </c>
    </row>
    <row r="555" spans="1:17" ht="15.75" x14ac:dyDescent="0.2">
      <c r="A555" s="40"/>
      <c r="B555" s="113" t="s">
        <v>70</v>
      </c>
      <c r="C555" s="113" t="s">
        <v>525</v>
      </c>
      <c r="D555" s="133" t="s">
        <v>86</v>
      </c>
      <c r="E555" s="133" t="s">
        <v>536</v>
      </c>
      <c r="F555" s="134" t="s">
        <v>71</v>
      </c>
      <c r="G555" s="111">
        <v>0</v>
      </c>
      <c r="H555" s="106"/>
      <c r="I555" s="111">
        <v>0</v>
      </c>
      <c r="J555" s="115">
        <v>0</v>
      </c>
      <c r="K555" s="106">
        <f>K559</f>
        <v>0</v>
      </c>
      <c r="L555" s="115">
        <v>0</v>
      </c>
      <c r="M555" s="111">
        <v>0</v>
      </c>
      <c r="N555" s="111">
        <f>SUM(H555)</f>
        <v>0</v>
      </c>
      <c r="O555" s="111">
        <v>0</v>
      </c>
      <c r="P555" s="97">
        <f t="shared" ref="P555:P569" si="123">G555+H555</f>
        <v>0</v>
      </c>
      <c r="Q555" s="97">
        <f t="shared" ref="Q555:Q569" si="124">I555-P555</f>
        <v>0</v>
      </c>
    </row>
    <row r="556" spans="1:17" ht="0.75" customHeight="1" x14ac:dyDescent="0.2">
      <c r="A556" s="40"/>
      <c r="B556" s="113"/>
      <c r="C556" s="113">
        <v>995</v>
      </c>
      <c r="D556" s="133" t="s">
        <v>86</v>
      </c>
      <c r="E556" s="133">
        <v>1230300000</v>
      </c>
      <c r="F556" s="134"/>
      <c r="G556" s="111"/>
      <c r="H556" s="106"/>
      <c r="I556" s="111"/>
      <c r="J556" s="115"/>
      <c r="K556" s="106"/>
      <c r="L556" s="115"/>
      <c r="M556" s="111"/>
      <c r="N556" s="111"/>
      <c r="O556" s="111"/>
      <c r="P556" s="97">
        <f t="shared" si="123"/>
        <v>0</v>
      </c>
      <c r="Q556" s="97">
        <f t="shared" si="124"/>
        <v>0</v>
      </c>
    </row>
    <row r="557" spans="1:17" ht="47.25" x14ac:dyDescent="0.2">
      <c r="A557" s="40"/>
      <c r="B557" s="113" t="s">
        <v>597</v>
      </c>
      <c r="C557" s="113">
        <v>995</v>
      </c>
      <c r="D557" s="133" t="s">
        <v>86</v>
      </c>
      <c r="E557" s="133">
        <v>1230320330</v>
      </c>
      <c r="F557" s="134"/>
      <c r="G557" s="111">
        <v>7860</v>
      </c>
      <c r="H557" s="111">
        <f>SUM(H558)</f>
        <v>0</v>
      </c>
      <c r="I557" s="111">
        <f>SUM(H557)+G557</f>
        <v>7860</v>
      </c>
      <c r="J557" s="115"/>
      <c r="K557" s="106"/>
      <c r="L557" s="115"/>
      <c r="M557" s="111">
        <f t="shared" ref="M557:O558" si="125">SUM(G557)</f>
        <v>7860</v>
      </c>
      <c r="N557" s="111">
        <f t="shared" si="125"/>
        <v>0</v>
      </c>
      <c r="O557" s="111">
        <f t="shared" si="125"/>
        <v>7860</v>
      </c>
      <c r="P557" s="97">
        <f t="shared" si="123"/>
        <v>7860</v>
      </c>
      <c r="Q557" s="97">
        <f t="shared" si="124"/>
        <v>0</v>
      </c>
    </row>
    <row r="558" spans="1:17" ht="31.5" x14ac:dyDescent="0.2">
      <c r="A558" s="40"/>
      <c r="B558" s="113" t="s">
        <v>225</v>
      </c>
      <c r="C558" s="113">
        <v>995</v>
      </c>
      <c r="D558" s="133" t="s">
        <v>86</v>
      </c>
      <c r="E558" s="133">
        <v>1230320330</v>
      </c>
      <c r="F558" s="134">
        <v>400</v>
      </c>
      <c r="G558" s="111">
        <v>7860</v>
      </c>
      <c r="H558" s="111"/>
      <c r="I558" s="111">
        <f>SUM(G558)</f>
        <v>7860</v>
      </c>
      <c r="J558" s="115"/>
      <c r="K558" s="106"/>
      <c r="L558" s="115"/>
      <c r="M558" s="111">
        <f t="shared" si="125"/>
        <v>7860</v>
      </c>
      <c r="N558" s="111">
        <f t="shared" si="125"/>
        <v>0</v>
      </c>
      <c r="O558" s="111">
        <f t="shared" si="125"/>
        <v>7860</v>
      </c>
      <c r="P558" s="97">
        <f t="shared" si="123"/>
        <v>7860</v>
      </c>
      <c r="Q558" s="97">
        <f t="shared" si="124"/>
        <v>0</v>
      </c>
    </row>
    <row r="559" spans="1:17" ht="15.75" x14ac:dyDescent="0.2">
      <c r="A559" s="20" t="s">
        <v>537</v>
      </c>
      <c r="B559" s="107" t="s">
        <v>213</v>
      </c>
      <c r="C559" s="107" t="s">
        <v>525</v>
      </c>
      <c r="D559" s="129" t="s">
        <v>214</v>
      </c>
      <c r="E559" s="129" t="s">
        <v>11</v>
      </c>
      <c r="F559" s="130" t="s">
        <v>11</v>
      </c>
      <c r="G559" s="106">
        <f t="shared" ref="G559:O564" si="126">G560</f>
        <v>11636.5</v>
      </c>
      <c r="H559" s="109">
        <f t="shared" si="126"/>
        <v>0</v>
      </c>
      <c r="I559" s="106">
        <f t="shared" si="126"/>
        <v>11636.5</v>
      </c>
      <c r="J559" s="108">
        <f t="shared" si="126"/>
        <v>0</v>
      </c>
      <c r="K559" s="109">
        <f t="shared" si="126"/>
        <v>0</v>
      </c>
      <c r="L559" s="108">
        <f t="shared" si="126"/>
        <v>0</v>
      </c>
      <c r="M559" s="106">
        <f t="shared" si="126"/>
        <v>11636.5</v>
      </c>
      <c r="N559" s="106">
        <f t="shared" si="126"/>
        <v>0</v>
      </c>
      <c r="O559" s="106">
        <f t="shared" si="126"/>
        <v>11636.5</v>
      </c>
      <c r="P559" s="97">
        <f t="shared" si="123"/>
        <v>11636.5</v>
      </c>
      <c r="Q559" s="97">
        <f t="shared" si="124"/>
        <v>0</v>
      </c>
    </row>
    <row r="560" spans="1:17" ht="26.45" customHeight="1" x14ac:dyDescent="0.2">
      <c r="A560" s="33" t="s">
        <v>538</v>
      </c>
      <c r="B560" s="110" t="s">
        <v>261</v>
      </c>
      <c r="C560" s="110" t="s">
        <v>525</v>
      </c>
      <c r="D560" s="131" t="s">
        <v>262</v>
      </c>
      <c r="E560" s="131" t="s">
        <v>11</v>
      </c>
      <c r="F560" s="132" t="s">
        <v>11</v>
      </c>
      <c r="G560" s="109">
        <f t="shared" si="126"/>
        <v>11636.5</v>
      </c>
      <c r="H560" s="111">
        <f t="shared" si="126"/>
        <v>0</v>
      </c>
      <c r="I560" s="109">
        <f t="shared" si="126"/>
        <v>11636.5</v>
      </c>
      <c r="J560" s="112">
        <f t="shared" si="126"/>
        <v>0</v>
      </c>
      <c r="K560" s="111">
        <f t="shared" si="126"/>
        <v>0</v>
      </c>
      <c r="L560" s="112">
        <f t="shared" si="126"/>
        <v>0</v>
      </c>
      <c r="M560" s="109">
        <f t="shared" si="126"/>
        <v>11636.5</v>
      </c>
      <c r="N560" s="109">
        <f t="shared" si="126"/>
        <v>0</v>
      </c>
      <c r="O560" s="109">
        <f t="shared" si="126"/>
        <v>11636.5</v>
      </c>
      <c r="P560" s="97">
        <f t="shared" si="123"/>
        <v>11636.5</v>
      </c>
      <c r="Q560" s="97">
        <f t="shared" si="124"/>
        <v>0</v>
      </c>
    </row>
    <row r="561" spans="1:17" ht="31.5" x14ac:dyDescent="0.2">
      <c r="A561" s="40"/>
      <c r="B561" s="113" t="s">
        <v>128</v>
      </c>
      <c r="C561" s="113" t="s">
        <v>525</v>
      </c>
      <c r="D561" s="133" t="s">
        <v>262</v>
      </c>
      <c r="E561" s="133" t="s">
        <v>129</v>
      </c>
      <c r="F561" s="134" t="s">
        <v>11</v>
      </c>
      <c r="G561" s="111">
        <f t="shared" si="126"/>
        <v>11636.5</v>
      </c>
      <c r="H561" s="111">
        <f t="shared" si="126"/>
        <v>0</v>
      </c>
      <c r="I561" s="111">
        <f t="shared" si="126"/>
        <v>11636.5</v>
      </c>
      <c r="J561" s="114">
        <f t="shared" si="126"/>
        <v>0</v>
      </c>
      <c r="K561" s="111">
        <f t="shared" si="126"/>
        <v>0</v>
      </c>
      <c r="L561" s="114">
        <f t="shared" si="126"/>
        <v>0</v>
      </c>
      <c r="M561" s="111">
        <f t="shared" si="126"/>
        <v>11636.5</v>
      </c>
      <c r="N561" s="111">
        <f t="shared" si="126"/>
        <v>0</v>
      </c>
      <c r="O561" s="111">
        <f t="shared" si="126"/>
        <v>11636.5</v>
      </c>
      <c r="P561" s="97">
        <f t="shared" si="123"/>
        <v>11636.5</v>
      </c>
      <c r="Q561" s="97">
        <f t="shared" si="124"/>
        <v>0</v>
      </c>
    </row>
    <row r="562" spans="1:17" ht="31.5" x14ac:dyDescent="0.2">
      <c r="A562" s="40"/>
      <c r="B562" s="113" t="s">
        <v>528</v>
      </c>
      <c r="C562" s="113" t="s">
        <v>525</v>
      </c>
      <c r="D562" s="133" t="s">
        <v>262</v>
      </c>
      <c r="E562" s="133" t="s">
        <v>529</v>
      </c>
      <c r="F562" s="134" t="s">
        <v>11</v>
      </c>
      <c r="G562" s="111">
        <f t="shared" si="126"/>
        <v>11636.5</v>
      </c>
      <c r="H562" s="111">
        <f t="shared" si="126"/>
        <v>0</v>
      </c>
      <c r="I562" s="111">
        <f t="shared" si="126"/>
        <v>11636.5</v>
      </c>
      <c r="J562" s="114">
        <f t="shared" si="126"/>
        <v>0</v>
      </c>
      <c r="K562" s="111">
        <f t="shared" si="126"/>
        <v>0</v>
      </c>
      <c r="L562" s="114">
        <f t="shared" si="126"/>
        <v>0</v>
      </c>
      <c r="M562" s="111">
        <f t="shared" si="126"/>
        <v>11636.5</v>
      </c>
      <c r="N562" s="111">
        <f t="shared" si="126"/>
        <v>0</v>
      </c>
      <c r="O562" s="111">
        <f t="shared" si="126"/>
        <v>11636.5</v>
      </c>
      <c r="P562" s="97">
        <f t="shared" si="123"/>
        <v>11636.5</v>
      </c>
      <c r="Q562" s="97">
        <f t="shared" si="124"/>
        <v>0</v>
      </c>
    </row>
    <row r="563" spans="1:17" ht="47.25" x14ac:dyDescent="0.2">
      <c r="A563" s="40"/>
      <c r="B563" s="113" t="s">
        <v>539</v>
      </c>
      <c r="C563" s="113" t="s">
        <v>525</v>
      </c>
      <c r="D563" s="133" t="s">
        <v>262</v>
      </c>
      <c r="E563" s="133" t="s">
        <v>540</v>
      </c>
      <c r="F563" s="134" t="s">
        <v>11</v>
      </c>
      <c r="G563" s="111">
        <f t="shared" si="126"/>
        <v>11636.5</v>
      </c>
      <c r="H563" s="111">
        <f t="shared" si="126"/>
        <v>0</v>
      </c>
      <c r="I563" s="111">
        <f t="shared" si="126"/>
        <v>11636.5</v>
      </c>
      <c r="J563" s="114">
        <f t="shared" si="126"/>
        <v>0</v>
      </c>
      <c r="K563" s="111">
        <f t="shared" si="126"/>
        <v>0</v>
      </c>
      <c r="L563" s="114">
        <f t="shared" si="126"/>
        <v>0</v>
      </c>
      <c r="M563" s="111">
        <f t="shared" si="126"/>
        <v>11636.5</v>
      </c>
      <c r="N563" s="111">
        <f t="shared" si="126"/>
        <v>0</v>
      </c>
      <c r="O563" s="111">
        <f t="shared" si="126"/>
        <v>11636.5</v>
      </c>
      <c r="P563" s="97">
        <f t="shared" si="123"/>
        <v>11636.5</v>
      </c>
      <c r="Q563" s="97">
        <f t="shared" si="124"/>
        <v>0</v>
      </c>
    </row>
    <row r="564" spans="1:17" ht="32.25" thickBot="1" x14ac:dyDescent="0.25">
      <c r="A564" s="40"/>
      <c r="B564" s="113" t="s">
        <v>134</v>
      </c>
      <c r="C564" s="113" t="s">
        <v>525</v>
      </c>
      <c r="D564" s="133" t="s">
        <v>262</v>
      </c>
      <c r="E564" s="133" t="s">
        <v>541</v>
      </c>
      <c r="F564" s="134" t="s">
        <v>11</v>
      </c>
      <c r="G564" s="111">
        <f t="shared" si="126"/>
        <v>11636.5</v>
      </c>
      <c r="H564" s="122">
        <f>SUM(H565)</f>
        <v>0</v>
      </c>
      <c r="I564" s="111">
        <f t="shared" si="126"/>
        <v>11636.5</v>
      </c>
      <c r="J564" s="114">
        <f t="shared" si="126"/>
        <v>0</v>
      </c>
      <c r="K564" s="122"/>
      <c r="L564" s="114">
        <f t="shared" si="126"/>
        <v>0</v>
      </c>
      <c r="M564" s="111">
        <f t="shared" si="126"/>
        <v>11636.5</v>
      </c>
      <c r="N564" s="111">
        <f t="shared" si="126"/>
        <v>0</v>
      </c>
      <c r="O564" s="111">
        <f t="shared" si="126"/>
        <v>11636.5</v>
      </c>
      <c r="P564" s="97">
        <f t="shared" si="123"/>
        <v>11636.5</v>
      </c>
      <c r="Q564" s="97">
        <f t="shared" si="124"/>
        <v>0</v>
      </c>
    </row>
    <row r="565" spans="1:17" ht="48" thickBot="1" x14ac:dyDescent="0.25">
      <c r="A565" s="49"/>
      <c r="B565" s="123" t="s">
        <v>95</v>
      </c>
      <c r="C565" s="123" t="s">
        <v>525</v>
      </c>
      <c r="D565" s="146" t="s">
        <v>262</v>
      </c>
      <c r="E565" s="146" t="s">
        <v>541</v>
      </c>
      <c r="F565" s="147" t="s">
        <v>96</v>
      </c>
      <c r="G565" s="122">
        <v>11636.5</v>
      </c>
      <c r="H565" s="124"/>
      <c r="I565" s="122">
        <f>SUM(G565)</f>
        <v>11636.5</v>
      </c>
      <c r="J565" s="125">
        <v>0</v>
      </c>
      <c r="K565" s="124"/>
      <c r="L565" s="125">
        <v>0</v>
      </c>
      <c r="M565" s="122">
        <f>SUM(G565)</f>
        <v>11636.5</v>
      </c>
      <c r="N565" s="122">
        <f>SUM(H565)</f>
        <v>0</v>
      </c>
      <c r="O565" s="122">
        <f>SUM(I565)</f>
        <v>11636.5</v>
      </c>
      <c r="P565" s="97">
        <f t="shared" si="123"/>
        <v>11636.5</v>
      </c>
      <c r="Q565" s="97">
        <f t="shared" si="124"/>
        <v>0</v>
      </c>
    </row>
    <row r="566" spans="1:17" x14ac:dyDescent="0.2">
      <c r="P566" s="97">
        <f t="shared" si="123"/>
        <v>0</v>
      </c>
      <c r="Q566" s="97">
        <f t="shared" si="124"/>
        <v>0</v>
      </c>
    </row>
    <row r="567" spans="1:17" x14ac:dyDescent="0.2">
      <c r="B567" s="302" t="s">
        <v>542</v>
      </c>
      <c r="C567" s="266"/>
      <c r="D567" s="266"/>
      <c r="E567" s="266"/>
      <c r="F567" s="266"/>
      <c r="G567" s="266"/>
      <c r="H567" s="266"/>
      <c r="I567" s="266"/>
      <c r="J567" s="266"/>
      <c r="K567" s="266"/>
      <c r="L567" s="266"/>
      <c r="M567" s="266"/>
      <c r="N567" s="266"/>
      <c r="O567" s="266"/>
      <c r="P567" s="97">
        <f t="shared" si="123"/>
        <v>0</v>
      </c>
      <c r="Q567" s="97">
        <f t="shared" si="124"/>
        <v>0</v>
      </c>
    </row>
    <row r="568" spans="1:17" x14ac:dyDescent="0.2">
      <c r="B568" s="266"/>
      <c r="C568" s="266"/>
      <c r="D568" s="266"/>
      <c r="E568" s="266"/>
      <c r="F568" s="266"/>
      <c r="G568" s="266"/>
      <c r="H568" s="266"/>
      <c r="I568" s="266"/>
      <c r="J568" s="266"/>
      <c r="K568" s="266"/>
      <c r="L568" s="266"/>
      <c r="M568" s="266"/>
      <c r="N568" s="266"/>
      <c r="O568" s="266"/>
      <c r="P568" s="97">
        <f t="shared" si="123"/>
        <v>0</v>
      </c>
      <c r="Q568" s="97">
        <f t="shared" si="124"/>
        <v>0</v>
      </c>
    </row>
    <row r="569" spans="1:17" x14ac:dyDescent="0.2">
      <c r="B569" s="266"/>
      <c r="C569" s="266"/>
      <c r="D569" s="266"/>
      <c r="E569" s="266"/>
      <c r="F569" s="266"/>
      <c r="G569" s="266"/>
      <c r="H569" s="266"/>
      <c r="I569" s="266"/>
      <c r="J569" s="266"/>
      <c r="K569" s="266"/>
      <c r="L569" s="266"/>
      <c r="M569" s="266"/>
      <c r="N569" s="266"/>
      <c r="O569" s="266"/>
      <c r="P569" s="97">
        <f t="shared" si="123"/>
        <v>0</v>
      </c>
      <c r="Q569" s="97">
        <f t="shared" si="124"/>
        <v>0</v>
      </c>
    </row>
  </sheetData>
  <mergeCells count="21">
    <mergeCell ref="C20:F20"/>
    <mergeCell ref="G20:O20"/>
    <mergeCell ref="B567:O569"/>
    <mergeCell ref="B16:G16"/>
    <mergeCell ref="B17:G17"/>
    <mergeCell ref="A18:A19"/>
    <mergeCell ref="B18:B19"/>
    <mergeCell ref="C18:F18"/>
    <mergeCell ref="G18:O18"/>
    <mergeCell ref="A9:O9"/>
    <mergeCell ref="A10:O10"/>
    <mergeCell ref="A11:O11"/>
    <mergeCell ref="C14:F14"/>
    <mergeCell ref="B15:C15"/>
    <mergeCell ref="D15:F15"/>
    <mergeCell ref="J7:O7"/>
    <mergeCell ref="J1:O1"/>
    <mergeCell ref="J3:O3"/>
    <mergeCell ref="J4:O4"/>
    <mergeCell ref="J5:O5"/>
    <mergeCell ref="J6:O6"/>
  </mergeCells>
  <pageMargins left="0.19685039370078741" right="0.31496062992125984" top="0.31496062992125984" bottom="0.39370078740157483" header="0.51181102362204722" footer="0.19685039370078741"/>
  <pageSetup paperSize="9" scale="55" firstPageNumber="4294967295" orientation="landscape" r:id="rId1"/>
  <headerFooter differentFirst="1" alignWithMargins="0">
    <oddFooter>&amp;C&amp;P</oddFooter>
  </headerFooter>
  <rowBreaks count="2" manualBreakCount="2">
    <brk id="122" max="14" man="1"/>
    <brk id="172" max="14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66"/>
  <sheetViews>
    <sheetView view="pageBreakPreview" topLeftCell="A509" zoomScale="60" zoomScaleNormal="60" workbookViewId="0">
      <selection activeCell="Z300" sqref="Z300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6.855468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" customWidth="1"/>
    <col min="11" max="11" width="16.5703125" customWidth="1"/>
    <col min="12" max="12" width="20.42578125" customWidth="1"/>
    <col min="13" max="13" width="22.28515625" customWidth="1"/>
    <col min="14" max="14" width="20" customWidth="1"/>
    <col min="15" max="16" width="18.28515625" customWidth="1"/>
    <col min="17" max="17" width="11.7109375" customWidth="1"/>
    <col min="18" max="18" width="10" bestFit="1" customWidth="1"/>
  </cols>
  <sheetData>
    <row r="1" spans="1:15" ht="43.5" customHeight="1" x14ac:dyDescent="0.25">
      <c r="B1" s="5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</row>
    <row r="2" spans="1:15" ht="43.5" customHeight="1" x14ac:dyDescent="0.25">
      <c r="B2" s="5"/>
      <c r="C2" s="5"/>
      <c r="D2" s="5"/>
      <c r="E2" s="5"/>
      <c r="F2" s="5"/>
      <c r="G2" s="5"/>
      <c r="H2" s="5"/>
      <c r="I2" s="5"/>
      <c r="J2" s="174" t="s">
        <v>601</v>
      </c>
      <c r="K2" s="174"/>
      <c r="L2" s="174"/>
      <c r="M2" s="174"/>
      <c r="N2" s="174"/>
      <c r="O2" s="174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1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2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3</v>
      </c>
      <c r="K5" s="279"/>
      <c r="L5" s="279"/>
      <c r="M5" s="279"/>
      <c r="N5" s="279"/>
      <c r="O5" s="279"/>
    </row>
    <row r="6" spans="1:15" ht="15" customHeight="1" x14ac:dyDescent="0.25">
      <c r="B6" s="1"/>
      <c r="C6" s="1"/>
      <c r="D6" s="1"/>
      <c r="E6" s="1"/>
      <c r="F6" s="1"/>
      <c r="G6" s="1"/>
      <c r="H6" s="1"/>
      <c r="I6" s="1"/>
      <c r="J6" s="279" t="s">
        <v>605</v>
      </c>
      <c r="K6" s="279"/>
      <c r="L6" s="279"/>
      <c r="M6" s="279"/>
      <c r="N6" s="279"/>
      <c r="O6" s="279"/>
    </row>
    <row r="7" spans="1:15" ht="15.6" customHeight="1" x14ac:dyDescent="0.25">
      <c r="B7" s="6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</row>
    <row r="8" spans="1:15" ht="15" customHeight="1" x14ac:dyDescent="0.2">
      <c r="B8" s="6"/>
      <c r="C8" s="6"/>
      <c r="D8" s="6"/>
      <c r="E8" s="6"/>
      <c r="F8" s="6"/>
      <c r="G8" s="3"/>
      <c r="H8" s="3"/>
      <c r="I8" s="3"/>
    </row>
    <row r="9" spans="1:15" ht="15.6" customHeight="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" customHeight="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ht="15.6" hidden="1" customHeight="1" x14ac:dyDescent="0.2">
      <c r="B12" s="6"/>
      <c r="C12" s="6"/>
      <c r="D12" s="6"/>
      <c r="E12" s="6"/>
      <c r="F12" s="6"/>
      <c r="G12" s="3"/>
      <c r="H12" s="3"/>
      <c r="I12" s="3"/>
    </row>
    <row r="13" spans="1:15" ht="18.600000000000001" customHeight="1" thickBot="1" x14ac:dyDescent="0.25">
      <c r="B13" s="6"/>
      <c r="C13" s="6"/>
      <c r="D13" s="7"/>
      <c r="E13" s="7"/>
      <c r="F13" s="7"/>
      <c r="G13" s="3"/>
      <c r="H13" s="3"/>
      <c r="I13" s="3"/>
      <c r="O13" s="8" t="s">
        <v>8</v>
      </c>
    </row>
    <row r="14" spans="1:15" ht="15" hidden="1" customHeight="1" x14ac:dyDescent="0.2">
      <c r="B14" s="171" t="s">
        <v>9</v>
      </c>
      <c r="C14" s="278"/>
      <c r="D14" s="278"/>
      <c r="E14" s="278"/>
      <c r="F14" s="278"/>
      <c r="G14" s="3"/>
      <c r="H14" s="3"/>
      <c r="I14" s="3"/>
    </row>
    <row r="15" spans="1:15" ht="6.6" hidden="1" customHeight="1" x14ac:dyDescent="0.2">
      <c r="B15" s="261" t="s">
        <v>10</v>
      </c>
      <c r="C15" s="261"/>
      <c r="D15" s="261"/>
      <c r="E15" s="261"/>
      <c r="F15" s="261"/>
      <c r="G15" s="3"/>
      <c r="H15" s="3"/>
      <c r="I15" s="3"/>
    </row>
    <row r="16" spans="1:15" ht="7.15" hidden="1" customHeight="1" thickBot="1" x14ac:dyDescent="0.25">
      <c r="B16" s="261" t="s">
        <v>11</v>
      </c>
      <c r="C16" s="261"/>
      <c r="D16" s="261"/>
      <c r="E16" s="261"/>
      <c r="F16" s="261"/>
      <c r="G16" s="261"/>
      <c r="H16" s="171"/>
      <c r="I16" s="171"/>
    </row>
    <row r="17" spans="1:17" ht="13.9" hidden="1" customHeight="1" thickBot="1" x14ac:dyDescent="0.25">
      <c r="B17" s="262" t="s">
        <v>11</v>
      </c>
      <c r="C17" s="262"/>
      <c r="D17" s="262"/>
      <c r="E17" s="262"/>
      <c r="F17" s="262"/>
      <c r="G17" s="262"/>
      <c r="H17" s="172"/>
      <c r="I17" s="172"/>
    </row>
    <row r="18" spans="1:17" ht="13.9" customHeight="1" x14ac:dyDescent="0.2">
      <c r="A18" s="289" t="s">
        <v>12</v>
      </c>
      <c r="B18" s="291" t="s">
        <v>13</v>
      </c>
      <c r="C18" s="291" t="s">
        <v>14</v>
      </c>
      <c r="D18" s="291"/>
      <c r="E18" s="291"/>
      <c r="F18" s="293"/>
      <c r="G18" s="294" t="s">
        <v>15</v>
      </c>
      <c r="H18" s="295"/>
      <c r="I18" s="295"/>
      <c r="J18" s="291"/>
      <c r="K18" s="293"/>
      <c r="L18" s="293"/>
      <c r="M18" s="293"/>
      <c r="N18" s="293"/>
      <c r="O18" s="296"/>
    </row>
    <row r="19" spans="1:17" ht="30" customHeight="1" x14ac:dyDescent="0.2">
      <c r="A19" s="290"/>
      <c r="B19" s="292"/>
      <c r="C19" s="173" t="s">
        <v>16</v>
      </c>
      <c r="D19" s="173" t="s">
        <v>17</v>
      </c>
      <c r="E19" s="173" t="s">
        <v>18</v>
      </c>
      <c r="F19" s="12" t="s">
        <v>19</v>
      </c>
      <c r="G19" s="13" t="s">
        <v>20</v>
      </c>
      <c r="H19" s="62" t="s">
        <v>21</v>
      </c>
      <c r="I19" s="62" t="s">
        <v>15</v>
      </c>
      <c r="J19" s="165" t="s">
        <v>22</v>
      </c>
      <c r="K19" s="103" t="s">
        <v>21</v>
      </c>
      <c r="L19" s="103" t="s">
        <v>15</v>
      </c>
      <c r="M19" s="13" t="s">
        <v>20</v>
      </c>
      <c r="N19" s="62" t="s">
        <v>21</v>
      </c>
      <c r="O19" s="166" t="s">
        <v>23</v>
      </c>
      <c r="P19" s="164">
        <v>20027.900000000001</v>
      </c>
    </row>
    <row r="20" spans="1:17" ht="13.9" customHeight="1" thickBot="1" x14ac:dyDescent="0.25">
      <c r="A20" s="10" t="s">
        <v>24</v>
      </c>
      <c r="B20" s="11">
        <v>2</v>
      </c>
      <c r="C20" s="298">
        <v>3</v>
      </c>
      <c r="D20" s="299"/>
      <c r="E20" s="299"/>
      <c r="F20" s="299"/>
      <c r="G20" s="300">
        <v>4</v>
      </c>
      <c r="H20" s="299"/>
      <c r="I20" s="299"/>
      <c r="J20" s="299"/>
      <c r="K20" s="299"/>
      <c r="L20" s="299"/>
      <c r="M20" s="299"/>
      <c r="N20" s="299"/>
      <c r="O20" s="301"/>
    </row>
    <row r="21" spans="1:17" ht="20.45" customHeight="1" x14ac:dyDescent="0.2">
      <c r="A21" s="27"/>
      <c r="B21" s="126" t="s">
        <v>25</v>
      </c>
      <c r="C21" s="127"/>
      <c r="D21" s="127"/>
      <c r="E21" s="127"/>
      <c r="F21" s="128"/>
      <c r="G21" s="104">
        <f>G22+G34+G471+G538</f>
        <v>753492.3</v>
      </c>
      <c r="H21" s="104">
        <f>H22+H34+H471+H538</f>
        <v>-1999.9999999999973</v>
      </c>
      <c r="I21" s="104">
        <f>I22+I34+I471+I538</f>
        <v>751492.30000000016</v>
      </c>
      <c r="J21" s="105">
        <f>J22+J34+J471+J538</f>
        <v>1945779.5999999999</v>
      </c>
      <c r="K21" s="106">
        <f>SUM(K34+K22+K471+K538)</f>
        <v>72000</v>
      </c>
      <c r="L21" s="105">
        <f>L22+L34+L471+L538</f>
        <v>2017779.5999999999</v>
      </c>
      <c r="M21" s="104">
        <f>M22+M34+M471+M538</f>
        <v>2698983.6999999997</v>
      </c>
      <c r="N21" s="104">
        <f>N22+N34+N471+N538+N29</f>
        <v>70000</v>
      </c>
      <c r="O21" s="104">
        <f>O22+O34+O471+O538</f>
        <v>2768983.6999999993</v>
      </c>
      <c r="P21" s="97">
        <f>G21+H21</f>
        <v>751492.3</v>
      </c>
      <c r="Q21" s="97">
        <f>I21-P21</f>
        <v>0</v>
      </c>
    </row>
    <row r="22" spans="1:17" ht="31.5" x14ac:dyDescent="0.2">
      <c r="A22" s="20" t="s">
        <v>26</v>
      </c>
      <c r="B22" s="107" t="s">
        <v>27</v>
      </c>
      <c r="C22" s="107" t="s">
        <v>28</v>
      </c>
      <c r="D22" s="129" t="s">
        <v>11</v>
      </c>
      <c r="E22" s="129" t="s">
        <v>11</v>
      </c>
      <c r="F22" s="130" t="s">
        <v>11</v>
      </c>
      <c r="G22" s="106">
        <f>G23</f>
        <v>1601.8999999999999</v>
      </c>
      <c r="H22" s="106">
        <f>H23+H29</f>
        <v>0</v>
      </c>
      <c r="I22" s="106">
        <f>I23</f>
        <v>1601.8999999999999</v>
      </c>
      <c r="J22" s="108">
        <f>J23</f>
        <v>0</v>
      </c>
      <c r="K22" s="106">
        <f>K23+K28</f>
        <v>0</v>
      </c>
      <c r="L22" s="108">
        <f>L23</f>
        <v>0</v>
      </c>
      <c r="M22" s="106">
        <f>M23</f>
        <v>1601.8999999999999</v>
      </c>
      <c r="N22" s="106">
        <f>N23</f>
        <v>0</v>
      </c>
      <c r="O22" s="106">
        <f>O23</f>
        <v>1601.8999999999999</v>
      </c>
      <c r="P22" s="97">
        <f t="shared" ref="P22:P91" si="0">G22+H22</f>
        <v>1601.8999999999999</v>
      </c>
      <c r="Q22" s="97">
        <f t="shared" ref="Q22:Q91" si="1">I22-P22</f>
        <v>0</v>
      </c>
    </row>
    <row r="23" spans="1:17" ht="15.75" x14ac:dyDescent="0.2">
      <c r="A23" s="20" t="s">
        <v>29</v>
      </c>
      <c r="B23" s="107" t="s">
        <v>30</v>
      </c>
      <c r="C23" s="107" t="s">
        <v>28</v>
      </c>
      <c r="D23" s="129" t="s">
        <v>31</v>
      </c>
      <c r="E23" s="129" t="s">
        <v>11</v>
      </c>
      <c r="F23" s="130" t="s">
        <v>11</v>
      </c>
      <c r="G23" s="106">
        <f>G24+G29</f>
        <v>1601.8999999999999</v>
      </c>
      <c r="H23" s="109">
        <f>H24</f>
        <v>0</v>
      </c>
      <c r="I23" s="106">
        <f>I24+I29</f>
        <v>1601.8999999999999</v>
      </c>
      <c r="J23" s="108">
        <f>J24+J29</f>
        <v>0</v>
      </c>
      <c r="K23" s="109">
        <f>K24</f>
        <v>0</v>
      </c>
      <c r="L23" s="108">
        <f>L24+L29</f>
        <v>0</v>
      </c>
      <c r="M23" s="106">
        <f>M24+M29</f>
        <v>1601.8999999999999</v>
      </c>
      <c r="N23" s="106">
        <f>N24+N29</f>
        <v>0</v>
      </c>
      <c r="O23" s="106">
        <f>O24+O29</f>
        <v>1601.8999999999999</v>
      </c>
      <c r="P23" s="97">
        <f t="shared" si="0"/>
        <v>1601.8999999999999</v>
      </c>
      <c r="Q23" s="97">
        <f t="shared" si="1"/>
        <v>0</v>
      </c>
    </row>
    <row r="24" spans="1:17" ht="63" x14ac:dyDescent="0.2">
      <c r="A24" s="33" t="s">
        <v>32</v>
      </c>
      <c r="B24" s="110" t="s">
        <v>33</v>
      </c>
      <c r="C24" s="110" t="s">
        <v>28</v>
      </c>
      <c r="D24" s="131" t="s">
        <v>34</v>
      </c>
      <c r="E24" s="131" t="s">
        <v>11</v>
      </c>
      <c r="F24" s="132" t="s">
        <v>11</v>
      </c>
      <c r="G24" s="109">
        <f>G25</f>
        <v>8.1</v>
      </c>
      <c r="H24" s="111">
        <f>H25</f>
        <v>0</v>
      </c>
      <c r="I24" s="109">
        <f>I25</f>
        <v>8.1</v>
      </c>
      <c r="J24" s="112">
        <f t="shared" ref="J24:O27" si="2">J25</f>
        <v>0</v>
      </c>
      <c r="K24" s="111">
        <f>K25</f>
        <v>0</v>
      </c>
      <c r="L24" s="112">
        <f t="shared" si="2"/>
        <v>0</v>
      </c>
      <c r="M24" s="109">
        <f t="shared" si="2"/>
        <v>8.1</v>
      </c>
      <c r="N24" s="109">
        <f t="shared" si="2"/>
        <v>0</v>
      </c>
      <c r="O24" s="109">
        <f t="shared" si="2"/>
        <v>8.1</v>
      </c>
      <c r="P24" s="97">
        <f t="shared" si="0"/>
        <v>8.1</v>
      </c>
      <c r="Q24" s="97">
        <f t="shared" si="1"/>
        <v>0</v>
      </c>
    </row>
    <row r="25" spans="1:17" ht="31.5" x14ac:dyDescent="0.2">
      <c r="A25" s="40"/>
      <c r="B25" s="113" t="s">
        <v>35</v>
      </c>
      <c r="C25" s="113" t="s">
        <v>28</v>
      </c>
      <c r="D25" s="133" t="s">
        <v>34</v>
      </c>
      <c r="E25" s="133" t="s">
        <v>36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2"/>
        <v>0</v>
      </c>
      <c r="K25" s="111">
        <f>K26</f>
        <v>0</v>
      </c>
      <c r="L25" s="114">
        <f t="shared" si="2"/>
        <v>0</v>
      </c>
      <c r="M25" s="111">
        <f t="shared" si="2"/>
        <v>8.1</v>
      </c>
      <c r="N25" s="111">
        <f t="shared" si="2"/>
        <v>0</v>
      </c>
      <c r="O25" s="111">
        <f t="shared" si="2"/>
        <v>8.1</v>
      </c>
      <c r="P25" s="97">
        <f t="shared" si="0"/>
        <v>8.1</v>
      </c>
      <c r="Q25" s="97">
        <f t="shared" si="1"/>
        <v>0</v>
      </c>
    </row>
    <row r="26" spans="1:17" ht="31.5" x14ac:dyDescent="0.2">
      <c r="A26" s="40"/>
      <c r="B26" s="113" t="s">
        <v>27</v>
      </c>
      <c r="C26" s="113" t="s">
        <v>28</v>
      </c>
      <c r="D26" s="133" t="s">
        <v>34</v>
      </c>
      <c r="E26" s="133" t="s">
        <v>37</v>
      </c>
      <c r="F26" s="134" t="s">
        <v>11</v>
      </c>
      <c r="G26" s="111">
        <f>G27</f>
        <v>8.1</v>
      </c>
      <c r="H26" s="111">
        <f>H27</f>
        <v>0</v>
      </c>
      <c r="I26" s="111">
        <f>I27</f>
        <v>8.1</v>
      </c>
      <c r="J26" s="114">
        <f t="shared" si="2"/>
        <v>0</v>
      </c>
      <c r="K26" s="111">
        <f>K27</f>
        <v>0</v>
      </c>
      <c r="L26" s="114">
        <f t="shared" si="2"/>
        <v>0</v>
      </c>
      <c r="M26" s="111">
        <f t="shared" si="2"/>
        <v>8.1</v>
      </c>
      <c r="N26" s="111">
        <f t="shared" si="2"/>
        <v>0</v>
      </c>
      <c r="O26" s="111">
        <f t="shared" si="2"/>
        <v>8.1</v>
      </c>
      <c r="P26" s="97">
        <f t="shared" si="0"/>
        <v>8.1</v>
      </c>
      <c r="Q26" s="97">
        <f t="shared" si="1"/>
        <v>0</v>
      </c>
    </row>
    <row r="27" spans="1:17" ht="31.5" x14ac:dyDescent="0.2">
      <c r="A27" s="40"/>
      <c r="B27" s="113" t="s">
        <v>38</v>
      </c>
      <c r="C27" s="113" t="s">
        <v>28</v>
      </c>
      <c r="D27" s="133" t="s">
        <v>34</v>
      </c>
      <c r="E27" s="133" t="s">
        <v>39</v>
      </c>
      <c r="F27" s="134" t="s">
        <v>11</v>
      </c>
      <c r="G27" s="111">
        <f>G28</f>
        <v>8.1</v>
      </c>
      <c r="H27" s="111"/>
      <c r="I27" s="111">
        <f>I28</f>
        <v>8.1</v>
      </c>
      <c r="J27" s="114">
        <f t="shared" si="2"/>
        <v>0</v>
      </c>
      <c r="K27" s="111"/>
      <c r="L27" s="114">
        <f t="shared" si="2"/>
        <v>0</v>
      </c>
      <c r="M27" s="111">
        <f t="shared" si="2"/>
        <v>8.1</v>
      </c>
      <c r="N27" s="111">
        <f t="shared" si="2"/>
        <v>0</v>
      </c>
      <c r="O27" s="111">
        <f t="shared" si="2"/>
        <v>8.1</v>
      </c>
      <c r="P27" s="97">
        <f t="shared" si="0"/>
        <v>8.1</v>
      </c>
      <c r="Q27" s="97">
        <f t="shared" si="1"/>
        <v>0</v>
      </c>
    </row>
    <row r="28" spans="1:17" ht="31.5" x14ac:dyDescent="0.2">
      <c r="A28" s="40"/>
      <c r="B28" s="113" t="s">
        <v>40</v>
      </c>
      <c r="C28" s="113" t="s">
        <v>28</v>
      </c>
      <c r="D28" s="133" t="s">
        <v>34</v>
      </c>
      <c r="E28" s="133" t="s">
        <v>39</v>
      </c>
      <c r="F28" s="134" t="s">
        <v>41</v>
      </c>
      <c r="G28" s="111">
        <f>8+0.1</f>
        <v>8.1</v>
      </c>
      <c r="H28" s="109"/>
      <c r="I28" s="111">
        <f>8+0.1</f>
        <v>8.1</v>
      </c>
      <c r="J28" s="115">
        <v>0</v>
      </c>
      <c r="K28" s="109"/>
      <c r="L28" s="115">
        <v>0</v>
      </c>
      <c r="M28" s="111">
        <f>8+0.1</f>
        <v>8.1</v>
      </c>
      <c r="N28" s="111"/>
      <c r="O28" s="111">
        <f>8+0.1</f>
        <v>8.1</v>
      </c>
      <c r="P28" s="97">
        <f t="shared" si="0"/>
        <v>8.1</v>
      </c>
      <c r="Q28" s="97">
        <f t="shared" si="1"/>
        <v>0</v>
      </c>
    </row>
    <row r="29" spans="1:17" ht="47.25" x14ac:dyDescent="0.2">
      <c r="A29" s="33" t="s">
        <v>42</v>
      </c>
      <c r="B29" s="110" t="s">
        <v>43</v>
      </c>
      <c r="C29" s="110" t="s">
        <v>28</v>
      </c>
      <c r="D29" s="131" t="s">
        <v>44</v>
      </c>
      <c r="E29" s="131" t="s">
        <v>11</v>
      </c>
      <c r="F29" s="132" t="s">
        <v>11</v>
      </c>
      <c r="G29" s="109">
        <f t="shared" ref="G29:O32" si="3">G30</f>
        <v>1593.8</v>
      </c>
      <c r="H29" s="111">
        <f t="shared" si="3"/>
        <v>0</v>
      </c>
      <c r="I29" s="109">
        <f t="shared" si="3"/>
        <v>1593.8</v>
      </c>
      <c r="J29" s="112">
        <f t="shared" si="3"/>
        <v>0</v>
      </c>
      <c r="K29" s="111">
        <f>K30</f>
        <v>0</v>
      </c>
      <c r="L29" s="112">
        <f t="shared" si="3"/>
        <v>0</v>
      </c>
      <c r="M29" s="109">
        <f t="shared" si="3"/>
        <v>1593.8</v>
      </c>
      <c r="N29" s="109">
        <f t="shared" si="3"/>
        <v>0</v>
      </c>
      <c r="O29" s="109">
        <f t="shared" si="3"/>
        <v>1593.8</v>
      </c>
      <c r="P29" s="97">
        <f t="shared" si="0"/>
        <v>1593.8</v>
      </c>
      <c r="Q29" s="97">
        <f t="shared" si="1"/>
        <v>0</v>
      </c>
    </row>
    <row r="30" spans="1:17" ht="31.5" x14ac:dyDescent="0.2">
      <c r="A30" s="40"/>
      <c r="B30" s="113" t="s">
        <v>35</v>
      </c>
      <c r="C30" s="113" t="s">
        <v>28</v>
      </c>
      <c r="D30" s="133" t="s">
        <v>44</v>
      </c>
      <c r="E30" s="133" t="s">
        <v>36</v>
      </c>
      <c r="F30" s="134" t="s">
        <v>11</v>
      </c>
      <c r="G30" s="111">
        <f t="shared" si="3"/>
        <v>1593.8</v>
      </c>
      <c r="H30" s="111">
        <f t="shared" si="3"/>
        <v>0</v>
      </c>
      <c r="I30" s="111">
        <f t="shared" si="3"/>
        <v>1593.8</v>
      </c>
      <c r="J30" s="114">
        <f t="shared" si="3"/>
        <v>0</v>
      </c>
      <c r="K30" s="111">
        <f>K31</f>
        <v>0</v>
      </c>
      <c r="L30" s="114">
        <f t="shared" si="3"/>
        <v>0</v>
      </c>
      <c r="M30" s="111">
        <f t="shared" si="3"/>
        <v>1593.8</v>
      </c>
      <c r="N30" s="111">
        <f t="shared" si="3"/>
        <v>0</v>
      </c>
      <c r="O30" s="111">
        <f t="shared" si="3"/>
        <v>1593.8</v>
      </c>
      <c r="P30" s="97">
        <f t="shared" si="0"/>
        <v>1593.8</v>
      </c>
      <c r="Q30" s="97">
        <f t="shared" si="1"/>
        <v>0</v>
      </c>
    </row>
    <row r="31" spans="1:17" ht="31.5" x14ac:dyDescent="0.2">
      <c r="A31" s="40"/>
      <c r="B31" s="113" t="s">
        <v>27</v>
      </c>
      <c r="C31" s="113" t="s">
        <v>28</v>
      </c>
      <c r="D31" s="133" t="s">
        <v>44</v>
      </c>
      <c r="E31" s="133" t="s">
        <v>37</v>
      </c>
      <c r="F31" s="134" t="s">
        <v>11</v>
      </c>
      <c r="G31" s="111">
        <f t="shared" si="3"/>
        <v>1593.8</v>
      </c>
      <c r="H31" s="111">
        <f t="shared" si="3"/>
        <v>0</v>
      </c>
      <c r="I31" s="111">
        <f t="shared" si="3"/>
        <v>1593.8</v>
      </c>
      <c r="J31" s="114">
        <f t="shared" si="3"/>
        <v>0</v>
      </c>
      <c r="K31" s="111">
        <f>K32</f>
        <v>0</v>
      </c>
      <c r="L31" s="114">
        <f t="shared" si="3"/>
        <v>0</v>
      </c>
      <c r="M31" s="111">
        <f t="shared" si="3"/>
        <v>1593.8</v>
      </c>
      <c r="N31" s="111">
        <f t="shared" si="3"/>
        <v>0</v>
      </c>
      <c r="O31" s="111">
        <f t="shared" si="3"/>
        <v>1593.8</v>
      </c>
      <c r="P31" s="97">
        <f t="shared" si="0"/>
        <v>1593.8</v>
      </c>
      <c r="Q31" s="97">
        <f t="shared" si="1"/>
        <v>0</v>
      </c>
    </row>
    <row r="32" spans="1:17" ht="63" x14ac:dyDescent="0.2">
      <c r="A32" s="40"/>
      <c r="B32" s="113" t="s">
        <v>45</v>
      </c>
      <c r="C32" s="113" t="s">
        <v>28</v>
      </c>
      <c r="D32" s="133" t="s">
        <v>44</v>
      </c>
      <c r="E32" s="133" t="s">
        <v>46</v>
      </c>
      <c r="F32" s="134" t="s">
        <v>11</v>
      </c>
      <c r="G32" s="111">
        <f>G33</f>
        <v>1593.8</v>
      </c>
      <c r="H32" s="111">
        <f>SUM(H33)</f>
        <v>0</v>
      </c>
      <c r="I32" s="111">
        <f>I33</f>
        <v>1593.8</v>
      </c>
      <c r="J32" s="114">
        <f t="shared" si="3"/>
        <v>0</v>
      </c>
      <c r="K32" s="111"/>
      <c r="L32" s="114">
        <f t="shared" si="3"/>
        <v>0</v>
      </c>
      <c r="M32" s="111">
        <f t="shared" si="3"/>
        <v>1593.8</v>
      </c>
      <c r="N32" s="111">
        <f t="shared" si="3"/>
        <v>0</v>
      </c>
      <c r="O32" s="111">
        <f t="shared" si="3"/>
        <v>1593.8</v>
      </c>
      <c r="P32" s="97">
        <f t="shared" si="0"/>
        <v>1593.8</v>
      </c>
      <c r="Q32" s="97">
        <f t="shared" si="1"/>
        <v>0</v>
      </c>
    </row>
    <row r="33" spans="1:17" ht="15.75" x14ac:dyDescent="0.2">
      <c r="A33" s="40"/>
      <c r="B33" s="113" t="s">
        <v>47</v>
      </c>
      <c r="C33" s="113" t="s">
        <v>28</v>
      </c>
      <c r="D33" s="133" t="s">
        <v>44</v>
      </c>
      <c r="E33" s="133" t="s">
        <v>46</v>
      </c>
      <c r="F33" s="134" t="s">
        <v>48</v>
      </c>
      <c r="G33" s="111">
        <v>1593.8</v>
      </c>
      <c r="H33" s="106"/>
      <c r="I33" s="111">
        <f>SUM(G33)</f>
        <v>1593.8</v>
      </c>
      <c r="J33" s="115">
        <v>0</v>
      </c>
      <c r="K33" s="106"/>
      <c r="L33" s="115">
        <v>0</v>
      </c>
      <c r="M33" s="111">
        <f>SUM(G33)</f>
        <v>1593.8</v>
      </c>
      <c r="N33" s="111">
        <f>SUM(H33)</f>
        <v>0</v>
      </c>
      <c r="O33" s="111">
        <f>SUM(I33)</f>
        <v>1593.8</v>
      </c>
      <c r="P33" s="97">
        <f t="shared" si="0"/>
        <v>1593.8</v>
      </c>
      <c r="Q33" s="97">
        <f t="shared" si="1"/>
        <v>0</v>
      </c>
    </row>
    <row r="34" spans="1:17" ht="31.5" x14ac:dyDescent="0.2">
      <c r="A34" s="20" t="s">
        <v>49</v>
      </c>
      <c r="B34" s="107" t="s">
        <v>50</v>
      </c>
      <c r="C34" s="107" t="s">
        <v>51</v>
      </c>
      <c r="D34" s="129" t="s">
        <v>11</v>
      </c>
      <c r="E34" s="129" t="s">
        <v>11</v>
      </c>
      <c r="F34" s="130" t="s">
        <v>11</v>
      </c>
      <c r="G34" s="106">
        <f t="shared" ref="G34:O34" si="4">G35+G123+G176+G261+G405+G428+G453+G464</f>
        <v>584306.4</v>
      </c>
      <c r="H34" s="106">
        <f>H35+H123+H176+H261+H405+H428+H453+H464</f>
        <v>-3598.2999999999975</v>
      </c>
      <c r="I34" s="106">
        <f t="shared" si="4"/>
        <v>580708.10000000009</v>
      </c>
      <c r="J34" s="106">
        <f t="shared" si="4"/>
        <v>1917859.9999999998</v>
      </c>
      <c r="K34" s="106">
        <f t="shared" si="4"/>
        <v>72000</v>
      </c>
      <c r="L34" s="106">
        <f t="shared" si="4"/>
        <v>1989859.9999999998</v>
      </c>
      <c r="M34" s="106">
        <f t="shared" si="4"/>
        <v>2501878.1999999997</v>
      </c>
      <c r="N34" s="106">
        <f t="shared" si="4"/>
        <v>68401.700000000012</v>
      </c>
      <c r="O34" s="106">
        <f t="shared" si="4"/>
        <v>2570279.8999999994</v>
      </c>
      <c r="P34" s="97">
        <f t="shared" si="0"/>
        <v>580708.1</v>
      </c>
      <c r="Q34" s="97">
        <f t="shared" si="1"/>
        <v>0</v>
      </c>
    </row>
    <row r="35" spans="1:17" ht="15.75" x14ac:dyDescent="0.2">
      <c r="A35" s="20" t="s">
        <v>52</v>
      </c>
      <c r="B35" s="107" t="s">
        <v>30</v>
      </c>
      <c r="C35" s="107" t="s">
        <v>51</v>
      </c>
      <c r="D35" s="129" t="s">
        <v>31</v>
      </c>
      <c r="E35" s="129" t="s">
        <v>11</v>
      </c>
      <c r="F35" s="130" t="s">
        <v>11</v>
      </c>
      <c r="G35" s="106">
        <f t="shared" ref="G35:O35" si="5">G36+G43+G61+G66</f>
        <v>108863.5</v>
      </c>
      <c r="H35" s="106">
        <f>H36+H43+H61+H66</f>
        <v>8787.7000000000007</v>
      </c>
      <c r="I35" s="106">
        <f t="shared" si="5"/>
        <v>117651.19999999998</v>
      </c>
      <c r="J35" s="106">
        <f t="shared" si="5"/>
        <v>868.1</v>
      </c>
      <c r="K35" s="106">
        <f t="shared" si="5"/>
        <v>0</v>
      </c>
      <c r="L35" s="106">
        <f t="shared" si="5"/>
        <v>868.1</v>
      </c>
      <c r="M35" s="106">
        <f t="shared" si="5"/>
        <v>109731.59999999999</v>
      </c>
      <c r="N35" s="106">
        <f t="shared" si="5"/>
        <v>8787.7000000000007</v>
      </c>
      <c r="O35" s="106">
        <f t="shared" si="5"/>
        <v>118519.29999999999</v>
      </c>
      <c r="P35" s="97">
        <f t="shared" si="0"/>
        <v>117651.2</v>
      </c>
      <c r="Q35" s="97">
        <f t="shared" si="1"/>
        <v>0</v>
      </c>
    </row>
    <row r="36" spans="1:17" ht="47.25" x14ac:dyDescent="0.2">
      <c r="A36" s="33" t="s">
        <v>53</v>
      </c>
      <c r="B36" s="110" t="s">
        <v>54</v>
      </c>
      <c r="C36" s="110" t="s">
        <v>51</v>
      </c>
      <c r="D36" s="131" t="s">
        <v>55</v>
      </c>
      <c r="E36" s="131" t="s">
        <v>11</v>
      </c>
      <c r="F36" s="132" t="s">
        <v>11</v>
      </c>
      <c r="G36" s="109">
        <f t="shared" ref="G36:O39" si="6">G37</f>
        <v>2268.1</v>
      </c>
      <c r="H36" s="111">
        <f t="shared" si="6"/>
        <v>256.60000000000002</v>
      </c>
      <c r="I36" s="109">
        <f t="shared" si="6"/>
        <v>2524.6999999999998</v>
      </c>
      <c r="J36" s="112">
        <f t="shared" si="6"/>
        <v>0</v>
      </c>
      <c r="K36" s="111">
        <f>K37</f>
        <v>0</v>
      </c>
      <c r="L36" s="112">
        <f t="shared" si="6"/>
        <v>0</v>
      </c>
      <c r="M36" s="109">
        <f t="shared" si="6"/>
        <v>2268.1</v>
      </c>
      <c r="N36" s="109">
        <f t="shared" si="6"/>
        <v>256.60000000000002</v>
      </c>
      <c r="O36" s="109">
        <f t="shared" si="6"/>
        <v>2524.6999999999998</v>
      </c>
      <c r="P36" s="97">
        <f t="shared" si="0"/>
        <v>2524.6999999999998</v>
      </c>
      <c r="Q36" s="97">
        <f t="shared" si="1"/>
        <v>0</v>
      </c>
    </row>
    <row r="37" spans="1:17" ht="31.5" x14ac:dyDescent="0.2">
      <c r="A37" s="40"/>
      <c r="B37" s="113" t="s">
        <v>56</v>
      </c>
      <c r="C37" s="113" t="s">
        <v>51</v>
      </c>
      <c r="D37" s="133" t="s">
        <v>55</v>
      </c>
      <c r="E37" s="133" t="s">
        <v>57</v>
      </c>
      <c r="F37" s="134" t="s">
        <v>11</v>
      </c>
      <c r="G37" s="111">
        <f t="shared" si="6"/>
        <v>2268.1</v>
      </c>
      <c r="H37" s="111">
        <f t="shared" si="6"/>
        <v>256.60000000000002</v>
      </c>
      <c r="I37" s="111">
        <f t="shared" si="6"/>
        <v>2524.6999999999998</v>
      </c>
      <c r="J37" s="114">
        <f t="shared" si="6"/>
        <v>0</v>
      </c>
      <c r="K37" s="111">
        <f>K38</f>
        <v>0</v>
      </c>
      <c r="L37" s="114">
        <f t="shared" si="6"/>
        <v>0</v>
      </c>
      <c r="M37" s="111">
        <f t="shared" si="6"/>
        <v>2268.1</v>
      </c>
      <c r="N37" s="111">
        <f t="shared" si="6"/>
        <v>256.60000000000002</v>
      </c>
      <c r="O37" s="111">
        <f t="shared" si="6"/>
        <v>2524.6999999999998</v>
      </c>
      <c r="P37" s="97">
        <f t="shared" si="0"/>
        <v>2524.6999999999998</v>
      </c>
      <c r="Q37" s="97">
        <f t="shared" si="1"/>
        <v>0</v>
      </c>
    </row>
    <row r="38" spans="1:17" ht="31.5" x14ac:dyDescent="0.2">
      <c r="A38" s="40"/>
      <c r="B38" s="113" t="s">
        <v>58</v>
      </c>
      <c r="C38" s="113" t="s">
        <v>51</v>
      </c>
      <c r="D38" s="133" t="s">
        <v>55</v>
      </c>
      <c r="E38" s="133" t="s">
        <v>59</v>
      </c>
      <c r="F38" s="134" t="s">
        <v>11</v>
      </c>
      <c r="G38" s="111">
        <f t="shared" si="6"/>
        <v>2268.1</v>
      </c>
      <c r="H38" s="111">
        <f>H39+H41</f>
        <v>256.60000000000002</v>
      </c>
      <c r="I38" s="111">
        <f>I39+I41</f>
        <v>2524.6999999999998</v>
      </c>
      <c r="J38" s="114">
        <f t="shared" si="6"/>
        <v>0</v>
      </c>
      <c r="K38" s="111">
        <f>K39</f>
        <v>0</v>
      </c>
      <c r="L38" s="114">
        <f t="shared" si="6"/>
        <v>0</v>
      </c>
      <c r="M38" s="111">
        <f t="shared" si="6"/>
        <v>2268.1</v>
      </c>
      <c r="N38" s="111">
        <f>N39+H38</f>
        <v>256.60000000000002</v>
      </c>
      <c r="O38" s="111">
        <f>O39+N38</f>
        <v>2524.6999999999998</v>
      </c>
      <c r="P38" s="97">
        <f t="shared" si="0"/>
        <v>2524.6999999999998</v>
      </c>
      <c r="Q38" s="97">
        <f t="shared" si="1"/>
        <v>0</v>
      </c>
    </row>
    <row r="39" spans="1:17" ht="31.5" x14ac:dyDescent="0.2">
      <c r="A39" s="40"/>
      <c r="B39" s="113" t="s">
        <v>38</v>
      </c>
      <c r="C39" s="113" t="s">
        <v>51</v>
      </c>
      <c r="D39" s="133" t="s">
        <v>55</v>
      </c>
      <c r="E39" s="133" t="s">
        <v>60</v>
      </c>
      <c r="F39" s="134" t="s">
        <v>11</v>
      </c>
      <c r="G39" s="111">
        <f>G40</f>
        <v>2268.1</v>
      </c>
      <c r="H39" s="109"/>
      <c r="I39" s="111">
        <f>I40</f>
        <v>2268.1</v>
      </c>
      <c r="J39" s="114">
        <f t="shared" si="6"/>
        <v>0</v>
      </c>
      <c r="K39" s="111"/>
      <c r="L39" s="114">
        <f t="shared" si="6"/>
        <v>0</v>
      </c>
      <c r="M39" s="111">
        <f t="shared" si="6"/>
        <v>2268.1</v>
      </c>
      <c r="N39" s="111">
        <f t="shared" si="6"/>
        <v>0</v>
      </c>
      <c r="O39" s="111">
        <f t="shared" si="6"/>
        <v>2268.1</v>
      </c>
      <c r="P39" s="97">
        <f t="shared" si="0"/>
        <v>2268.1</v>
      </c>
      <c r="Q39" s="97">
        <f t="shared" si="1"/>
        <v>0</v>
      </c>
    </row>
    <row r="40" spans="1:17" ht="31.15" customHeight="1" x14ac:dyDescent="0.2">
      <c r="A40" s="40"/>
      <c r="B40" s="113" t="s">
        <v>61</v>
      </c>
      <c r="C40" s="113" t="s">
        <v>51</v>
      </c>
      <c r="D40" s="133" t="s">
        <v>55</v>
      </c>
      <c r="E40" s="133" t="s">
        <v>60</v>
      </c>
      <c r="F40" s="134" t="s">
        <v>62</v>
      </c>
      <c r="G40" s="111">
        <v>2268.1</v>
      </c>
      <c r="H40" s="109"/>
      <c r="I40" s="111">
        <f>SUM(G40)</f>
        <v>2268.1</v>
      </c>
      <c r="J40" s="115">
        <v>0</v>
      </c>
      <c r="K40" s="109"/>
      <c r="L40" s="115">
        <v>0</v>
      </c>
      <c r="M40" s="111">
        <f>SUM(G40)</f>
        <v>2268.1</v>
      </c>
      <c r="N40" s="111">
        <f>SUM(H40)</f>
        <v>0</v>
      </c>
      <c r="O40" s="111">
        <f>SUM(I40)</f>
        <v>2268.1</v>
      </c>
      <c r="P40" s="97">
        <f t="shared" si="0"/>
        <v>2268.1</v>
      </c>
      <c r="Q40" s="97">
        <f t="shared" si="1"/>
        <v>0</v>
      </c>
    </row>
    <row r="41" spans="1:17" ht="109.5" customHeight="1" x14ac:dyDescent="0.2">
      <c r="A41" s="40"/>
      <c r="B41" s="135" t="s">
        <v>607</v>
      </c>
      <c r="C41" s="113">
        <v>992</v>
      </c>
      <c r="D41" s="133" t="s">
        <v>55</v>
      </c>
      <c r="E41" s="133">
        <v>5010000390</v>
      </c>
      <c r="F41" s="134"/>
      <c r="G41" s="111"/>
      <c r="H41" s="109">
        <f>SUM(H42)</f>
        <v>256.60000000000002</v>
      </c>
      <c r="I41" s="111">
        <f>SUM(H41)</f>
        <v>256.60000000000002</v>
      </c>
      <c r="J41" s="115"/>
      <c r="K41" s="109"/>
      <c r="L41" s="115"/>
      <c r="M41" s="111"/>
      <c r="N41" s="111">
        <f>SUM(H41)</f>
        <v>256.60000000000002</v>
      </c>
      <c r="O41" s="111">
        <f>SUM(I41)</f>
        <v>256.60000000000002</v>
      </c>
      <c r="P41" s="97"/>
      <c r="Q41" s="97"/>
    </row>
    <row r="42" spans="1:17" ht="31.15" customHeight="1" x14ac:dyDescent="0.2">
      <c r="A42" s="40"/>
      <c r="B42" s="113" t="s">
        <v>61</v>
      </c>
      <c r="C42" s="113">
        <v>992</v>
      </c>
      <c r="D42" s="133" t="s">
        <v>55</v>
      </c>
      <c r="E42" s="133">
        <v>5010000390</v>
      </c>
      <c r="F42" s="134">
        <v>100</v>
      </c>
      <c r="G42" s="111"/>
      <c r="H42" s="109">
        <v>256.60000000000002</v>
      </c>
      <c r="I42" s="111">
        <f>SUM(H42)</f>
        <v>256.60000000000002</v>
      </c>
      <c r="J42" s="115"/>
      <c r="K42" s="109"/>
      <c r="L42" s="115"/>
      <c r="M42" s="111"/>
      <c r="N42" s="111">
        <f>SUM(H42)</f>
        <v>256.60000000000002</v>
      </c>
      <c r="O42" s="111">
        <f>SUM(I42)</f>
        <v>256.60000000000002</v>
      </c>
      <c r="P42" s="97"/>
      <c r="Q42" s="97"/>
    </row>
    <row r="43" spans="1:17" ht="63" x14ac:dyDescent="0.2">
      <c r="A43" s="33" t="s">
        <v>63</v>
      </c>
      <c r="B43" s="110" t="s">
        <v>64</v>
      </c>
      <c r="C43" s="110" t="s">
        <v>51</v>
      </c>
      <c r="D43" s="131" t="s">
        <v>65</v>
      </c>
      <c r="E43" s="131" t="s">
        <v>11</v>
      </c>
      <c r="F43" s="132" t="s">
        <v>11</v>
      </c>
      <c r="G43" s="109">
        <f>G44</f>
        <v>35728.5</v>
      </c>
      <c r="H43" s="111">
        <f>H44</f>
        <v>8328.1</v>
      </c>
      <c r="I43" s="109">
        <f>I44</f>
        <v>44056.6</v>
      </c>
      <c r="J43" s="112">
        <f>J44</f>
        <v>768.1</v>
      </c>
      <c r="K43" s="111">
        <f>K44+K51</f>
        <v>0</v>
      </c>
      <c r="L43" s="112">
        <f>L44</f>
        <v>768.1</v>
      </c>
      <c r="M43" s="109">
        <f>M44</f>
        <v>36496.6</v>
      </c>
      <c r="N43" s="109">
        <f>N44</f>
        <v>8328.1</v>
      </c>
      <c r="O43" s="109">
        <f>O44</f>
        <v>44824.7</v>
      </c>
      <c r="P43" s="97">
        <f t="shared" si="0"/>
        <v>44056.6</v>
      </c>
      <c r="Q43" s="97">
        <f t="shared" si="1"/>
        <v>0</v>
      </c>
    </row>
    <row r="44" spans="1:17" ht="31.5" x14ac:dyDescent="0.2">
      <c r="A44" s="40"/>
      <c r="B44" s="113" t="s">
        <v>66</v>
      </c>
      <c r="C44" s="113" t="s">
        <v>51</v>
      </c>
      <c r="D44" s="133" t="s">
        <v>65</v>
      </c>
      <c r="E44" s="133" t="s">
        <v>67</v>
      </c>
      <c r="F44" s="134" t="s">
        <v>11</v>
      </c>
      <c r="G44" s="111">
        <f>G45+G54</f>
        <v>35728.5</v>
      </c>
      <c r="H44" s="111">
        <f>H45</f>
        <v>8328.1</v>
      </c>
      <c r="I44" s="111">
        <f>I45+I54</f>
        <v>44056.6</v>
      </c>
      <c r="J44" s="114">
        <f>J45+J54</f>
        <v>768.1</v>
      </c>
      <c r="K44" s="111">
        <f>K45</f>
        <v>0</v>
      </c>
      <c r="L44" s="114">
        <f>L45+L54</f>
        <v>768.1</v>
      </c>
      <c r="M44" s="111">
        <f>M45+M54</f>
        <v>36496.6</v>
      </c>
      <c r="N44" s="111">
        <f>N45+N54</f>
        <v>8328.1</v>
      </c>
      <c r="O44" s="111">
        <f>O45+O54</f>
        <v>44824.7</v>
      </c>
      <c r="P44" s="97">
        <f t="shared" si="0"/>
        <v>44056.6</v>
      </c>
      <c r="Q44" s="97">
        <f t="shared" si="1"/>
        <v>0</v>
      </c>
    </row>
    <row r="45" spans="1:17" ht="31.5" x14ac:dyDescent="0.2">
      <c r="A45" s="40"/>
      <c r="B45" s="113" t="s">
        <v>50</v>
      </c>
      <c r="C45" s="113" t="s">
        <v>51</v>
      </c>
      <c r="D45" s="133" t="s">
        <v>65</v>
      </c>
      <c r="E45" s="133" t="s">
        <v>68</v>
      </c>
      <c r="F45" s="134" t="s">
        <v>11</v>
      </c>
      <c r="G45" s="111">
        <f>G46</f>
        <v>35728.5</v>
      </c>
      <c r="H45" s="111">
        <f>H46+H48+H52</f>
        <v>8328.1</v>
      </c>
      <c r="I45" s="111">
        <f>I46+I48+I52</f>
        <v>44056.6</v>
      </c>
      <c r="J45" s="114">
        <f>J46</f>
        <v>0</v>
      </c>
      <c r="K45" s="111">
        <f>K46+K47+K50</f>
        <v>0</v>
      </c>
      <c r="L45" s="114">
        <f>L46</f>
        <v>0</v>
      </c>
      <c r="M45" s="111">
        <f>M46</f>
        <v>35728.5</v>
      </c>
      <c r="N45" s="111">
        <f>SUM(H45)</f>
        <v>8328.1</v>
      </c>
      <c r="O45" s="111">
        <f>O46+O48+O52</f>
        <v>44056.6</v>
      </c>
      <c r="P45" s="97">
        <f t="shared" si="0"/>
        <v>44056.6</v>
      </c>
      <c r="Q45" s="97">
        <f t="shared" si="1"/>
        <v>0</v>
      </c>
    </row>
    <row r="46" spans="1:17" ht="31.5" x14ac:dyDescent="0.2">
      <c r="A46" s="40"/>
      <c r="B46" s="113" t="s">
        <v>38</v>
      </c>
      <c r="C46" s="113" t="s">
        <v>51</v>
      </c>
      <c r="D46" s="133" t="s">
        <v>65</v>
      </c>
      <c r="E46" s="133" t="s">
        <v>69</v>
      </c>
      <c r="F46" s="134" t="s">
        <v>11</v>
      </c>
      <c r="G46" s="111">
        <f>G47+G50+G51</f>
        <v>35728.5</v>
      </c>
      <c r="H46" s="111">
        <f>SUM(H47)+H50+H51</f>
        <v>0</v>
      </c>
      <c r="I46" s="111">
        <f>I47+I50+I51</f>
        <v>35728.5</v>
      </c>
      <c r="J46" s="114">
        <f>J47+J50+J51</f>
        <v>0</v>
      </c>
      <c r="K46" s="111"/>
      <c r="L46" s="114">
        <f>L47+L50+L51</f>
        <v>0</v>
      </c>
      <c r="M46" s="111">
        <f>M47+M50+M51</f>
        <v>35728.5</v>
      </c>
      <c r="N46" s="111">
        <f>N47+N50+N51</f>
        <v>0</v>
      </c>
      <c r="O46" s="111">
        <f>O47+O50+O51</f>
        <v>35728.5</v>
      </c>
      <c r="P46" s="97">
        <f t="shared" si="0"/>
        <v>35728.5</v>
      </c>
      <c r="Q46" s="97">
        <f t="shared" si="1"/>
        <v>0</v>
      </c>
    </row>
    <row r="47" spans="1:17" ht="75.75" customHeight="1" x14ac:dyDescent="0.2">
      <c r="A47" s="40"/>
      <c r="B47" s="113" t="s">
        <v>61</v>
      </c>
      <c r="C47" s="113" t="s">
        <v>51</v>
      </c>
      <c r="D47" s="133" t="s">
        <v>65</v>
      </c>
      <c r="E47" s="133" t="s">
        <v>69</v>
      </c>
      <c r="F47" s="134" t="s">
        <v>62</v>
      </c>
      <c r="G47" s="111">
        <v>35427.800000000003</v>
      </c>
      <c r="H47" s="111"/>
      <c r="I47" s="111">
        <f>SUM(G47)+H47</f>
        <v>35427.800000000003</v>
      </c>
      <c r="J47" s="115">
        <v>0</v>
      </c>
      <c r="K47" s="111"/>
      <c r="L47" s="115">
        <v>0</v>
      </c>
      <c r="M47" s="111">
        <f t="shared" ref="M47:N51" si="7">SUM(G47)</f>
        <v>35427.800000000003</v>
      </c>
      <c r="N47" s="111">
        <f t="shared" si="7"/>
        <v>0</v>
      </c>
      <c r="O47" s="111">
        <f>SUM(N47)+M47</f>
        <v>35427.800000000003</v>
      </c>
      <c r="P47" s="97">
        <f t="shared" si="0"/>
        <v>35427.800000000003</v>
      </c>
      <c r="Q47" s="97">
        <f t="shared" si="1"/>
        <v>0</v>
      </c>
    </row>
    <row r="48" spans="1:17" ht="94.5" hidden="1" x14ac:dyDescent="0.2">
      <c r="A48" s="40"/>
      <c r="B48" s="135" t="s">
        <v>607</v>
      </c>
      <c r="C48" s="113">
        <v>992</v>
      </c>
      <c r="D48" s="133" t="s">
        <v>65</v>
      </c>
      <c r="E48" s="133">
        <v>5210000390</v>
      </c>
      <c r="F48" s="134"/>
      <c r="G48" s="111"/>
      <c r="H48" s="111">
        <f>SUM(H49)</f>
        <v>0</v>
      </c>
      <c r="I48" s="111">
        <f>SUM(H48)</f>
        <v>0</v>
      </c>
      <c r="J48" s="115"/>
      <c r="K48" s="111"/>
      <c r="L48" s="115"/>
      <c r="M48" s="111"/>
      <c r="N48" s="111">
        <f>SUM(H48)</f>
        <v>0</v>
      </c>
      <c r="O48" s="111">
        <f>SUM(I48)</f>
        <v>0</v>
      </c>
      <c r="P48" s="97"/>
      <c r="Q48" s="97"/>
    </row>
    <row r="49" spans="1:17" ht="78.75" hidden="1" x14ac:dyDescent="0.2">
      <c r="A49" s="40"/>
      <c r="B49" s="113" t="s">
        <v>61</v>
      </c>
      <c r="C49" s="113">
        <v>992</v>
      </c>
      <c r="D49" s="133" t="s">
        <v>65</v>
      </c>
      <c r="E49" s="133">
        <v>5210000390</v>
      </c>
      <c r="F49" s="134">
        <v>100</v>
      </c>
      <c r="G49" s="111"/>
      <c r="H49" s="111"/>
      <c r="I49" s="111">
        <f>SUM(H49)</f>
        <v>0</v>
      </c>
      <c r="J49" s="115"/>
      <c r="K49" s="111"/>
      <c r="L49" s="115"/>
      <c r="M49" s="111"/>
      <c r="N49" s="111">
        <f>SUM(H49)</f>
        <v>0</v>
      </c>
      <c r="O49" s="111">
        <f>SUM(I49)</f>
        <v>0</v>
      </c>
      <c r="P49" s="97"/>
      <c r="Q49" s="97"/>
    </row>
    <row r="50" spans="1:17" ht="31.5" x14ac:dyDescent="0.2">
      <c r="A50" s="40"/>
      <c r="B50" s="113" t="s">
        <v>40</v>
      </c>
      <c r="C50" s="113" t="s">
        <v>51</v>
      </c>
      <c r="D50" s="133" t="s">
        <v>65</v>
      </c>
      <c r="E50" s="133" t="s">
        <v>69</v>
      </c>
      <c r="F50" s="134" t="s">
        <v>41</v>
      </c>
      <c r="G50" s="111">
        <v>260.7</v>
      </c>
      <c r="H50" s="111"/>
      <c r="I50" s="111">
        <v>260.7</v>
      </c>
      <c r="J50" s="115">
        <v>0</v>
      </c>
      <c r="K50" s="111"/>
      <c r="L50" s="115">
        <v>0</v>
      </c>
      <c r="M50" s="111">
        <f t="shared" si="7"/>
        <v>260.7</v>
      </c>
      <c r="N50" s="111">
        <f t="shared" si="7"/>
        <v>0</v>
      </c>
      <c r="O50" s="111">
        <f>SUM(I50)</f>
        <v>260.7</v>
      </c>
      <c r="P50" s="97">
        <f t="shared" si="0"/>
        <v>260.7</v>
      </c>
      <c r="Q50" s="97">
        <f t="shared" si="1"/>
        <v>0</v>
      </c>
    </row>
    <row r="51" spans="1:17" ht="15.75" x14ac:dyDescent="0.2">
      <c r="A51" s="40"/>
      <c r="B51" s="113" t="s">
        <v>70</v>
      </c>
      <c r="C51" s="113" t="s">
        <v>51</v>
      </c>
      <c r="D51" s="133" t="s">
        <v>65</v>
      </c>
      <c r="E51" s="133" t="s">
        <v>69</v>
      </c>
      <c r="F51" s="134" t="s">
        <v>71</v>
      </c>
      <c r="G51" s="111">
        <v>40</v>
      </c>
      <c r="H51" s="111"/>
      <c r="I51" s="111">
        <f>SUM(G51)+H51</f>
        <v>40</v>
      </c>
      <c r="J51" s="115">
        <v>0</v>
      </c>
      <c r="K51" s="111">
        <f>K58</f>
        <v>0</v>
      </c>
      <c r="L51" s="115">
        <v>0</v>
      </c>
      <c r="M51" s="111">
        <f t="shared" si="7"/>
        <v>40</v>
      </c>
      <c r="N51" s="111">
        <f t="shared" si="7"/>
        <v>0</v>
      </c>
      <c r="O51" s="111">
        <f>SUM(I51)</f>
        <v>40</v>
      </c>
      <c r="P51" s="97">
        <f t="shared" si="0"/>
        <v>40</v>
      </c>
      <c r="Q51" s="97">
        <f t="shared" si="1"/>
        <v>0</v>
      </c>
    </row>
    <row r="52" spans="1:17" ht="94.5" x14ac:dyDescent="0.2">
      <c r="A52" s="40"/>
      <c r="B52" s="135" t="s">
        <v>607</v>
      </c>
      <c r="C52" s="113">
        <v>992</v>
      </c>
      <c r="D52" s="133" t="s">
        <v>65</v>
      </c>
      <c r="E52" s="133">
        <v>5210000390</v>
      </c>
      <c r="F52" s="134"/>
      <c r="G52" s="111"/>
      <c r="H52" s="111">
        <f>SUM(H53)</f>
        <v>8328.1</v>
      </c>
      <c r="I52" s="111">
        <f>SUM(I53)</f>
        <v>8328.1</v>
      </c>
      <c r="J52" s="115"/>
      <c r="K52" s="111"/>
      <c r="L52" s="115"/>
      <c r="M52" s="111"/>
      <c r="N52" s="111">
        <f>SUM(H52)</f>
        <v>8328.1</v>
      </c>
      <c r="O52" s="111">
        <f>SUM(I52)</f>
        <v>8328.1</v>
      </c>
      <c r="P52" s="97"/>
      <c r="Q52" s="97"/>
    </row>
    <row r="53" spans="1:17" ht="78.75" x14ac:dyDescent="0.2">
      <c r="A53" s="40"/>
      <c r="B53" s="113" t="s">
        <v>61</v>
      </c>
      <c r="C53" s="113">
        <v>992</v>
      </c>
      <c r="D53" s="133" t="s">
        <v>65</v>
      </c>
      <c r="E53" s="133">
        <v>5210000390</v>
      </c>
      <c r="F53" s="134">
        <v>100</v>
      </c>
      <c r="G53" s="111"/>
      <c r="H53" s="111">
        <v>8328.1</v>
      </c>
      <c r="I53" s="111">
        <f>SUM(H53)</f>
        <v>8328.1</v>
      </c>
      <c r="J53" s="115"/>
      <c r="K53" s="111"/>
      <c r="L53" s="115"/>
      <c r="M53" s="111"/>
      <c r="N53" s="111">
        <f>SUM(H53)</f>
        <v>8328.1</v>
      </c>
      <c r="O53" s="111">
        <f>SUM(I53)</f>
        <v>8328.1</v>
      </c>
      <c r="P53" s="97"/>
      <c r="Q53" s="97"/>
    </row>
    <row r="54" spans="1:17" ht="31.5" x14ac:dyDescent="0.2">
      <c r="A54" s="40"/>
      <c r="B54" s="113" t="s">
        <v>72</v>
      </c>
      <c r="C54" s="113" t="s">
        <v>51</v>
      </c>
      <c r="D54" s="133" t="s">
        <v>65</v>
      </c>
      <c r="E54" s="133" t="s">
        <v>73</v>
      </c>
      <c r="F54" s="134" t="s">
        <v>11</v>
      </c>
      <c r="G54" s="111">
        <f>G59</f>
        <v>0</v>
      </c>
      <c r="H54" s="111">
        <f>H55</f>
        <v>0</v>
      </c>
      <c r="I54" s="111">
        <f>I59</f>
        <v>0</v>
      </c>
      <c r="J54" s="115">
        <f>J59+J55</f>
        <v>768.1</v>
      </c>
      <c r="K54" s="111">
        <f>K55</f>
        <v>0</v>
      </c>
      <c r="L54" s="115">
        <f>L59+L55</f>
        <v>768.1</v>
      </c>
      <c r="M54" s="111">
        <f>M59+M55</f>
        <v>768.1</v>
      </c>
      <c r="N54" s="111">
        <f>N59</f>
        <v>0</v>
      </c>
      <c r="O54" s="111">
        <f>O59+O55</f>
        <v>768.1</v>
      </c>
      <c r="P54" s="97">
        <f t="shared" si="0"/>
        <v>0</v>
      </c>
      <c r="Q54" s="97">
        <f t="shared" si="1"/>
        <v>0</v>
      </c>
    </row>
    <row r="55" spans="1:17" ht="129" customHeight="1" x14ac:dyDescent="0.2">
      <c r="A55" s="40"/>
      <c r="B55" s="135" t="s">
        <v>74</v>
      </c>
      <c r="C55" s="113">
        <v>992</v>
      </c>
      <c r="D55" s="133" t="s">
        <v>65</v>
      </c>
      <c r="E55" s="133">
        <v>5220060140</v>
      </c>
      <c r="F55" s="134"/>
      <c r="G55" s="111">
        <f>G56</f>
        <v>0</v>
      </c>
      <c r="H55" s="111">
        <v>0</v>
      </c>
      <c r="I55" s="111">
        <f>I56</f>
        <v>0</v>
      </c>
      <c r="J55" s="115">
        <f>SUM(J57+J56)</f>
        <v>755.7</v>
      </c>
      <c r="K55" s="111">
        <v>0</v>
      </c>
      <c r="L55" s="115">
        <f>SUM(L57+L56)</f>
        <v>755.7</v>
      </c>
      <c r="M55" s="111">
        <f>M56+M57</f>
        <v>755.7</v>
      </c>
      <c r="N55" s="111"/>
      <c r="O55" s="111">
        <f>O56+O57</f>
        <v>755.7</v>
      </c>
      <c r="P55" s="97">
        <f t="shared" si="0"/>
        <v>0</v>
      </c>
      <c r="Q55" s="97">
        <f t="shared" si="1"/>
        <v>0</v>
      </c>
    </row>
    <row r="56" spans="1:17" ht="78.75" x14ac:dyDescent="0.2">
      <c r="A56" s="40"/>
      <c r="B56" s="113" t="s">
        <v>61</v>
      </c>
      <c r="C56" s="113">
        <v>992</v>
      </c>
      <c r="D56" s="133" t="s">
        <v>65</v>
      </c>
      <c r="E56" s="133">
        <v>5220060140</v>
      </c>
      <c r="F56" s="134">
        <v>100</v>
      </c>
      <c r="G56" s="111">
        <v>0</v>
      </c>
      <c r="H56" s="111">
        <v>0</v>
      </c>
      <c r="I56" s="111">
        <v>0</v>
      </c>
      <c r="J56" s="115">
        <v>755.7</v>
      </c>
      <c r="K56" s="111">
        <v>0</v>
      </c>
      <c r="L56" s="115">
        <f>J56+K56</f>
        <v>755.7</v>
      </c>
      <c r="M56" s="111">
        <f>G56+J56</f>
        <v>755.7</v>
      </c>
      <c r="N56" s="111">
        <f>SUM(K56)</f>
        <v>0</v>
      </c>
      <c r="O56" s="111">
        <f>M56+N56</f>
        <v>755.7</v>
      </c>
      <c r="P56" s="97">
        <f t="shared" si="0"/>
        <v>0</v>
      </c>
      <c r="Q56" s="97">
        <f t="shared" si="1"/>
        <v>0</v>
      </c>
    </row>
    <row r="57" spans="1:17" ht="31.5" x14ac:dyDescent="0.2">
      <c r="A57" s="40"/>
      <c r="B57" s="113" t="s">
        <v>40</v>
      </c>
      <c r="C57" s="113">
        <v>992</v>
      </c>
      <c r="D57" s="133" t="s">
        <v>65</v>
      </c>
      <c r="E57" s="133">
        <v>5220060140</v>
      </c>
      <c r="F57" s="134">
        <v>200</v>
      </c>
      <c r="G57" s="111">
        <v>0</v>
      </c>
      <c r="H57" s="111"/>
      <c r="I57" s="111">
        <v>0</v>
      </c>
      <c r="J57" s="115">
        <v>0</v>
      </c>
      <c r="K57" s="111">
        <v>0</v>
      </c>
      <c r="L57" s="115">
        <f>J57+K57</f>
        <v>0</v>
      </c>
      <c r="M57" s="111">
        <f>G57+J57</f>
        <v>0</v>
      </c>
      <c r="N57" s="111">
        <f>SUM(K57)</f>
        <v>0</v>
      </c>
      <c r="O57" s="111">
        <v>0</v>
      </c>
      <c r="P57" s="97">
        <f t="shared" si="0"/>
        <v>0</v>
      </c>
      <c r="Q57" s="97">
        <f t="shared" si="1"/>
        <v>0</v>
      </c>
    </row>
    <row r="58" spans="1:17" ht="15.75" hidden="1" x14ac:dyDescent="0.2">
      <c r="A58" s="40"/>
      <c r="B58" s="113"/>
      <c r="C58" s="113"/>
      <c r="D58" s="133"/>
      <c r="E58" s="133"/>
      <c r="F58" s="134"/>
      <c r="G58" s="111"/>
      <c r="H58" s="111">
        <f t="shared" ref="G58:O59" si="8">H59</f>
        <v>0</v>
      </c>
      <c r="I58" s="111"/>
      <c r="J58" s="115"/>
      <c r="K58" s="111">
        <f t="shared" si="8"/>
        <v>0</v>
      </c>
      <c r="L58" s="115"/>
      <c r="M58" s="111"/>
      <c r="N58" s="111"/>
      <c r="O58" s="111"/>
      <c r="P58" s="97">
        <f t="shared" si="0"/>
        <v>0</v>
      </c>
      <c r="Q58" s="97">
        <f t="shared" si="1"/>
        <v>0</v>
      </c>
    </row>
    <row r="59" spans="1:17" ht="47.25" x14ac:dyDescent="0.2">
      <c r="A59" s="40"/>
      <c r="B59" s="113" t="s">
        <v>75</v>
      </c>
      <c r="C59" s="113" t="s">
        <v>51</v>
      </c>
      <c r="D59" s="133" t="s">
        <v>65</v>
      </c>
      <c r="E59" s="133" t="s">
        <v>76</v>
      </c>
      <c r="F59" s="134" t="s">
        <v>11</v>
      </c>
      <c r="G59" s="111">
        <f t="shared" si="8"/>
        <v>0</v>
      </c>
      <c r="H59" s="111">
        <v>0</v>
      </c>
      <c r="I59" s="111">
        <f t="shared" si="8"/>
        <v>0</v>
      </c>
      <c r="J59" s="115">
        <f t="shared" si="8"/>
        <v>12.4</v>
      </c>
      <c r="K59" s="111">
        <v>0</v>
      </c>
      <c r="L59" s="115">
        <f t="shared" si="8"/>
        <v>12.4</v>
      </c>
      <c r="M59" s="111">
        <f t="shared" si="8"/>
        <v>12.4</v>
      </c>
      <c r="N59" s="111">
        <f t="shared" si="8"/>
        <v>0</v>
      </c>
      <c r="O59" s="111">
        <f t="shared" si="8"/>
        <v>12.4</v>
      </c>
      <c r="P59" s="97">
        <f t="shared" si="0"/>
        <v>0</v>
      </c>
      <c r="Q59" s="97">
        <f t="shared" si="1"/>
        <v>0</v>
      </c>
    </row>
    <row r="60" spans="1:17" ht="31.5" x14ac:dyDescent="0.2">
      <c r="A60" s="40"/>
      <c r="B60" s="113" t="s">
        <v>40</v>
      </c>
      <c r="C60" s="113" t="s">
        <v>51</v>
      </c>
      <c r="D60" s="133" t="s">
        <v>65</v>
      </c>
      <c r="E60" s="133" t="s">
        <v>76</v>
      </c>
      <c r="F60" s="134" t="s">
        <v>41</v>
      </c>
      <c r="G60" s="111">
        <v>0</v>
      </c>
      <c r="H60" s="109"/>
      <c r="I60" s="111">
        <v>0</v>
      </c>
      <c r="J60" s="115">
        <v>12.4</v>
      </c>
      <c r="K60" s="109"/>
      <c r="L60" s="115">
        <v>12.4</v>
      </c>
      <c r="M60" s="111">
        <v>12.4</v>
      </c>
      <c r="N60" s="111">
        <v>0</v>
      </c>
      <c r="O60" s="111">
        <v>12.4</v>
      </c>
      <c r="P60" s="97">
        <f t="shared" si="0"/>
        <v>0</v>
      </c>
      <c r="Q60" s="97">
        <f t="shared" si="1"/>
        <v>0</v>
      </c>
    </row>
    <row r="61" spans="1:17" ht="15.75" x14ac:dyDescent="0.2">
      <c r="A61" s="33" t="s">
        <v>77</v>
      </c>
      <c r="B61" s="110" t="s">
        <v>78</v>
      </c>
      <c r="C61" s="110" t="s">
        <v>51</v>
      </c>
      <c r="D61" s="131" t="s">
        <v>79</v>
      </c>
      <c r="E61" s="131" t="s">
        <v>11</v>
      </c>
      <c r="F61" s="132" t="s">
        <v>11</v>
      </c>
      <c r="G61" s="109">
        <f t="shared" ref="G61:O64" si="9">G62</f>
        <v>1920.7</v>
      </c>
      <c r="H61" s="111">
        <f t="shared" si="9"/>
        <v>-116.7</v>
      </c>
      <c r="I61" s="109">
        <f t="shared" si="9"/>
        <v>1804</v>
      </c>
      <c r="J61" s="112">
        <f t="shared" si="9"/>
        <v>0</v>
      </c>
      <c r="K61" s="111">
        <f>K62</f>
        <v>0</v>
      </c>
      <c r="L61" s="112">
        <f t="shared" si="9"/>
        <v>0</v>
      </c>
      <c r="M61" s="109">
        <f t="shared" si="9"/>
        <v>1920.7</v>
      </c>
      <c r="N61" s="109">
        <f t="shared" si="9"/>
        <v>-116.7</v>
      </c>
      <c r="O61" s="109">
        <f t="shared" si="9"/>
        <v>1804</v>
      </c>
      <c r="P61" s="97">
        <f t="shared" si="0"/>
        <v>1804</v>
      </c>
      <c r="Q61" s="97">
        <f t="shared" si="1"/>
        <v>0</v>
      </c>
    </row>
    <row r="62" spans="1:17" ht="31.5" x14ac:dyDescent="0.2">
      <c r="A62" s="40"/>
      <c r="B62" s="113" t="s">
        <v>66</v>
      </c>
      <c r="C62" s="113" t="s">
        <v>51</v>
      </c>
      <c r="D62" s="133" t="s">
        <v>79</v>
      </c>
      <c r="E62" s="133" t="s">
        <v>67</v>
      </c>
      <c r="F62" s="134" t="s">
        <v>11</v>
      </c>
      <c r="G62" s="111">
        <f t="shared" si="9"/>
        <v>1920.7</v>
      </c>
      <c r="H62" s="111">
        <f t="shared" si="9"/>
        <v>-116.7</v>
      </c>
      <c r="I62" s="111">
        <f t="shared" si="9"/>
        <v>1804</v>
      </c>
      <c r="J62" s="114">
        <f t="shared" si="9"/>
        <v>0</v>
      </c>
      <c r="K62" s="111">
        <f>K63</f>
        <v>0</v>
      </c>
      <c r="L62" s="114">
        <f t="shared" si="9"/>
        <v>0</v>
      </c>
      <c r="M62" s="111">
        <f t="shared" si="9"/>
        <v>1920.7</v>
      </c>
      <c r="N62" s="111">
        <f t="shared" si="9"/>
        <v>-116.7</v>
      </c>
      <c r="O62" s="111">
        <f t="shared" si="9"/>
        <v>1804</v>
      </c>
      <c r="P62" s="97">
        <f t="shared" si="0"/>
        <v>1804</v>
      </c>
      <c r="Q62" s="97">
        <f t="shared" si="1"/>
        <v>0</v>
      </c>
    </row>
    <row r="63" spans="1:17" ht="31.5" x14ac:dyDescent="0.2">
      <c r="A63" s="40"/>
      <c r="B63" s="113" t="s">
        <v>80</v>
      </c>
      <c r="C63" s="113" t="s">
        <v>51</v>
      </c>
      <c r="D63" s="133" t="s">
        <v>79</v>
      </c>
      <c r="E63" s="133" t="s">
        <v>81</v>
      </c>
      <c r="F63" s="134" t="s">
        <v>11</v>
      </c>
      <c r="G63" s="111">
        <f t="shared" si="9"/>
        <v>1920.7</v>
      </c>
      <c r="H63" s="111">
        <f t="shared" si="9"/>
        <v>-116.7</v>
      </c>
      <c r="I63" s="111">
        <f t="shared" si="9"/>
        <v>1804</v>
      </c>
      <c r="J63" s="114">
        <f t="shared" si="9"/>
        <v>0</v>
      </c>
      <c r="K63" s="111">
        <f>K64</f>
        <v>0</v>
      </c>
      <c r="L63" s="114">
        <f t="shared" si="9"/>
        <v>0</v>
      </c>
      <c r="M63" s="111">
        <f t="shared" si="9"/>
        <v>1920.7</v>
      </c>
      <c r="N63" s="111">
        <f t="shared" si="9"/>
        <v>-116.7</v>
      </c>
      <c r="O63" s="111">
        <f t="shared" si="9"/>
        <v>1804</v>
      </c>
      <c r="P63" s="97">
        <f t="shared" si="0"/>
        <v>1804</v>
      </c>
      <c r="Q63" s="97">
        <f t="shared" si="1"/>
        <v>0</v>
      </c>
    </row>
    <row r="64" spans="1:17" ht="31.5" x14ac:dyDescent="0.2">
      <c r="A64" s="40"/>
      <c r="B64" s="113" t="s">
        <v>82</v>
      </c>
      <c r="C64" s="113" t="s">
        <v>51</v>
      </c>
      <c r="D64" s="133" t="s">
        <v>79</v>
      </c>
      <c r="E64" s="133" t="s">
        <v>83</v>
      </c>
      <c r="F64" s="134" t="s">
        <v>11</v>
      </c>
      <c r="G64" s="111">
        <f>G65</f>
        <v>1920.7</v>
      </c>
      <c r="H64" s="109">
        <f>H65</f>
        <v>-116.7</v>
      </c>
      <c r="I64" s="111">
        <f>I65</f>
        <v>1804</v>
      </c>
      <c r="J64" s="114">
        <f t="shared" si="9"/>
        <v>0</v>
      </c>
      <c r="K64" s="111"/>
      <c r="L64" s="114">
        <f t="shared" si="9"/>
        <v>0</v>
      </c>
      <c r="M64" s="111">
        <f t="shared" si="9"/>
        <v>1920.7</v>
      </c>
      <c r="N64" s="111">
        <f t="shared" si="9"/>
        <v>-116.7</v>
      </c>
      <c r="O64" s="111">
        <f t="shared" si="9"/>
        <v>1804</v>
      </c>
      <c r="P64" s="97">
        <f t="shared" si="0"/>
        <v>1804</v>
      </c>
      <c r="Q64" s="97">
        <f t="shared" si="1"/>
        <v>0</v>
      </c>
    </row>
    <row r="65" spans="1:17" ht="15.75" x14ac:dyDescent="0.2">
      <c r="A65" s="40"/>
      <c r="B65" s="113" t="s">
        <v>70</v>
      </c>
      <c r="C65" s="113" t="s">
        <v>51</v>
      </c>
      <c r="D65" s="133" t="s">
        <v>79</v>
      </c>
      <c r="E65" s="133" t="s">
        <v>83</v>
      </c>
      <c r="F65" s="134" t="s">
        <v>71</v>
      </c>
      <c r="G65" s="111">
        <v>1920.7</v>
      </c>
      <c r="H65" s="109">
        <f>-77-39.7</f>
        <v>-116.7</v>
      </c>
      <c r="I65" s="111">
        <f>SUM(G65)+H65</f>
        <v>1804</v>
      </c>
      <c r="J65" s="115">
        <v>0</v>
      </c>
      <c r="K65" s="109"/>
      <c r="L65" s="115">
        <v>0</v>
      </c>
      <c r="M65" s="111">
        <f>SUM(G65)</f>
        <v>1920.7</v>
      </c>
      <c r="N65" s="111">
        <f>SUM(H65)</f>
        <v>-116.7</v>
      </c>
      <c r="O65" s="111">
        <f>SUM(I65)</f>
        <v>1804</v>
      </c>
      <c r="P65" s="97">
        <f t="shared" si="0"/>
        <v>1804</v>
      </c>
      <c r="Q65" s="97">
        <f t="shared" si="1"/>
        <v>0</v>
      </c>
    </row>
    <row r="66" spans="1:17" ht="15.75" x14ac:dyDescent="0.2">
      <c r="A66" s="33" t="s">
        <v>84</v>
      </c>
      <c r="B66" s="110" t="s">
        <v>85</v>
      </c>
      <c r="C66" s="110" t="s">
        <v>51</v>
      </c>
      <c r="D66" s="131" t="s">
        <v>86</v>
      </c>
      <c r="E66" s="131" t="s">
        <v>11</v>
      </c>
      <c r="F66" s="132" t="s">
        <v>11</v>
      </c>
      <c r="G66" s="109">
        <f>G67+G72+G77+G97+G119+G115</f>
        <v>68946.2</v>
      </c>
      <c r="H66" s="109">
        <f>H67+H72+H77+H97+H120+H115</f>
        <v>319.7</v>
      </c>
      <c r="I66" s="109">
        <f>I67+I72+I77+I97+I119+I115</f>
        <v>69265.899999999994</v>
      </c>
      <c r="J66" s="112">
        <f>J67+J72+J77+J97+J119</f>
        <v>100</v>
      </c>
      <c r="K66" s="111">
        <f>K67+K77</f>
        <v>0</v>
      </c>
      <c r="L66" s="112">
        <f>L67+L72+L77+L97+L119</f>
        <v>100</v>
      </c>
      <c r="M66" s="109">
        <f>M67+M72+M77+M97+M119+M115</f>
        <v>69046.2</v>
      </c>
      <c r="N66" s="109">
        <f>N67+N72+N77+N97+N119+N115</f>
        <v>319.7</v>
      </c>
      <c r="O66" s="109">
        <f>O67+O72+O77+O97+O119+O115</f>
        <v>69365.899999999994</v>
      </c>
      <c r="P66" s="97">
        <f t="shared" si="0"/>
        <v>69265.899999999994</v>
      </c>
      <c r="Q66" s="97">
        <f t="shared" si="1"/>
        <v>0</v>
      </c>
    </row>
    <row r="67" spans="1:17" ht="31.5" x14ac:dyDescent="0.2">
      <c r="A67" s="40"/>
      <c r="B67" s="113" t="s">
        <v>87</v>
      </c>
      <c r="C67" s="113" t="s">
        <v>51</v>
      </c>
      <c r="D67" s="133" t="s">
        <v>86</v>
      </c>
      <c r="E67" s="133" t="s">
        <v>88</v>
      </c>
      <c r="F67" s="134" t="s">
        <v>11</v>
      </c>
      <c r="G67" s="111">
        <f t="shared" ref="G67:O70" si="10">G68</f>
        <v>330</v>
      </c>
      <c r="H67" s="111">
        <f t="shared" si="10"/>
        <v>0</v>
      </c>
      <c r="I67" s="111">
        <f t="shared" si="10"/>
        <v>330</v>
      </c>
      <c r="J67" s="114">
        <f t="shared" si="10"/>
        <v>0</v>
      </c>
      <c r="K67" s="111">
        <f>K68</f>
        <v>0</v>
      </c>
      <c r="L67" s="114">
        <f t="shared" si="10"/>
        <v>0</v>
      </c>
      <c r="M67" s="111">
        <f t="shared" si="10"/>
        <v>330</v>
      </c>
      <c r="N67" s="111">
        <f t="shared" si="10"/>
        <v>0</v>
      </c>
      <c r="O67" s="111">
        <f t="shared" si="10"/>
        <v>330</v>
      </c>
      <c r="P67" s="97">
        <f t="shared" si="0"/>
        <v>330</v>
      </c>
      <c r="Q67" s="97">
        <f t="shared" si="1"/>
        <v>0</v>
      </c>
    </row>
    <row r="68" spans="1:17" ht="47.25" x14ac:dyDescent="0.2">
      <c r="A68" s="40"/>
      <c r="B68" s="113" t="s">
        <v>89</v>
      </c>
      <c r="C68" s="113" t="s">
        <v>51</v>
      </c>
      <c r="D68" s="133" t="s">
        <v>86</v>
      </c>
      <c r="E68" s="133" t="s">
        <v>90</v>
      </c>
      <c r="F68" s="134" t="s">
        <v>11</v>
      </c>
      <c r="G68" s="111">
        <f t="shared" si="10"/>
        <v>330</v>
      </c>
      <c r="H68" s="111">
        <f t="shared" si="10"/>
        <v>0</v>
      </c>
      <c r="I68" s="111">
        <f t="shared" si="10"/>
        <v>330</v>
      </c>
      <c r="J68" s="114">
        <f t="shared" si="10"/>
        <v>0</v>
      </c>
      <c r="K68" s="111">
        <f>K69</f>
        <v>0</v>
      </c>
      <c r="L68" s="114">
        <f t="shared" si="10"/>
        <v>0</v>
      </c>
      <c r="M68" s="111">
        <f t="shared" si="10"/>
        <v>330</v>
      </c>
      <c r="N68" s="111">
        <f t="shared" si="10"/>
        <v>0</v>
      </c>
      <c r="O68" s="111">
        <f t="shared" si="10"/>
        <v>330</v>
      </c>
      <c r="P68" s="97">
        <f t="shared" si="0"/>
        <v>330</v>
      </c>
      <c r="Q68" s="97">
        <f t="shared" si="1"/>
        <v>0</v>
      </c>
    </row>
    <row r="69" spans="1:17" ht="81.599999999999994" customHeight="1" x14ac:dyDescent="0.2">
      <c r="A69" s="40"/>
      <c r="B69" s="113" t="s">
        <v>91</v>
      </c>
      <c r="C69" s="113" t="s">
        <v>51</v>
      </c>
      <c r="D69" s="133" t="s">
        <v>86</v>
      </c>
      <c r="E69" s="133" t="s">
        <v>92</v>
      </c>
      <c r="F69" s="134" t="s">
        <v>11</v>
      </c>
      <c r="G69" s="111">
        <f t="shared" si="10"/>
        <v>330</v>
      </c>
      <c r="H69" s="111">
        <f t="shared" si="10"/>
        <v>0</v>
      </c>
      <c r="I69" s="111">
        <f t="shared" si="10"/>
        <v>330</v>
      </c>
      <c r="J69" s="114">
        <f t="shared" si="10"/>
        <v>0</v>
      </c>
      <c r="K69" s="111">
        <f>K70</f>
        <v>0</v>
      </c>
      <c r="L69" s="114">
        <f t="shared" si="10"/>
        <v>0</v>
      </c>
      <c r="M69" s="111">
        <f t="shared" si="10"/>
        <v>330</v>
      </c>
      <c r="N69" s="111">
        <f t="shared" si="10"/>
        <v>0</v>
      </c>
      <c r="O69" s="111">
        <f t="shared" si="10"/>
        <v>330</v>
      </c>
      <c r="P69" s="97">
        <f t="shared" si="0"/>
        <v>330</v>
      </c>
      <c r="Q69" s="97">
        <f t="shared" si="1"/>
        <v>0</v>
      </c>
    </row>
    <row r="70" spans="1:17" ht="47.25" x14ac:dyDescent="0.2">
      <c r="A70" s="40"/>
      <c r="B70" s="113" t="s">
        <v>93</v>
      </c>
      <c r="C70" s="113" t="s">
        <v>51</v>
      </c>
      <c r="D70" s="133" t="s">
        <v>86</v>
      </c>
      <c r="E70" s="133" t="s">
        <v>94</v>
      </c>
      <c r="F70" s="134" t="s">
        <v>11</v>
      </c>
      <c r="G70" s="111">
        <f>G71</f>
        <v>330</v>
      </c>
      <c r="H70" s="111">
        <f>H71</f>
        <v>0</v>
      </c>
      <c r="I70" s="111">
        <f>I71</f>
        <v>330</v>
      </c>
      <c r="J70" s="114">
        <f t="shared" si="10"/>
        <v>0</v>
      </c>
      <c r="K70" s="111"/>
      <c r="L70" s="114">
        <f t="shared" si="10"/>
        <v>0</v>
      </c>
      <c r="M70" s="111">
        <f t="shared" si="10"/>
        <v>330</v>
      </c>
      <c r="N70" s="111">
        <f t="shared" si="10"/>
        <v>0</v>
      </c>
      <c r="O70" s="111">
        <f t="shared" si="10"/>
        <v>330</v>
      </c>
      <c r="P70" s="97">
        <f t="shared" si="0"/>
        <v>330</v>
      </c>
      <c r="Q70" s="97">
        <f t="shared" si="1"/>
        <v>0</v>
      </c>
    </row>
    <row r="71" spans="1:17" ht="47.25" x14ac:dyDescent="0.2">
      <c r="A71" s="40"/>
      <c r="B71" s="113" t="s">
        <v>95</v>
      </c>
      <c r="C71" s="113" t="s">
        <v>51</v>
      </c>
      <c r="D71" s="133" t="s">
        <v>86</v>
      </c>
      <c r="E71" s="133" t="s">
        <v>94</v>
      </c>
      <c r="F71" s="134" t="s">
        <v>96</v>
      </c>
      <c r="G71" s="111">
        <v>330</v>
      </c>
      <c r="H71" s="111"/>
      <c r="I71" s="111">
        <f>G71+H71</f>
        <v>330</v>
      </c>
      <c r="J71" s="115"/>
      <c r="K71" s="111"/>
      <c r="L71" s="115"/>
      <c r="M71" s="111">
        <f>G71+J71</f>
        <v>330</v>
      </c>
      <c r="N71" s="111">
        <f>H71+K71</f>
        <v>0</v>
      </c>
      <c r="O71" s="111">
        <f>I71+L71</f>
        <v>330</v>
      </c>
      <c r="P71" s="97">
        <f t="shared" si="0"/>
        <v>330</v>
      </c>
      <c r="Q71" s="97">
        <f t="shared" si="1"/>
        <v>0</v>
      </c>
    </row>
    <row r="72" spans="1:17" ht="31.5" x14ac:dyDescent="0.2">
      <c r="A72" s="40"/>
      <c r="B72" s="113" t="s">
        <v>97</v>
      </c>
      <c r="C72" s="113" t="s">
        <v>51</v>
      </c>
      <c r="D72" s="133" t="s">
        <v>86</v>
      </c>
      <c r="E72" s="133" t="s">
        <v>98</v>
      </c>
      <c r="F72" s="134" t="s">
        <v>11</v>
      </c>
      <c r="G72" s="111">
        <f t="shared" ref="G72:O75" si="11">G73</f>
        <v>3500</v>
      </c>
      <c r="H72" s="111">
        <f t="shared" si="11"/>
        <v>0</v>
      </c>
      <c r="I72" s="111">
        <f t="shared" si="11"/>
        <v>3500</v>
      </c>
      <c r="J72" s="114">
        <f t="shared" si="11"/>
        <v>0</v>
      </c>
      <c r="K72" s="111">
        <f>K73</f>
        <v>0</v>
      </c>
      <c r="L72" s="114">
        <f t="shared" si="11"/>
        <v>0</v>
      </c>
      <c r="M72" s="111">
        <f t="shared" si="11"/>
        <v>3500</v>
      </c>
      <c r="N72" s="111">
        <f t="shared" si="11"/>
        <v>0</v>
      </c>
      <c r="O72" s="111">
        <f t="shared" si="11"/>
        <v>3500</v>
      </c>
      <c r="P72" s="97">
        <f t="shared" si="0"/>
        <v>3500</v>
      </c>
      <c r="Q72" s="97">
        <f t="shared" si="1"/>
        <v>0</v>
      </c>
    </row>
    <row r="73" spans="1:17" ht="15.75" x14ac:dyDescent="0.2">
      <c r="A73" s="40"/>
      <c r="B73" s="113" t="s">
        <v>99</v>
      </c>
      <c r="C73" s="113" t="s">
        <v>51</v>
      </c>
      <c r="D73" s="133" t="s">
        <v>86</v>
      </c>
      <c r="E73" s="133" t="s">
        <v>100</v>
      </c>
      <c r="F73" s="134" t="s">
        <v>11</v>
      </c>
      <c r="G73" s="111">
        <f t="shared" si="11"/>
        <v>3500</v>
      </c>
      <c r="H73" s="111">
        <f t="shared" si="11"/>
        <v>0</v>
      </c>
      <c r="I73" s="111">
        <f t="shared" si="11"/>
        <v>3500</v>
      </c>
      <c r="J73" s="114">
        <f t="shared" si="11"/>
        <v>0</v>
      </c>
      <c r="K73" s="111">
        <f>K74</f>
        <v>0</v>
      </c>
      <c r="L73" s="114">
        <f t="shared" si="11"/>
        <v>0</v>
      </c>
      <c r="M73" s="111">
        <f t="shared" si="11"/>
        <v>3500</v>
      </c>
      <c r="N73" s="111">
        <f t="shared" si="11"/>
        <v>0</v>
      </c>
      <c r="O73" s="111">
        <f t="shared" si="11"/>
        <v>3500</v>
      </c>
      <c r="P73" s="97">
        <f t="shared" si="0"/>
        <v>3500</v>
      </c>
      <c r="Q73" s="97">
        <f t="shared" si="1"/>
        <v>0</v>
      </c>
    </row>
    <row r="74" spans="1:17" ht="31.5" x14ac:dyDescent="0.2">
      <c r="A74" s="40"/>
      <c r="B74" s="113" t="s">
        <v>101</v>
      </c>
      <c r="C74" s="113" t="s">
        <v>51</v>
      </c>
      <c r="D74" s="133" t="s">
        <v>86</v>
      </c>
      <c r="E74" s="133" t="s">
        <v>102</v>
      </c>
      <c r="F74" s="134" t="s">
        <v>11</v>
      </c>
      <c r="G74" s="111">
        <f t="shared" si="11"/>
        <v>3500</v>
      </c>
      <c r="H74" s="111">
        <f t="shared" si="11"/>
        <v>0</v>
      </c>
      <c r="I74" s="111">
        <f t="shared" si="11"/>
        <v>3500</v>
      </c>
      <c r="J74" s="114">
        <f t="shared" si="11"/>
        <v>0</v>
      </c>
      <c r="K74" s="111">
        <f>K75</f>
        <v>0</v>
      </c>
      <c r="L74" s="114">
        <f t="shared" si="11"/>
        <v>0</v>
      </c>
      <c r="M74" s="111">
        <f t="shared" si="11"/>
        <v>3500</v>
      </c>
      <c r="N74" s="111">
        <f t="shared" si="11"/>
        <v>0</v>
      </c>
      <c r="O74" s="111">
        <f t="shared" si="11"/>
        <v>3500</v>
      </c>
      <c r="P74" s="97">
        <f t="shared" si="0"/>
        <v>3500</v>
      </c>
      <c r="Q74" s="97">
        <f t="shared" si="1"/>
        <v>0</v>
      </c>
    </row>
    <row r="75" spans="1:17" ht="36.6" customHeight="1" x14ac:dyDescent="0.2">
      <c r="A75" s="40"/>
      <c r="B75" s="113" t="s">
        <v>103</v>
      </c>
      <c r="C75" s="113" t="s">
        <v>51</v>
      </c>
      <c r="D75" s="133" t="s">
        <v>86</v>
      </c>
      <c r="E75" s="133" t="s">
        <v>104</v>
      </c>
      <c r="F75" s="134" t="s">
        <v>11</v>
      </c>
      <c r="G75" s="111">
        <f>G76</f>
        <v>3500</v>
      </c>
      <c r="H75" s="111"/>
      <c r="I75" s="111">
        <f>I76</f>
        <v>3500</v>
      </c>
      <c r="J75" s="114">
        <f t="shared" si="11"/>
        <v>0</v>
      </c>
      <c r="K75" s="111"/>
      <c r="L75" s="114">
        <f t="shared" si="11"/>
        <v>0</v>
      </c>
      <c r="M75" s="111">
        <f t="shared" si="11"/>
        <v>3500</v>
      </c>
      <c r="N75" s="111">
        <f t="shared" si="11"/>
        <v>0</v>
      </c>
      <c r="O75" s="111">
        <f t="shared" si="11"/>
        <v>3500</v>
      </c>
      <c r="P75" s="97">
        <f t="shared" si="0"/>
        <v>3500</v>
      </c>
      <c r="Q75" s="97">
        <f t="shared" si="1"/>
        <v>0</v>
      </c>
    </row>
    <row r="76" spans="1:17" ht="31.5" x14ac:dyDescent="0.2">
      <c r="A76" s="40"/>
      <c r="B76" s="113" t="s">
        <v>40</v>
      </c>
      <c r="C76" s="113" t="s">
        <v>51</v>
      </c>
      <c r="D76" s="133" t="s">
        <v>86</v>
      </c>
      <c r="E76" s="133" t="s">
        <v>104</v>
      </c>
      <c r="F76" s="134" t="s">
        <v>41</v>
      </c>
      <c r="G76" s="111">
        <v>3500</v>
      </c>
      <c r="H76" s="111"/>
      <c r="I76" s="111">
        <v>3500</v>
      </c>
      <c r="J76" s="115">
        <v>0</v>
      </c>
      <c r="K76" s="111"/>
      <c r="L76" s="115">
        <v>0</v>
      </c>
      <c r="M76" s="111">
        <v>3500</v>
      </c>
      <c r="N76" s="111"/>
      <c r="O76" s="111">
        <v>3500</v>
      </c>
      <c r="P76" s="97">
        <f t="shared" si="0"/>
        <v>3500</v>
      </c>
      <c r="Q76" s="97">
        <f t="shared" si="1"/>
        <v>0</v>
      </c>
    </row>
    <row r="77" spans="1:17" ht="47.25" x14ac:dyDescent="0.2">
      <c r="A77" s="40"/>
      <c r="B77" s="113" t="s">
        <v>105</v>
      </c>
      <c r="C77" s="113" t="s">
        <v>51</v>
      </c>
      <c r="D77" s="133" t="s">
        <v>86</v>
      </c>
      <c r="E77" s="133" t="s">
        <v>106</v>
      </c>
      <c r="F77" s="134" t="s">
        <v>11</v>
      </c>
      <c r="G77" s="111">
        <f>G78+G85+G89</f>
        <v>7588.4</v>
      </c>
      <c r="H77" s="111">
        <f>H78+H89+H85</f>
        <v>0</v>
      </c>
      <c r="I77" s="111">
        <f>I78+I85+I89</f>
        <v>7588.4</v>
      </c>
      <c r="J77" s="114">
        <f>J78+J85+J89</f>
        <v>100</v>
      </c>
      <c r="K77" s="111">
        <f>K78+K89</f>
        <v>0</v>
      </c>
      <c r="L77" s="114">
        <f>L78+L85+L89</f>
        <v>100</v>
      </c>
      <c r="M77" s="111">
        <f>M78+M85+M89</f>
        <v>7688.4</v>
      </c>
      <c r="N77" s="111">
        <f>N78+N85+N89</f>
        <v>0</v>
      </c>
      <c r="O77" s="111">
        <f>O78+O85+O89</f>
        <v>7688.4</v>
      </c>
      <c r="P77" s="97">
        <f t="shared" si="0"/>
        <v>7588.4</v>
      </c>
      <c r="Q77" s="97">
        <f t="shared" si="1"/>
        <v>0</v>
      </c>
    </row>
    <row r="78" spans="1:17" ht="31.5" x14ac:dyDescent="0.2">
      <c r="A78" s="40"/>
      <c r="B78" s="113" t="s">
        <v>107</v>
      </c>
      <c r="C78" s="113" t="s">
        <v>51</v>
      </c>
      <c r="D78" s="133" t="s">
        <v>86</v>
      </c>
      <c r="E78" s="133" t="s">
        <v>108</v>
      </c>
      <c r="F78" s="134" t="s">
        <v>11</v>
      </c>
      <c r="G78" s="111">
        <f>G79</f>
        <v>2328.4</v>
      </c>
      <c r="H78" s="111">
        <f>H79</f>
        <v>0</v>
      </c>
      <c r="I78" s="111">
        <f>I79</f>
        <v>2328.4</v>
      </c>
      <c r="J78" s="114">
        <f>J79</f>
        <v>0</v>
      </c>
      <c r="K78" s="111">
        <f>K79+K82</f>
        <v>0</v>
      </c>
      <c r="L78" s="114">
        <f>L79</f>
        <v>0</v>
      </c>
      <c r="M78" s="111">
        <f>M79</f>
        <v>2328.4</v>
      </c>
      <c r="N78" s="111">
        <f>N79</f>
        <v>0</v>
      </c>
      <c r="O78" s="111">
        <f>O79</f>
        <v>2328.4</v>
      </c>
      <c r="P78" s="97">
        <f t="shared" si="0"/>
        <v>2328.4</v>
      </c>
      <c r="Q78" s="97">
        <f t="shared" si="1"/>
        <v>0</v>
      </c>
    </row>
    <row r="79" spans="1:17" ht="31.5" x14ac:dyDescent="0.2">
      <c r="A79" s="40"/>
      <c r="B79" s="113" t="s">
        <v>109</v>
      </c>
      <c r="C79" s="113" t="s">
        <v>51</v>
      </c>
      <c r="D79" s="133" t="s">
        <v>86</v>
      </c>
      <c r="E79" s="133" t="s">
        <v>110</v>
      </c>
      <c r="F79" s="134" t="s">
        <v>11</v>
      </c>
      <c r="G79" s="111">
        <f>G80+G83</f>
        <v>2328.4</v>
      </c>
      <c r="H79" s="111">
        <f>H80</f>
        <v>0</v>
      </c>
      <c r="I79" s="111">
        <f>I80+I83</f>
        <v>2328.4</v>
      </c>
      <c r="J79" s="114">
        <f>J80+J83</f>
        <v>0</v>
      </c>
      <c r="K79" s="111">
        <f>K80</f>
        <v>0</v>
      </c>
      <c r="L79" s="114">
        <f>L80+L83</f>
        <v>0</v>
      </c>
      <c r="M79" s="111">
        <f>M80+M83</f>
        <v>2328.4</v>
      </c>
      <c r="N79" s="111">
        <f>N80+N83</f>
        <v>0</v>
      </c>
      <c r="O79" s="111">
        <f>O80+O83</f>
        <v>2328.4</v>
      </c>
      <c r="P79" s="97">
        <f t="shared" si="0"/>
        <v>2328.4</v>
      </c>
      <c r="Q79" s="97">
        <f t="shared" si="1"/>
        <v>0</v>
      </c>
    </row>
    <row r="80" spans="1:17" ht="31.5" x14ac:dyDescent="0.2">
      <c r="A80" s="40"/>
      <c r="B80" s="113" t="s">
        <v>107</v>
      </c>
      <c r="C80" s="113" t="s">
        <v>51</v>
      </c>
      <c r="D80" s="133" t="s">
        <v>86</v>
      </c>
      <c r="E80" s="133" t="s">
        <v>111</v>
      </c>
      <c r="F80" s="134" t="s">
        <v>11</v>
      </c>
      <c r="G80" s="111">
        <f>G82+G81</f>
        <v>2318.4</v>
      </c>
      <c r="H80" s="111">
        <f>H82</f>
        <v>0</v>
      </c>
      <c r="I80" s="111">
        <f>I82+I81</f>
        <v>2318.4</v>
      </c>
      <c r="J80" s="114">
        <f>J82</f>
        <v>0</v>
      </c>
      <c r="K80" s="111"/>
      <c r="L80" s="114">
        <f>L82</f>
        <v>0</v>
      </c>
      <c r="M80" s="111">
        <f>M82+M81</f>
        <v>2318.4</v>
      </c>
      <c r="N80" s="111">
        <f>N82</f>
        <v>0</v>
      </c>
      <c r="O80" s="111">
        <f>O82+O81</f>
        <v>2318.4</v>
      </c>
      <c r="P80" s="97">
        <f t="shared" si="0"/>
        <v>2318.4</v>
      </c>
      <c r="Q80" s="97">
        <f t="shared" si="1"/>
        <v>0</v>
      </c>
    </row>
    <row r="81" spans="1:17" ht="31.5" x14ac:dyDescent="0.2">
      <c r="A81" s="40"/>
      <c r="B81" s="113" t="s">
        <v>40</v>
      </c>
      <c r="C81" s="113" t="s">
        <v>51</v>
      </c>
      <c r="D81" s="133" t="s">
        <v>86</v>
      </c>
      <c r="E81" s="133" t="s">
        <v>111</v>
      </c>
      <c r="F81" s="134">
        <v>200</v>
      </c>
      <c r="G81" s="111">
        <v>232.4</v>
      </c>
      <c r="H81" s="111"/>
      <c r="I81" s="111">
        <f>SUM(G81)</f>
        <v>232.4</v>
      </c>
      <c r="J81" s="114"/>
      <c r="K81" s="111"/>
      <c r="L81" s="114"/>
      <c r="M81" s="111">
        <f>SUM(G81)</f>
        <v>232.4</v>
      </c>
      <c r="N81" s="111"/>
      <c r="O81" s="111">
        <f>SUM(I81)</f>
        <v>232.4</v>
      </c>
      <c r="P81" s="97">
        <f t="shared" si="0"/>
        <v>232.4</v>
      </c>
      <c r="Q81" s="97">
        <f t="shared" si="1"/>
        <v>0</v>
      </c>
    </row>
    <row r="82" spans="1:17" ht="31.5" x14ac:dyDescent="0.2">
      <c r="A82" s="40"/>
      <c r="B82" s="113" t="s">
        <v>112</v>
      </c>
      <c r="C82" s="113" t="s">
        <v>51</v>
      </c>
      <c r="D82" s="133" t="s">
        <v>86</v>
      </c>
      <c r="E82" s="133" t="s">
        <v>111</v>
      </c>
      <c r="F82" s="134" t="s">
        <v>113</v>
      </c>
      <c r="G82" s="111">
        <v>2086</v>
      </c>
      <c r="H82" s="111"/>
      <c r="I82" s="111">
        <f>SUM(G82:H82)</f>
        <v>2086</v>
      </c>
      <c r="J82" s="115">
        <v>0</v>
      </c>
      <c r="K82" s="111"/>
      <c r="L82" s="115">
        <v>0</v>
      </c>
      <c r="M82" s="111">
        <f>SUM(G82)</f>
        <v>2086</v>
      </c>
      <c r="N82" s="111">
        <f>H82+K82</f>
        <v>0</v>
      </c>
      <c r="O82" s="111">
        <f>SUM(M82:N82)</f>
        <v>2086</v>
      </c>
      <c r="P82" s="97">
        <f t="shared" si="0"/>
        <v>2086</v>
      </c>
      <c r="Q82" s="97">
        <f t="shared" si="1"/>
        <v>0</v>
      </c>
    </row>
    <row r="83" spans="1:17" ht="31.5" x14ac:dyDescent="0.2">
      <c r="A83" s="40"/>
      <c r="B83" s="113" t="s">
        <v>114</v>
      </c>
      <c r="C83" s="113" t="s">
        <v>51</v>
      </c>
      <c r="D83" s="133" t="s">
        <v>86</v>
      </c>
      <c r="E83" s="133" t="s">
        <v>115</v>
      </c>
      <c r="F83" s="134" t="s">
        <v>11</v>
      </c>
      <c r="G83" s="111">
        <f>G84</f>
        <v>10</v>
      </c>
      <c r="H83" s="111"/>
      <c r="I83" s="111">
        <f>I84</f>
        <v>10</v>
      </c>
      <c r="J83" s="114">
        <f>J84</f>
        <v>0</v>
      </c>
      <c r="K83" s="111"/>
      <c r="L83" s="114">
        <f>L84</f>
        <v>0</v>
      </c>
      <c r="M83" s="111">
        <f>M84</f>
        <v>10</v>
      </c>
      <c r="N83" s="111">
        <f>N84</f>
        <v>0</v>
      </c>
      <c r="O83" s="111">
        <f>O84</f>
        <v>10</v>
      </c>
      <c r="P83" s="97">
        <f t="shared" si="0"/>
        <v>10</v>
      </c>
      <c r="Q83" s="97">
        <f t="shared" si="1"/>
        <v>0</v>
      </c>
    </row>
    <row r="84" spans="1:17" ht="31.5" x14ac:dyDescent="0.2">
      <c r="A84" s="40"/>
      <c r="B84" s="113" t="s">
        <v>112</v>
      </c>
      <c r="C84" s="113" t="s">
        <v>51</v>
      </c>
      <c r="D84" s="133" t="s">
        <v>86</v>
      </c>
      <c r="E84" s="133" t="s">
        <v>115</v>
      </c>
      <c r="F84" s="134" t="s">
        <v>113</v>
      </c>
      <c r="G84" s="111">
        <v>10</v>
      </c>
      <c r="H84" s="111"/>
      <c r="I84" s="111">
        <v>10</v>
      </c>
      <c r="J84" s="115">
        <v>0</v>
      </c>
      <c r="K84" s="111"/>
      <c r="L84" s="115">
        <v>0</v>
      </c>
      <c r="M84" s="111">
        <v>10</v>
      </c>
      <c r="N84" s="111"/>
      <c r="O84" s="111">
        <v>10</v>
      </c>
      <c r="P84" s="97">
        <f t="shared" si="0"/>
        <v>10</v>
      </c>
      <c r="Q84" s="97">
        <f t="shared" si="1"/>
        <v>0</v>
      </c>
    </row>
    <row r="85" spans="1:17" ht="31.5" x14ac:dyDescent="0.2">
      <c r="A85" s="40"/>
      <c r="B85" s="113" t="s">
        <v>116</v>
      </c>
      <c r="C85" s="113" t="s">
        <v>51</v>
      </c>
      <c r="D85" s="133" t="s">
        <v>86</v>
      </c>
      <c r="E85" s="133" t="s">
        <v>117</v>
      </c>
      <c r="F85" s="134" t="s">
        <v>11</v>
      </c>
      <c r="G85" s="111">
        <f t="shared" ref="G85:O87" si="12">G86</f>
        <v>150</v>
      </c>
      <c r="H85" s="111">
        <f t="shared" si="12"/>
        <v>0</v>
      </c>
      <c r="I85" s="111">
        <f t="shared" si="12"/>
        <v>150</v>
      </c>
      <c r="J85" s="114">
        <f t="shared" si="12"/>
        <v>0</v>
      </c>
      <c r="K85" s="111">
        <f>K86</f>
        <v>0</v>
      </c>
      <c r="L85" s="114">
        <f t="shared" si="12"/>
        <v>0</v>
      </c>
      <c r="M85" s="111">
        <f t="shared" si="12"/>
        <v>150</v>
      </c>
      <c r="N85" s="111">
        <f t="shared" si="12"/>
        <v>0</v>
      </c>
      <c r="O85" s="111">
        <f t="shared" si="12"/>
        <v>150</v>
      </c>
      <c r="P85" s="97">
        <f t="shared" si="0"/>
        <v>150</v>
      </c>
      <c r="Q85" s="97">
        <f t="shared" si="1"/>
        <v>0</v>
      </c>
    </row>
    <row r="86" spans="1:17" ht="63" x14ac:dyDescent="0.2">
      <c r="A86" s="40"/>
      <c r="B86" s="113" t="s">
        <v>118</v>
      </c>
      <c r="C86" s="113" t="s">
        <v>51</v>
      </c>
      <c r="D86" s="133" t="s">
        <v>86</v>
      </c>
      <c r="E86" s="133" t="s">
        <v>119</v>
      </c>
      <c r="F86" s="134" t="s">
        <v>11</v>
      </c>
      <c r="G86" s="111">
        <f t="shared" si="12"/>
        <v>150</v>
      </c>
      <c r="H86" s="111">
        <f t="shared" si="12"/>
        <v>0</v>
      </c>
      <c r="I86" s="111">
        <f t="shared" si="12"/>
        <v>150</v>
      </c>
      <c r="J86" s="114">
        <f t="shared" si="12"/>
        <v>0</v>
      </c>
      <c r="K86" s="111">
        <f>K87</f>
        <v>0</v>
      </c>
      <c r="L86" s="114">
        <f t="shared" si="12"/>
        <v>0</v>
      </c>
      <c r="M86" s="111">
        <f t="shared" si="12"/>
        <v>150</v>
      </c>
      <c r="N86" s="111">
        <f t="shared" si="12"/>
        <v>0</v>
      </c>
      <c r="O86" s="111">
        <f t="shared" si="12"/>
        <v>150</v>
      </c>
      <c r="P86" s="97">
        <f t="shared" si="0"/>
        <v>150</v>
      </c>
      <c r="Q86" s="97">
        <f t="shared" si="1"/>
        <v>0</v>
      </c>
    </row>
    <row r="87" spans="1:17" ht="47.25" x14ac:dyDescent="0.2">
      <c r="A87" s="40"/>
      <c r="B87" s="113" t="s">
        <v>120</v>
      </c>
      <c r="C87" s="113" t="s">
        <v>51</v>
      </c>
      <c r="D87" s="133" t="s">
        <v>86</v>
      </c>
      <c r="E87" s="133" t="s">
        <v>121</v>
      </c>
      <c r="F87" s="134" t="s">
        <v>11</v>
      </c>
      <c r="G87" s="111">
        <f>G88</f>
        <v>150</v>
      </c>
      <c r="H87" s="111"/>
      <c r="I87" s="111">
        <f>I88</f>
        <v>150</v>
      </c>
      <c r="J87" s="114">
        <f t="shared" si="12"/>
        <v>0</v>
      </c>
      <c r="K87" s="111"/>
      <c r="L87" s="114">
        <f t="shared" si="12"/>
        <v>0</v>
      </c>
      <c r="M87" s="111">
        <f t="shared" si="12"/>
        <v>150</v>
      </c>
      <c r="N87" s="111">
        <f t="shared" si="12"/>
        <v>0</v>
      </c>
      <c r="O87" s="111">
        <f t="shared" si="12"/>
        <v>150</v>
      </c>
      <c r="P87" s="97">
        <f t="shared" si="0"/>
        <v>150</v>
      </c>
      <c r="Q87" s="97">
        <f t="shared" si="1"/>
        <v>0</v>
      </c>
    </row>
    <row r="88" spans="1:17" ht="31.5" x14ac:dyDescent="0.2">
      <c r="A88" s="40"/>
      <c r="B88" s="113" t="s">
        <v>40</v>
      </c>
      <c r="C88" s="113" t="s">
        <v>51</v>
      </c>
      <c r="D88" s="133" t="s">
        <v>86</v>
      </c>
      <c r="E88" s="133" t="s">
        <v>121</v>
      </c>
      <c r="F88" s="134" t="s">
        <v>41</v>
      </c>
      <c r="G88" s="111">
        <v>150</v>
      </c>
      <c r="H88" s="111"/>
      <c r="I88" s="111">
        <v>150</v>
      </c>
      <c r="J88" s="115">
        <v>0</v>
      </c>
      <c r="K88" s="111"/>
      <c r="L88" s="115">
        <v>0</v>
      </c>
      <c r="M88" s="111">
        <v>150</v>
      </c>
      <c r="N88" s="111"/>
      <c r="O88" s="111">
        <v>150</v>
      </c>
      <c r="P88" s="97">
        <f t="shared" si="0"/>
        <v>150</v>
      </c>
      <c r="Q88" s="97">
        <f t="shared" si="1"/>
        <v>0</v>
      </c>
    </row>
    <row r="89" spans="1:17" ht="31.5" x14ac:dyDescent="0.2">
      <c r="A89" s="40"/>
      <c r="B89" s="113" t="s">
        <v>122</v>
      </c>
      <c r="C89" s="113" t="s">
        <v>51</v>
      </c>
      <c r="D89" s="133" t="s">
        <v>86</v>
      </c>
      <c r="E89" s="133" t="s">
        <v>123</v>
      </c>
      <c r="F89" s="134" t="s">
        <v>11</v>
      </c>
      <c r="G89" s="111">
        <f t="shared" ref="G89:O90" si="13">G90</f>
        <v>5110</v>
      </c>
      <c r="H89" s="111">
        <f t="shared" si="13"/>
        <v>0</v>
      </c>
      <c r="I89" s="111">
        <f t="shared" si="13"/>
        <v>5110</v>
      </c>
      <c r="J89" s="114">
        <f t="shared" ref="J89:O89" si="14">J90+J94</f>
        <v>100</v>
      </c>
      <c r="K89" s="111">
        <f t="shared" si="14"/>
        <v>0</v>
      </c>
      <c r="L89" s="111">
        <f t="shared" si="14"/>
        <v>100</v>
      </c>
      <c r="M89" s="111">
        <f t="shared" si="14"/>
        <v>5210</v>
      </c>
      <c r="N89" s="111">
        <f t="shared" si="14"/>
        <v>0</v>
      </c>
      <c r="O89" s="111">
        <f t="shared" si="14"/>
        <v>5210</v>
      </c>
      <c r="P89" s="97">
        <f t="shared" si="0"/>
        <v>5110</v>
      </c>
      <c r="Q89" s="97">
        <f t="shared" si="1"/>
        <v>0</v>
      </c>
    </row>
    <row r="90" spans="1:17" ht="110.25" x14ac:dyDescent="0.2">
      <c r="A90" s="40"/>
      <c r="B90" s="113" t="s">
        <v>124</v>
      </c>
      <c r="C90" s="113" t="s">
        <v>51</v>
      </c>
      <c r="D90" s="133" t="s">
        <v>86</v>
      </c>
      <c r="E90" s="133" t="s">
        <v>125</v>
      </c>
      <c r="F90" s="134" t="s">
        <v>11</v>
      </c>
      <c r="G90" s="111">
        <f t="shared" si="13"/>
        <v>5110</v>
      </c>
      <c r="H90" s="111">
        <f>H91</f>
        <v>0</v>
      </c>
      <c r="I90" s="111">
        <f t="shared" si="13"/>
        <v>5110</v>
      </c>
      <c r="J90" s="114">
        <f t="shared" si="13"/>
        <v>0</v>
      </c>
      <c r="K90" s="111">
        <f>K91+K92</f>
        <v>0</v>
      </c>
      <c r="L90" s="114">
        <f t="shared" si="13"/>
        <v>0</v>
      </c>
      <c r="M90" s="111">
        <f t="shared" si="13"/>
        <v>5110</v>
      </c>
      <c r="N90" s="111">
        <f t="shared" si="13"/>
        <v>0</v>
      </c>
      <c r="O90" s="111">
        <f t="shared" si="13"/>
        <v>5110</v>
      </c>
      <c r="P90" s="97">
        <f t="shared" si="0"/>
        <v>5110</v>
      </c>
      <c r="Q90" s="97">
        <f t="shared" si="1"/>
        <v>0</v>
      </c>
    </row>
    <row r="91" spans="1:17" ht="31.5" x14ac:dyDescent="0.2">
      <c r="A91" s="40"/>
      <c r="B91" s="113" t="s">
        <v>126</v>
      </c>
      <c r="C91" s="113" t="s">
        <v>51</v>
      </c>
      <c r="D91" s="133" t="s">
        <v>86</v>
      </c>
      <c r="E91" s="133" t="s">
        <v>127</v>
      </c>
      <c r="F91" s="134" t="s">
        <v>11</v>
      </c>
      <c r="G91" s="111">
        <f>G92+G93</f>
        <v>5110</v>
      </c>
      <c r="H91" s="111">
        <f>H92+H93</f>
        <v>0</v>
      </c>
      <c r="I91" s="111">
        <f>I92+I93</f>
        <v>5110</v>
      </c>
      <c r="J91" s="114">
        <f>J92+J93</f>
        <v>0</v>
      </c>
      <c r="K91" s="111"/>
      <c r="L91" s="114">
        <f>L92+L93</f>
        <v>0</v>
      </c>
      <c r="M91" s="111">
        <f>M92+M93</f>
        <v>5110</v>
      </c>
      <c r="N91" s="111">
        <f>N92+N93</f>
        <v>0</v>
      </c>
      <c r="O91" s="111">
        <f>O92+O93</f>
        <v>5110</v>
      </c>
      <c r="P91" s="97">
        <f t="shared" si="0"/>
        <v>5110</v>
      </c>
      <c r="Q91" s="97">
        <f t="shared" si="1"/>
        <v>0</v>
      </c>
    </row>
    <row r="92" spans="1:17" ht="31.5" x14ac:dyDescent="0.2">
      <c r="A92" s="40"/>
      <c r="B92" s="113" t="s">
        <v>40</v>
      </c>
      <c r="C92" s="113" t="s">
        <v>51</v>
      </c>
      <c r="D92" s="133" t="s">
        <v>86</v>
      </c>
      <c r="E92" s="133" t="s">
        <v>127</v>
      </c>
      <c r="F92" s="134" t="s">
        <v>41</v>
      </c>
      <c r="G92" s="111">
        <v>5046.8</v>
      </c>
      <c r="H92" s="111"/>
      <c r="I92" s="111">
        <f>SUM(G92:H92)</f>
        <v>5046.8</v>
      </c>
      <c r="J92" s="115">
        <v>0</v>
      </c>
      <c r="K92" s="111"/>
      <c r="L92" s="115">
        <v>0</v>
      </c>
      <c r="M92" s="111">
        <f>SUM(G92)</f>
        <v>5046.8</v>
      </c>
      <c r="N92" s="111">
        <f>SUM(H92)</f>
        <v>0</v>
      </c>
      <c r="O92" s="111">
        <f>SUM(I92)</f>
        <v>5046.8</v>
      </c>
      <c r="P92" s="97">
        <f t="shared" ref="P92:P155" si="15">G92+H92</f>
        <v>5046.8</v>
      </c>
      <c r="Q92" s="97">
        <f t="shared" ref="Q92:Q155" si="16">I92-P92</f>
        <v>0</v>
      </c>
    </row>
    <row r="93" spans="1:17" ht="15.75" x14ac:dyDescent="0.2">
      <c r="A93" s="40"/>
      <c r="B93" s="113" t="s">
        <v>70</v>
      </c>
      <c r="C93" s="113" t="s">
        <v>51</v>
      </c>
      <c r="D93" s="133" t="s">
        <v>86</v>
      </c>
      <c r="E93" s="133" t="s">
        <v>127</v>
      </c>
      <c r="F93" s="134" t="s">
        <v>71</v>
      </c>
      <c r="G93" s="111">
        <v>63.2</v>
      </c>
      <c r="H93" s="111"/>
      <c r="I93" s="111">
        <v>63.2</v>
      </c>
      <c r="J93" s="115">
        <v>0</v>
      </c>
      <c r="K93" s="111"/>
      <c r="L93" s="115">
        <v>0</v>
      </c>
      <c r="M93" s="111">
        <v>63.2</v>
      </c>
      <c r="N93" s="111"/>
      <c r="O93" s="111">
        <v>63.2</v>
      </c>
      <c r="P93" s="97">
        <f t="shared" si="15"/>
        <v>63.2</v>
      </c>
      <c r="Q93" s="97">
        <f t="shared" si="16"/>
        <v>0</v>
      </c>
    </row>
    <row r="94" spans="1:17" ht="47.25" x14ac:dyDescent="0.2">
      <c r="A94" s="40"/>
      <c r="B94" s="113" t="s">
        <v>564</v>
      </c>
      <c r="C94" s="113">
        <v>992</v>
      </c>
      <c r="D94" s="133" t="s">
        <v>86</v>
      </c>
      <c r="E94" s="133">
        <v>1030200000</v>
      </c>
      <c r="F94" s="134"/>
      <c r="G94" s="111"/>
      <c r="H94" s="111"/>
      <c r="I94" s="111"/>
      <c r="J94" s="115">
        <f t="shared" ref="J94:L95" si="17">SUM(J95)</f>
        <v>100</v>
      </c>
      <c r="K94" s="111">
        <f t="shared" si="17"/>
        <v>0</v>
      </c>
      <c r="L94" s="111">
        <f t="shared" si="17"/>
        <v>100</v>
      </c>
      <c r="M94" s="111">
        <f>SUM(J94)</f>
        <v>100</v>
      </c>
      <c r="N94" s="111">
        <f t="shared" ref="N94:O96" si="18">SUM(K94)</f>
        <v>0</v>
      </c>
      <c r="O94" s="111">
        <f t="shared" si="18"/>
        <v>100</v>
      </c>
      <c r="P94" s="97">
        <f t="shared" si="15"/>
        <v>0</v>
      </c>
      <c r="Q94" s="97">
        <f t="shared" si="16"/>
        <v>0</v>
      </c>
    </row>
    <row r="95" spans="1:17" ht="47.25" x14ac:dyDescent="0.2">
      <c r="A95" s="40"/>
      <c r="B95" s="113" t="s">
        <v>565</v>
      </c>
      <c r="C95" s="113">
        <v>992</v>
      </c>
      <c r="D95" s="133" t="s">
        <v>86</v>
      </c>
      <c r="E95" s="133">
        <v>1030222500</v>
      </c>
      <c r="F95" s="134"/>
      <c r="G95" s="111"/>
      <c r="H95" s="111"/>
      <c r="I95" s="111"/>
      <c r="J95" s="115">
        <f t="shared" si="17"/>
        <v>100</v>
      </c>
      <c r="K95" s="111">
        <f t="shared" si="17"/>
        <v>0</v>
      </c>
      <c r="L95" s="111">
        <f t="shared" si="17"/>
        <v>100</v>
      </c>
      <c r="M95" s="111">
        <f>SUM(J95)</f>
        <v>100</v>
      </c>
      <c r="N95" s="111">
        <f t="shared" si="18"/>
        <v>0</v>
      </c>
      <c r="O95" s="111">
        <f t="shared" si="18"/>
        <v>100</v>
      </c>
      <c r="P95" s="97">
        <f t="shared" si="15"/>
        <v>0</v>
      </c>
      <c r="Q95" s="97">
        <f t="shared" si="16"/>
        <v>0</v>
      </c>
    </row>
    <row r="96" spans="1:17" ht="31.5" x14ac:dyDescent="0.2">
      <c r="A96" s="40"/>
      <c r="B96" s="113" t="s">
        <v>40</v>
      </c>
      <c r="C96" s="113">
        <v>992</v>
      </c>
      <c r="D96" s="133" t="s">
        <v>86</v>
      </c>
      <c r="E96" s="133">
        <v>1030222500</v>
      </c>
      <c r="F96" s="134">
        <v>200</v>
      </c>
      <c r="G96" s="111"/>
      <c r="H96" s="111"/>
      <c r="I96" s="111"/>
      <c r="J96" s="115">
        <v>100</v>
      </c>
      <c r="K96" s="111"/>
      <c r="L96" s="115">
        <f>SUM(J96)</f>
        <v>100</v>
      </c>
      <c r="M96" s="111">
        <f>SUM(J96)</f>
        <v>100</v>
      </c>
      <c r="N96" s="111">
        <f t="shared" si="18"/>
        <v>0</v>
      </c>
      <c r="O96" s="111">
        <f t="shared" si="18"/>
        <v>100</v>
      </c>
      <c r="P96" s="97">
        <f t="shared" si="15"/>
        <v>0</v>
      </c>
      <c r="Q96" s="97">
        <f t="shared" si="16"/>
        <v>0</v>
      </c>
    </row>
    <row r="97" spans="1:17" ht="31.5" x14ac:dyDescent="0.2">
      <c r="A97" s="40"/>
      <c r="B97" s="113" t="s">
        <v>128</v>
      </c>
      <c r="C97" s="113" t="s">
        <v>51</v>
      </c>
      <c r="D97" s="133" t="s">
        <v>86</v>
      </c>
      <c r="E97" s="133" t="s">
        <v>129</v>
      </c>
      <c r="F97" s="134" t="s">
        <v>11</v>
      </c>
      <c r="G97" s="111">
        <f>G98+G111</f>
        <v>56013.4</v>
      </c>
      <c r="H97" s="111">
        <f>H98+H111</f>
        <v>267.60000000000002</v>
      </c>
      <c r="I97" s="111">
        <f>I98+I111</f>
        <v>56281</v>
      </c>
      <c r="J97" s="114">
        <f>J98+J111</f>
        <v>0</v>
      </c>
      <c r="K97" s="111">
        <f>K98+K103</f>
        <v>0</v>
      </c>
      <c r="L97" s="114">
        <f>L98+L111</f>
        <v>0</v>
      </c>
      <c r="M97" s="111">
        <f>M98+M111</f>
        <v>56013.4</v>
      </c>
      <c r="N97" s="111">
        <f>N98+N111</f>
        <v>267.60000000000002</v>
      </c>
      <c r="O97" s="111">
        <f>O98+O111</f>
        <v>56281</v>
      </c>
      <c r="P97" s="97">
        <f t="shared" si="15"/>
        <v>56281</v>
      </c>
      <c r="Q97" s="97">
        <f t="shared" si="16"/>
        <v>0</v>
      </c>
    </row>
    <row r="98" spans="1:17" ht="15.75" x14ac:dyDescent="0.2">
      <c r="A98" s="40"/>
      <c r="B98" s="113" t="s">
        <v>130</v>
      </c>
      <c r="C98" s="113" t="s">
        <v>51</v>
      </c>
      <c r="D98" s="133" t="s">
        <v>86</v>
      </c>
      <c r="E98" s="133" t="s">
        <v>131</v>
      </c>
      <c r="F98" s="134" t="s">
        <v>11</v>
      </c>
      <c r="G98" s="111">
        <f>G99+G104</f>
        <v>55813.4</v>
      </c>
      <c r="H98" s="111">
        <f>H99+H104</f>
        <v>452.90000000000003</v>
      </c>
      <c r="I98" s="111">
        <f>I99+I104</f>
        <v>56266.3</v>
      </c>
      <c r="J98" s="114">
        <f>J99+J104</f>
        <v>0</v>
      </c>
      <c r="K98" s="111">
        <f>K99</f>
        <v>0</v>
      </c>
      <c r="L98" s="114">
        <f>L99+L104</f>
        <v>0</v>
      </c>
      <c r="M98" s="111">
        <f>M99+M104</f>
        <v>55813.4</v>
      </c>
      <c r="N98" s="111">
        <f>N99+N104</f>
        <v>452.90000000000003</v>
      </c>
      <c r="O98" s="111">
        <f>O99+O104</f>
        <v>56266.3</v>
      </c>
      <c r="P98" s="97">
        <f t="shared" si="15"/>
        <v>56266.3</v>
      </c>
      <c r="Q98" s="97">
        <f t="shared" si="16"/>
        <v>0</v>
      </c>
    </row>
    <row r="99" spans="1:17" ht="15.75" x14ac:dyDescent="0.2">
      <c r="A99" s="40"/>
      <c r="B99" s="113" t="s">
        <v>132</v>
      </c>
      <c r="C99" s="113" t="s">
        <v>51</v>
      </c>
      <c r="D99" s="133" t="s">
        <v>86</v>
      </c>
      <c r="E99" s="133" t="s">
        <v>133</v>
      </c>
      <c r="F99" s="134" t="s">
        <v>11</v>
      </c>
      <c r="G99" s="111">
        <f>G100</f>
        <v>42575.5</v>
      </c>
      <c r="H99" s="111">
        <f>SUM(H100)</f>
        <v>0</v>
      </c>
      <c r="I99" s="111">
        <f>I100</f>
        <v>42575.5</v>
      </c>
      <c r="J99" s="114">
        <f>J100</f>
        <v>0</v>
      </c>
      <c r="K99" s="111">
        <f>K100+K101+K102</f>
        <v>0</v>
      </c>
      <c r="L99" s="114">
        <f>L100</f>
        <v>0</v>
      </c>
      <c r="M99" s="111">
        <f>M100</f>
        <v>42575.5</v>
      </c>
      <c r="N99" s="111">
        <f>N100</f>
        <v>0</v>
      </c>
      <c r="O99" s="111">
        <f>O100</f>
        <v>42575.5</v>
      </c>
      <c r="P99" s="97">
        <f t="shared" si="15"/>
        <v>42575.5</v>
      </c>
      <c r="Q99" s="97">
        <f t="shared" si="16"/>
        <v>0</v>
      </c>
    </row>
    <row r="100" spans="1:17" ht="31.5" x14ac:dyDescent="0.2">
      <c r="A100" s="40"/>
      <c r="B100" s="113" t="s">
        <v>134</v>
      </c>
      <c r="C100" s="113" t="s">
        <v>51</v>
      </c>
      <c r="D100" s="133" t="s">
        <v>86</v>
      </c>
      <c r="E100" s="133" t="s">
        <v>135</v>
      </c>
      <c r="F100" s="134" t="s">
        <v>11</v>
      </c>
      <c r="G100" s="111">
        <f>G101+G102+G103</f>
        <v>42575.5</v>
      </c>
      <c r="H100" s="111">
        <f>SUM(H101:H103)</f>
        <v>0</v>
      </c>
      <c r="I100" s="111">
        <f>I101+I102+I103</f>
        <v>42575.5</v>
      </c>
      <c r="J100" s="114">
        <f>J101+J102+J103</f>
        <v>0</v>
      </c>
      <c r="K100" s="111"/>
      <c r="L100" s="114">
        <f>L101+L102+L103</f>
        <v>0</v>
      </c>
      <c r="M100" s="111">
        <f>M101+M102+M103</f>
        <v>42575.5</v>
      </c>
      <c r="N100" s="111">
        <f>N101+N102+N103</f>
        <v>0</v>
      </c>
      <c r="O100" s="111">
        <f>O101+O102+O103</f>
        <v>42575.5</v>
      </c>
      <c r="P100" s="97">
        <f t="shared" si="15"/>
        <v>42575.5</v>
      </c>
      <c r="Q100" s="97">
        <f t="shared" si="16"/>
        <v>0</v>
      </c>
    </row>
    <row r="101" spans="1:17" ht="37.9" customHeight="1" x14ac:dyDescent="0.2">
      <c r="A101" s="40"/>
      <c r="B101" s="113" t="s">
        <v>61</v>
      </c>
      <c r="C101" s="113" t="s">
        <v>51</v>
      </c>
      <c r="D101" s="133" t="s">
        <v>86</v>
      </c>
      <c r="E101" s="133" t="s">
        <v>135</v>
      </c>
      <c r="F101" s="134" t="s">
        <v>62</v>
      </c>
      <c r="G101" s="111">
        <v>27844.5</v>
      </c>
      <c r="H101" s="111"/>
      <c r="I101" s="111">
        <f>SUM(G101)+H101</f>
        <v>27844.5</v>
      </c>
      <c r="J101" s="115">
        <v>0</v>
      </c>
      <c r="K101" s="111"/>
      <c r="L101" s="115">
        <v>0</v>
      </c>
      <c r="M101" s="111">
        <f t="shared" ref="M101:O102" si="19">SUM(G101)</f>
        <v>27844.5</v>
      </c>
      <c r="N101" s="111">
        <f t="shared" si="19"/>
        <v>0</v>
      </c>
      <c r="O101" s="111">
        <f t="shared" si="19"/>
        <v>27844.5</v>
      </c>
      <c r="P101" s="97">
        <f t="shared" si="15"/>
        <v>27844.5</v>
      </c>
      <c r="Q101" s="97">
        <f t="shared" si="16"/>
        <v>0</v>
      </c>
    </row>
    <row r="102" spans="1:17" ht="31.5" x14ac:dyDescent="0.2">
      <c r="A102" s="40"/>
      <c r="B102" s="113" t="s">
        <v>40</v>
      </c>
      <c r="C102" s="113" t="s">
        <v>51</v>
      </c>
      <c r="D102" s="133" t="s">
        <v>86</v>
      </c>
      <c r="E102" s="133" t="s">
        <v>135</v>
      </c>
      <c r="F102" s="134" t="s">
        <v>41</v>
      </c>
      <c r="G102" s="111">
        <v>14653.6</v>
      </c>
      <c r="H102" s="111"/>
      <c r="I102" s="111">
        <f>SUM(G102)+H102</f>
        <v>14653.6</v>
      </c>
      <c r="J102" s="115">
        <v>0</v>
      </c>
      <c r="K102" s="111"/>
      <c r="L102" s="115">
        <v>0</v>
      </c>
      <c r="M102" s="111">
        <f t="shared" si="19"/>
        <v>14653.6</v>
      </c>
      <c r="N102" s="111">
        <f t="shared" si="19"/>
        <v>0</v>
      </c>
      <c r="O102" s="111">
        <f t="shared" si="19"/>
        <v>14653.6</v>
      </c>
      <c r="P102" s="97">
        <f t="shared" si="15"/>
        <v>14653.6</v>
      </c>
      <c r="Q102" s="97">
        <f t="shared" si="16"/>
        <v>0</v>
      </c>
    </row>
    <row r="103" spans="1:17" ht="15.75" x14ac:dyDescent="0.2">
      <c r="A103" s="40"/>
      <c r="B103" s="113" t="s">
        <v>70</v>
      </c>
      <c r="C103" s="113" t="s">
        <v>51</v>
      </c>
      <c r="D103" s="133" t="s">
        <v>86</v>
      </c>
      <c r="E103" s="133" t="s">
        <v>135</v>
      </c>
      <c r="F103" s="134" t="s">
        <v>71</v>
      </c>
      <c r="G103" s="111">
        <v>77.400000000000006</v>
      </c>
      <c r="H103" s="111"/>
      <c r="I103" s="111">
        <v>77.400000000000006</v>
      </c>
      <c r="J103" s="115">
        <v>0</v>
      </c>
      <c r="K103" s="111"/>
      <c r="L103" s="115">
        <v>0</v>
      </c>
      <c r="M103" s="111">
        <v>77.400000000000006</v>
      </c>
      <c r="N103" s="111"/>
      <c r="O103" s="111">
        <v>77.400000000000006</v>
      </c>
      <c r="P103" s="97">
        <f t="shared" si="15"/>
        <v>77.400000000000006</v>
      </c>
      <c r="Q103" s="97">
        <f t="shared" si="16"/>
        <v>0</v>
      </c>
    </row>
    <row r="104" spans="1:17" ht="31.5" x14ac:dyDescent="0.2">
      <c r="A104" s="40"/>
      <c r="B104" s="113" t="s">
        <v>136</v>
      </c>
      <c r="C104" s="113" t="s">
        <v>51</v>
      </c>
      <c r="D104" s="133" t="s">
        <v>86</v>
      </c>
      <c r="E104" s="133" t="s">
        <v>137</v>
      </c>
      <c r="F104" s="134" t="s">
        <v>11</v>
      </c>
      <c r="G104" s="111">
        <f>G105+G108</f>
        <v>13237.9</v>
      </c>
      <c r="H104" s="111">
        <f>H105+H108</f>
        <v>452.90000000000003</v>
      </c>
      <c r="I104" s="111">
        <f>I105+I108</f>
        <v>13690.8</v>
      </c>
      <c r="J104" s="114">
        <f>J105+J108</f>
        <v>0</v>
      </c>
      <c r="K104" s="111">
        <f>K105+K106</f>
        <v>0</v>
      </c>
      <c r="L104" s="114">
        <f>L105+L108</f>
        <v>0</v>
      </c>
      <c r="M104" s="111">
        <f>M105+M108</f>
        <v>13237.9</v>
      </c>
      <c r="N104" s="111">
        <f>N105+N108</f>
        <v>452.90000000000003</v>
      </c>
      <c r="O104" s="111">
        <f>O105+O108</f>
        <v>13690.8</v>
      </c>
      <c r="P104" s="97">
        <f t="shared" si="15"/>
        <v>13690.8</v>
      </c>
      <c r="Q104" s="97">
        <f t="shared" si="16"/>
        <v>0</v>
      </c>
    </row>
    <row r="105" spans="1:17" ht="31.5" x14ac:dyDescent="0.2">
      <c r="A105" s="40"/>
      <c r="B105" s="113" t="s">
        <v>134</v>
      </c>
      <c r="C105" s="113" t="s">
        <v>51</v>
      </c>
      <c r="D105" s="133" t="s">
        <v>86</v>
      </c>
      <c r="E105" s="133" t="s">
        <v>138</v>
      </c>
      <c r="F105" s="134" t="s">
        <v>11</v>
      </c>
      <c r="G105" s="111">
        <f>G106+G107</f>
        <v>10245</v>
      </c>
      <c r="H105" s="111">
        <f>SUM(H106)+H107</f>
        <v>0</v>
      </c>
      <c r="I105" s="111">
        <f>I106+I107+H105</f>
        <v>10245</v>
      </c>
      <c r="J105" s="114">
        <f>J106+J107</f>
        <v>0</v>
      </c>
      <c r="K105" s="111"/>
      <c r="L105" s="114">
        <f>L106+L107</f>
        <v>0</v>
      </c>
      <c r="M105" s="111">
        <f>M106+M107</f>
        <v>10245</v>
      </c>
      <c r="N105" s="111">
        <f>SUM(N106)+N107</f>
        <v>0</v>
      </c>
      <c r="O105" s="111">
        <f>O106+O107+N105</f>
        <v>10245</v>
      </c>
      <c r="P105" s="97">
        <f t="shared" si="15"/>
        <v>10245</v>
      </c>
      <c r="Q105" s="97">
        <f t="shared" si="16"/>
        <v>0</v>
      </c>
    </row>
    <row r="106" spans="1:17" ht="78.75" x14ac:dyDescent="0.2">
      <c r="A106" s="40"/>
      <c r="B106" s="113" t="s">
        <v>61</v>
      </c>
      <c r="C106" s="113" t="s">
        <v>51</v>
      </c>
      <c r="D106" s="133" t="s">
        <v>86</v>
      </c>
      <c r="E106" s="133" t="s">
        <v>138</v>
      </c>
      <c r="F106" s="134" t="s">
        <v>62</v>
      </c>
      <c r="G106" s="111">
        <v>9545</v>
      </c>
      <c r="H106" s="111"/>
      <c r="I106" s="111">
        <f>SUM(G106)+H106</f>
        <v>9545</v>
      </c>
      <c r="J106" s="115">
        <v>0</v>
      </c>
      <c r="K106" s="111"/>
      <c r="L106" s="115">
        <v>0</v>
      </c>
      <c r="M106" s="111">
        <f>SUM(G106)</f>
        <v>9545</v>
      </c>
      <c r="N106" s="111">
        <f>SUM(H106)</f>
        <v>0</v>
      </c>
      <c r="O106" s="111">
        <f>SUM(I106)</f>
        <v>9545</v>
      </c>
      <c r="P106" s="97">
        <f t="shared" si="15"/>
        <v>9545</v>
      </c>
      <c r="Q106" s="97">
        <f t="shared" si="16"/>
        <v>0</v>
      </c>
    </row>
    <row r="107" spans="1:17" ht="31.5" x14ac:dyDescent="0.2">
      <c r="A107" s="40"/>
      <c r="B107" s="113" t="s">
        <v>40</v>
      </c>
      <c r="C107" s="113" t="s">
        <v>51</v>
      </c>
      <c r="D107" s="133" t="s">
        <v>86</v>
      </c>
      <c r="E107" s="133" t="s">
        <v>138</v>
      </c>
      <c r="F107" s="134" t="s">
        <v>41</v>
      </c>
      <c r="G107" s="111">
        <v>700</v>
      </c>
      <c r="H107" s="111"/>
      <c r="I107" s="111">
        <f>700+H107</f>
        <v>700</v>
      </c>
      <c r="J107" s="115">
        <v>0</v>
      </c>
      <c r="K107" s="111"/>
      <c r="L107" s="115">
        <v>0</v>
      </c>
      <c r="M107" s="111">
        <v>700</v>
      </c>
      <c r="N107" s="111">
        <f>SUM(H107)</f>
        <v>0</v>
      </c>
      <c r="O107" s="111">
        <f>SUM(I107)</f>
        <v>700</v>
      </c>
      <c r="P107" s="97">
        <f t="shared" si="15"/>
        <v>700</v>
      </c>
      <c r="Q107" s="97">
        <f t="shared" si="16"/>
        <v>0</v>
      </c>
    </row>
    <row r="108" spans="1:17" ht="47.25" x14ac:dyDescent="0.2">
      <c r="A108" s="40"/>
      <c r="B108" s="113" t="s">
        <v>139</v>
      </c>
      <c r="C108" s="113" t="s">
        <v>51</v>
      </c>
      <c r="D108" s="133" t="s">
        <v>86</v>
      </c>
      <c r="E108" s="133" t="s">
        <v>140</v>
      </c>
      <c r="F108" s="134" t="s">
        <v>11</v>
      </c>
      <c r="G108" s="111">
        <f>G109+G110</f>
        <v>2992.9</v>
      </c>
      <c r="H108" s="111">
        <f>SUM(H109)+H110</f>
        <v>452.90000000000003</v>
      </c>
      <c r="I108" s="111">
        <f>I109+I110</f>
        <v>3445.8</v>
      </c>
      <c r="J108" s="114">
        <f>J109+J110</f>
        <v>0</v>
      </c>
      <c r="K108" s="111"/>
      <c r="L108" s="114">
        <f>L109+L110</f>
        <v>0</v>
      </c>
      <c r="M108" s="111">
        <f>M109+M110</f>
        <v>2992.9</v>
      </c>
      <c r="N108" s="111">
        <f>N109+N110</f>
        <v>452.90000000000003</v>
      </c>
      <c r="O108" s="111">
        <f>O109+O110</f>
        <v>3445.8</v>
      </c>
      <c r="P108" s="97">
        <f t="shared" si="15"/>
        <v>3445.8</v>
      </c>
      <c r="Q108" s="97">
        <f t="shared" si="16"/>
        <v>0</v>
      </c>
    </row>
    <row r="109" spans="1:17" ht="31.5" x14ac:dyDescent="0.2">
      <c r="A109" s="40"/>
      <c r="B109" s="113" t="s">
        <v>40</v>
      </c>
      <c r="C109" s="113" t="s">
        <v>51</v>
      </c>
      <c r="D109" s="133" t="s">
        <v>86</v>
      </c>
      <c r="E109" s="133" t="s">
        <v>140</v>
      </c>
      <c r="F109" s="134" t="s">
        <v>41</v>
      </c>
      <c r="G109" s="111">
        <v>1908</v>
      </c>
      <c r="H109" s="111">
        <f>-12.4+280+185.3</f>
        <v>452.90000000000003</v>
      </c>
      <c r="I109" s="111">
        <f>SUM(G109)+H109</f>
        <v>2360.9</v>
      </c>
      <c r="J109" s="115">
        <v>0</v>
      </c>
      <c r="K109" s="111"/>
      <c r="L109" s="115">
        <v>0</v>
      </c>
      <c r="M109" s="111">
        <f t="shared" ref="M109:O110" si="20">SUM(G109)</f>
        <v>1908</v>
      </c>
      <c r="N109" s="111">
        <f t="shared" si="20"/>
        <v>452.90000000000003</v>
      </c>
      <c r="O109" s="111">
        <f t="shared" si="20"/>
        <v>2360.9</v>
      </c>
      <c r="P109" s="97">
        <f t="shared" si="15"/>
        <v>2360.9</v>
      </c>
      <c r="Q109" s="97">
        <f t="shared" si="16"/>
        <v>0</v>
      </c>
    </row>
    <row r="110" spans="1:17" ht="15.75" x14ac:dyDescent="0.2">
      <c r="A110" s="40"/>
      <c r="B110" s="113" t="s">
        <v>70</v>
      </c>
      <c r="C110" s="113" t="s">
        <v>51</v>
      </c>
      <c r="D110" s="133" t="s">
        <v>86</v>
      </c>
      <c r="E110" s="133" t="s">
        <v>140</v>
      </c>
      <c r="F110" s="134" t="s">
        <v>71</v>
      </c>
      <c r="G110" s="111">
        <v>1084.9000000000001</v>
      </c>
      <c r="H110" s="111"/>
      <c r="I110" s="111">
        <f>SUM(G110:H110)</f>
        <v>1084.9000000000001</v>
      </c>
      <c r="J110" s="115">
        <v>0</v>
      </c>
      <c r="K110" s="111"/>
      <c r="L110" s="115">
        <v>0</v>
      </c>
      <c r="M110" s="111">
        <f t="shared" si="20"/>
        <v>1084.9000000000001</v>
      </c>
      <c r="N110" s="111">
        <f t="shared" si="20"/>
        <v>0</v>
      </c>
      <c r="O110" s="111">
        <f t="shared" si="20"/>
        <v>1084.9000000000001</v>
      </c>
      <c r="P110" s="97">
        <f t="shared" si="15"/>
        <v>1084.9000000000001</v>
      </c>
      <c r="Q110" s="97">
        <f t="shared" si="16"/>
        <v>0</v>
      </c>
    </row>
    <row r="111" spans="1:17" ht="15.75" x14ac:dyDescent="0.2">
      <c r="A111" s="40"/>
      <c r="B111" s="113" t="s">
        <v>141</v>
      </c>
      <c r="C111" s="113" t="s">
        <v>51</v>
      </c>
      <c r="D111" s="133" t="s">
        <v>86</v>
      </c>
      <c r="E111" s="133" t="s">
        <v>142</v>
      </c>
      <c r="F111" s="134" t="s">
        <v>11</v>
      </c>
      <c r="G111" s="111">
        <f t="shared" ref="G111:O113" si="21">G112</f>
        <v>200</v>
      </c>
      <c r="H111" s="111">
        <f t="shared" si="21"/>
        <v>-185.3</v>
      </c>
      <c r="I111" s="111">
        <f t="shared" si="21"/>
        <v>14.699999999999989</v>
      </c>
      <c r="J111" s="114">
        <f t="shared" si="21"/>
        <v>0</v>
      </c>
      <c r="K111" s="111">
        <f>K112</f>
        <v>0</v>
      </c>
      <c r="L111" s="114">
        <f t="shared" si="21"/>
        <v>0</v>
      </c>
      <c r="M111" s="111">
        <f t="shared" si="21"/>
        <v>200</v>
      </c>
      <c r="N111" s="111">
        <f t="shared" si="21"/>
        <v>-185.3</v>
      </c>
      <c r="O111" s="111">
        <f t="shared" si="21"/>
        <v>14.699999999999989</v>
      </c>
      <c r="P111" s="97">
        <f t="shared" si="15"/>
        <v>14.699999999999989</v>
      </c>
      <c r="Q111" s="97">
        <f t="shared" si="16"/>
        <v>0</v>
      </c>
    </row>
    <row r="112" spans="1:17" ht="47.25" x14ac:dyDescent="0.2">
      <c r="A112" s="40"/>
      <c r="B112" s="113" t="s">
        <v>143</v>
      </c>
      <c r="C112" s="113" t="s">
        <v>51</v>
      </c>
      <c r="D112" s="133" t="s">
        <v>86</v>
      </c>
      <c r="E112" s="133" t="s">
        <v>144</v>
      </c>
      <c r="F112" s="134" t="s">
        <v>11</v>
      </c>
      <c r="G112" s="111">
        <f t="shared" si="21"/>
        <v>200</v>
      </c>
      <c r="H112" s="111">
        <f t="shared" si="21"/>
        <v>-185.3</v>
      </c>
      <c r="I112" s="111">
        <f t="shared" si="21"/>
        <v>14.699999999999989</v>
      </c>
      <c r="J112" s="114">
        <f t="shared" si="21"/>
        <v>0</v>
      </c>
      <c r="K112" s="111">
        <f>K113</f>
        <v>0</v>
      </c>
      <c r="L112" s="114">
        <f t="shared" si="21"/>
        <v>0</v>
      </c>
      <c r="M112" s="111">
        <f t="shared" si="21"/>
        <v>200</v>
      </c>
      <c r="N112" s="111">
        <f t="shared" si="21"/>
        <v>-185.3</v>
      </c>
      <c r="O112" s="111">
        <f t="shared" si="21"/>
        <v>14.699999999999989</v>
      </c>
      <c r="P112" s="97">
        <f t="shared" si="15"/>
        <v>14.699999999999989</v>
      </c>
      <c r="Q112" s="97">
        <f t="shared" si="16"/>
        <v>0</v>
      </c>
    </row>
    <row r="113" spans="1:17" ht="31.5" x14ac:dyDescent="0.2">
      <c r="A113" s="40"/>
      <c r="B113" s="113" t="s">
        <v>145</v>
      </c>
      <c r="C113" s="113" t="s">
        <v>51</v>
      </c>
      <c r="D113" s="133" t="s">
        <v>86</v>
      </c>
      <c r="E113" s="133" t="s">
        <v>146</v>
      </c>
      <c r="F113" s="134" t="s">
        <v>11</v>
      </c>
      <c r="G113" s="111">
        <f>G114</f>
        <v>200</v>
      </c>
      <c r="H113" s="111">
        <f>-126.8-58.5</f>
        <v>-185.3</v>
      </c>
      <c r="I113" s="111">
        <f>I114</f>
        <v>14.699999999999989</v>
      </c>
      <c r="J113" s="114">
        <f t="shared" si="21"/>
        <v>0</v>
      </c>
      <c r="K113" s="111"/>
      <c r="L113" s="114">
        <f t="shared" si="21"/>
        <v>0</v>
      </c>
      <c r="M113" s="111">
        <f t="shared" si="21"/>
        <v>200</v>
      </c>
      <c r="N113" s="111">
        <f t="shared" si="21"/>
        <v>-185.3</v>
      </c>
      <c r="O113" s="111">
        <f t="shared" si="21"/>
        <v>14.699999999999989</v>
      </c>
      <c r="P113" s="97">
        <f t="shared" si="15"/>
        <v>14.699999999999989</v>
      </c>
      <c r="Q113" s="97">
        <f t="shared" si="16"/>
        <v>0</v>
      </c>
    </row>
    <row r="114" spans="1:17" ht="31.5" x14ac:dyDescent="0.2">
      <c r="A114" s="40"/>
      <c r="B114" s="113" t="s">
        <v>40</v>
      </c>
      <c r="C114" s="113" t="s">
        <v>51</v>
      </c>
      <c r="D114" s="133" t="s">
        <v>86</v>
      </c>
      <c r="E114" s="133" t="s">
        <v>146</v>
      </c>
      <c r="F114" s="134" t="s">
        <v>41</v>
      </c>
      <c r="G114" s="111">
        <v>200</v>
      </c>
      <c r="H114" s="111">
        <f>-126.8-58.5</f>
        <v>-185.3</v>
      </c>
      <c r="I114" s="111">
        <f>200+H114</f>
        <v>14.699999999999989</v>
      </c>
      <c r="J114" s="115">
        <v>0</v>
      </c>
      <c r="K114" s="111">
        <f>K119</f>
        <v>0</v>
      </c>
      <c r="L114" s="115">
        <v>0</v>
      </c>
      <c r="M114" s="111">
        <v>200</v>
      </c>
      <c r="N114" s="111">
        <f>SUM(H114)</f>
        <v>-185.3</v>
      </c>
      <c r="O114" s="111">
        <f>200+N114</f>
        <v>14.699999999999989</v>
      </c>
      <c r="P114" s="97">
        <f t="shared" si="15"/>
        <v>14.699999999999989</v>
      </c>
      <c r="Q114" s="97">
        <f t="shared" si="16"/>
        <v>0</v>
      </c>
    </row>
    <row r="115" spans="1:17" ht="31.5" x14ac:dyDescent="0.2">
      <c r="A115" s="40"/>
      <c r="B115" s="118" t="s">
        <v>66</v>
      </c>
      <c r="C115" s="118" t="s">
        <v>51</v>
      </c>
      <c r="D115" s="136" t="s">
        <v>86</v>
      </c>
      <c r="E115" s="136" t="s">
        <v>67</v>
      </c>
      <c r="F115" s="134"/>
      <c r="G115" s="111">
        <f t="shared" ref="G115:O117" si="22">G116</f>
        <v>170.5</v>
      </c>
      <c r="H115" s="120">
        <f t="shared" si="22"/>
        <v>39.700000000000003</v>
      </c>
      <c r="I115" s="114">
        <f t="shared" si="22"/>
        <v>210.2</v>
      </c>
      <c r="J115" s="114">
        <f t="shared" si="22"/>
        <v>0</v>
      </c>
      <c r="K115" s="114">
        <f t="shared" si="22"/>
        <v>0</v>
      </c>
      <c r="L115" s="114">
        <f t="shared" si="22"/>
        <v>0</v>
      </c>
      <c r="M115" s="114">
        <f t="shared" si="22"/>
        <v>170.5</v>
      </c>
      <c r="N115" s="119">
        <f t="shared" si="22"/>
        <v>39.700000000000003</v>
      </c>
      <c r="O115" s="111">
        <f t="shared" si="22"/>
        <v>210.2</v>
      </c>
      <c r="P115" s="97">
        <f t="shared" si="15"/>
        <v>210.2</v>
      </c>
      <c r="Q115" s="97">
        <f t="shared" si="16"/>
        <v>0</v>
      </c>
    </row>
    <row r="116" spans="1:17" ht="31.5" x14ac:dyDescent="0.2">
      <c r="A116" s="40"/>
      <c r="B116" s="118" t="s">
        <v>80</v>
      </c>
      <c r="C116" s="118" t="s">
        <v>51</v>
      </c>
      <c r="D116" s="136" t="s">
        <v>86</v>
      </c>
      <c r="E116" s="136" t="s">
        <v>81</v>
      </c>
      <c r="F116" s="134"/>
      <c r="G116" s="111">
        <f t="shared" si="22"/>
        <v>170.5</v>
      </c>
      <c r="H116" s="120">
        <f t="shared" si="22"/>
        <v>39.700000000000003</v>
      </c>
      <c r="I116" s="114">
        <f t="shared" si="22"/>
        <v>210.2</v>
      </c>
      <c r="J116" s="114">
        <f t="shared" si="22"/>
        <v>0</v>
      </c>
      <c r="K116" s="114">
        <f t="shared" si="22"/>
        <v>0</v>
      </c>
      <c r="L116" s="114">
        <f t="shared" si="22"/>
        <v>0</v>
      </c>
      <c r="M116" s="114">
        <f t="shared" si="22"/>
        <v>170.5</v>
      </c>
      <c r="N116" s="119">
        <f t="shared" si="22"/>
        <v>39.700000000000003</v>
      </c>
      <c r="O116" s="111">
        <f t="shared" si="22"/>
        <v>210.2</v>
      </c>
      <c r="P116" s="97">
        <f t="shared" si="15"/>
        <v>210.2</v>
      </c>
      <c r="Q116" s="97">
        <f t="shared" si="16"/>
        <v>0</v>
      </c>
    </row>
    <row r="117" spans="1:17" ht="31.5" x14ac:dyDescent="0.2">
      <c r="A117" s="40"/>
      <c r="B117" s="118" t="s">
        <v>82</v>
      </c>
      <c r="C117" s="118" t="s">
        <v>51</v>
      </c>
      <c r="D117" s="136" t="s">
        <v>86</v>
      </c>
      <c r="E117" s="136" t="s">
        <v>83</v>
      </c>
      <c r="F117" s="134"/>
      <c r="G117" s="111">
        <f t="shared" si="22"/>
        <v>170.5</v>
      </c>
      <c r="H117" s="120">
        <f t="shared" si="22"/>
        <v>39.700000000000003</v>
      </c>
      <c r="I117" s="114">
        <f t="shared" si="22"/>
        <v>210.2</v>
      </c>
      <c r="J117" s="114">
        <f t="shared" si="22"/>
        <v>0</v>
      </c>
      <c r="K117" s="114">
        <f t="shared" si="22"/>
        <v>0</v>
      </c>
      <c r="L117" s="114">
        <f t="shared" si="22"/>
        <v>0</v>
      </c>
      <c r="M117" s="114">
        <f t="shared" si="22"/>
        <v>170.5</v>
      </c>
      <c r="N117" s="119">
        <f t="shared" si="22"/>
        <v>39.700000000000003</v>
      </c>
      <c r="O117" s="111">
        <f t="shared" si="22"/>
        <v>210.2</v>
      </c>
      <c r="P117" s="97">
        <f t="shared" si="15"/>
        <v>210.2</v>
      </c>
      <c r="Q117" s="97">
        <f t="shared" si="16"/>
        <v>0</v>
      </c>
    </row>
    <row r="118" spans="1:17" ht="31.5" x14ac:dyDescent="0.2">
      <c r="A118" s="40"/>
      <c r="B118" s="113" t="s">
        <v>40</v>
      </c>
      <c r="C118" s="118" t="s">
        <v>51</v>
      </c>
      <c r="D118" s="136" t="s">
        <v>86</v>
      </c>
      <c r="E118" s="136" t="s">
        <v>83</v>
      </c>
      <c r="F118" s="134">
        <v>200</v>
      </c>
      <c r="G118" s="111">
        <v>170.5</v>
      </c>
      <c r="H118" s="111">
        <v>39.700000000000003</v>
      </c>
      <c r="I118" s="111">
        <f>SUM(G118:H118)</f>
        <v>210.2</v>
      </c>
      <c r="J118" s="115"/>
      <c r="K118" s="111"/>
      <c r="L118" s="115"/>
      <c r="M118" s="111">
        <f>G118+J118</f>
        <v>170.5</v>
      </c>
      <c r="N118" s="111">
        <f>H118+K118</f>
        <v>39.700000000000003</v>
      </c>
      <c r="O118" s="111">
        <f>SUM(M118:N118)</f>
        <v>210.2</v>
      </c>
      <c r="P118" s="97">
        <f t="shared" si="15"/>
        <v>210.2</v>
      </c>
      <c r="Q118" s="97">
        <f t="shared" si="16"/>
        <v>0</v>
      </c>
    </row>
    <row r="119" spans="1:17" ht="34.9" customHeight="1" x14ac:dyDescent="0.2">
      <c r="A119" s="40"/>
      <c r="B119" s="113" t="s">
        <v>147</v>
      </c>
      <c r="C119" s="113" t="s">
        <v>51</v>
      </c>
      <c r="D119" s="133" t="s">
        <v>86</v>
      </c>
      <c r="E119" s="133" t="s">
        <v>148</v>
      </c>
      <c r="F119" s="134" t="s">
        <v>11</v>
      </c>
      <c r="G119" s="111">
        <f t="shared" ref="G119:O121" si="23">G120</f>
        <v>1343.9</v>
      </c>
      <c r="H119" s="111">
        <f t="shared" si="23"/>
        <v>12.4</v>
      </c>
      <c r="I119" s="111">
        <f t="shared" si="23"/>
        <v>1356.3000000000002</v>
      </c>
      <c r="J119" s="114">
        <f t="shared" si="23"/>
        <v>0</v>
      </c>
      <c r="K119" s="111">
        <f>K120</f>
        <v>0</v>
      </c>
      <c r="L119" s="114">
        <f t="shared" si="23"/>
        <v>0</v>
      </c>
      <c r="M119" s="111">
        <f t="shared" si="23"/>
        <v>1343.9</v>
      </c>
      <c r="N119" s="111">
        <f t="shared" si="23"/>
        <v>12.4</v>
      </c>
      <c r="O119" s="111">
        <f t="shared" si="23"/>
        <v>1356.3000000000002</v>
      </c>
      <c r="P119" s="97">
        <f t="shared" si="15"/>
        <v>1356.3000000000002</v>
      </c>
      <c r="Q119" s="97">
        <f t="shared" si="16"/>
        <v>0</v>
      </c>
    </row>
    <row r="120" spans="1:17" ht="31.5" x14ac:dyDescent="0.2">
      <c r="A120" s="40"/>
      <c r="B120" s="113" t="s">
        <v>149</v>
      </c>
      <c r="C120" s="113" t="s">
        <v>51</v>
      </c>
      <c r="D120" s="133" t="s">
        <v>86</v>
      </c>
      <c r="E120" s="133" t="s">
        <v>150</v>
      </c>
      <c r="F120" s="134" t="s">
        <v>11</v>
      </c>
      <c r="G120" s="111">
        <f t="shared" si="23"/>
        <v>1343.9</v>
      </c>
      <c r="H120" s="111">
        <f t="shared" si="23"/>
        <v>12.4</v>
      </c>
      <c r="I120" s="111">
        <f t="shared" si="23"/>
        <v>1356.3000000000002</v>
      </c>
      <c r="J120" s="114">
        <f t="shared" si="23"/>
        <v>0</v>
      </c>
      <c r="K120" s="111">
        <f>K121</f>
        <v>0</v>
      </c>
      <c r="L120" s="114">
        <f t="shared" si="23"/>
        <v>0</v>
      </c>
      <c r="M120" s="111">
        <f t="shared" si="23"/>
        <v>1343.9</v>
      </c>
      <c r="N120" s="111">
        <f t="shared" si="23"/>
        <v>12.4</v>
      </c>
      <c r="O120" s="111">
        <f t="shared" si="23"/>
        <v>1356.3000000000002</v>
      </c>
      <c r="P120" s="97">
        <f t="shared" si="15"/>
        <v>1356.3000000000002</v>
      </c>
      <c r="Q120" s="97">
        <f t="shared" si="16"/>
        <v>0</v>
      </c>
    </row>
    <row r="121" spans="1:17" ht="31.5" x14ac:dyDescent="0.2">
      <c r="A121" s="40"/>
      <c r="B121" s="113" t="s">
        <v>151</v>
      </c>
      <c r="C121" s="113" t="s">
        <v>51</v>
      </c>
      <c r="D121" s="133" t="s">
        <v>86</v>
      </c>
      <c r="E121" s="133" t="s">
        <v>152</v>
      </c>
      <c r="F121" s="134" t="s">
        <v>11</v>
      </c>
      <c r="G121" s="111">
        <f>G122</f>
        <v>1343.9</v>
      </c>
      <c r="H121" s="111">
        <f>SUM(H122)</f>
        <v>12.4</v>
      </c>
      <c r="I121" s="111">
        <f>I122</f>
        <v>1356.3000000000002</v>
      </c>
      <c r="J121" s="114">
        <f t="shared" si="23"/>
        <v>0</v>
      </c>
      <c r="K121" s="111"/>
      <c r="L121" s="114">
        <f t="shared" si="23"/>
        <v>0</v>
      </c>
      <c r="M121" s="111">
        <f t="shared" si="23"/>
        <v>1343.9</v>
      </c>
      <c r="N121" s="111">
        <f t="shared" si="23"/>
        <v>12.4</v>
      </c>
      <c r="O121" s="111">
        <f t="shared" si="23"/>
        <v>1356.3000000000002</v>
      </c>
      <c r="P121" s="97">
        <f t="shared" si="15"/>
        <v>1356.3000000000002</v>
      </c>
      <c r="Q121" s="97">
        <f t="shared" si="16"/>
        <v>0</v>
      </c>
    </row>
    <row r="122" spans="1:17" ht="22.5" customHeight="1" x14ac:dyDescent="0.2">
      <c r="A122" s="40"/>
      <c r="B122" s="113" t="s">
        <v>70</v>
      </c>
      <c r="C122" s="113" t="s">
        <v>51</v>
      </c>
      <c r="D122" s="133" t="s">
        <v>86</v>
      </c>
      <c r="E122" s="133" t="s">
        <v>152</v>
      </c>
      <c r="F122" s="134" t="s">
        <v>71</v>
      </c>
      <c r="G122" s="111">
        <v>1343.9</v>
      </c>
      <c r="H122" s="111">
        <v>12.4</v>
      </c>
      <c r="I122" s="111">
        <f>SUM(G122)+H122</f>
        <v>1356.3000000000002</v>
      </c>
      <c r="J122" s="115">
        <v>0</v>
      </c>
      <c r="K122" s="106">
        <f>K123+K159</f>
        <v>0</v>
      </c>
      <c r="L122" s="115">
        <v>0</v>
      </c>
      <c r="M122" s="111">
        <f>SUM(G122)</f>
        <v>1343.9</v>
      </c>
      <c r="N122" s="111">
        <f>SUM(H122)</f>
        <v>12.4</v>
      </c>
      <c r="O122" s="111">
        <f>SUM(I122)</f>
        <v>1356.3000000000002</v>
      </c>
      <c r="P122" s="97">
        <f t="shared" si="15"/>
        <v>1356.3000000000002</v>
      </c>
      <c r="Q122" s="97">
        <f t="shared" si="16"/>
        <v>0</v>
      </c>
    </row>
    <row r="123" spans="1:17" ht="31.5" x14ac:dyDescent="0.2">
      <c r="A123" s="20" t="s">
        <v>153</v>
      </c>
      <c r="B123" s="107" t="s">
        <v>154</v>
      </c>
      <c r="C123" s="107" t="s">
        <v>51</v>
      </c>
      <c r="D123" s="129" t="s">
        <v>155</v>
      </c>
      <c r="E123" s="133" t="s">
        <v>11</v>
      </c>
      <c r="F123" s="134" t="s">
        <v>11</v>
      </c>
      <c r="G123" s="106">
        <f>G130+G160+G124</f>
        <v>48685.1</v>
      </c>
      <c r="H123" s="109">
        <f>SUM(H124)+H130+H160</f>
        <v>77</v>
      </c>
      <c r="I123" s="106">
        <f>I130+I160+I124</f>
        <v>48762.1</v>
      </c>
      <c r="J123" s="108">
        <f>J130+J160</f>
        <v>0</v>
      </c>
      <c r="K123" s="109">
        <f>K130</f>
        <v>0</v>
      </c>
      <c r="L123" s="108">
        <f>L130+L160</f>
        <v>0</v>
      </c>
      <c r="M123" s="106">
        <f>M130+M160+M124</f>
        <v>48685.1</v>
      </c>
      <c r="N123" s="106">
        <f t="shared" ref="N123:N129" si="24">SUM(H123)</f>
        <v>77</v>
      </c>
      <c r="O123" s="170">
        <f>O130+O160+O124</f>
        <v>48762.1</v>
      </c>
      <c r="P123" s="97">
        <f t="shared" si="15"/>
        <v>48762.1</v>
      </c>
      <c r="Q123" s="97">
        <f t="shared" si="16"/>
        <v>0</v>
      </c>
    </row>
    <row r="124" spans="1:17" ht="15.75" x14ac:dyDescent="0.2">
      <c r="A124" s="20"/>
      <c r="B124" s="116" t="s">
        <v>556</v>
      </c>
      <c r="C124" s="110">
        <v>992</v>
      </c>
      <c r="D124" s="137" t="s">
        <v>555</v>
      </c>
      <c r="E124" s="133"/>
      <c r="F124" s="134"/>
      <c r="G124" s="114">
        <f>G125</f>
        <v>1084.9000000000001</v>
      </c>
      <c r="H124" s="109">
        <f>H125</f>
        <v>0</v>
      </c>
      <c r="I124" s="109">
        <f>SUM(I128)</f>
        <v>1084.9000000000001</v>
      </c>
      <c r="J124" s="112"/>
      <c r="K124" s="109"/>
      <c r="L124" s="112"/>
      <c r="M124" s="109">
        <f>SUM(G124)</f>
        <v>1084.9000000000001</v>
      </c>
      <c r="N124" s="109">
        <f t="shared" si="24"/>
        <v>0</v>
      </c>
      <c r="O124" s="109">
        <f>SUM(I124)</f>
        <v>1084.9000000000001</v>
      </c>
      <c r="P124" s="97">
        <f t="shared" si="15"/>
        <v>1084.9000000000001</v>
      </c>
      <c r="Q124" s="97">
        <f t="shared" si="16"/>
        <v>0</v>
      </c>
    </row>
    <row r="125" spans="1:17" ht="31.5" x14ac:dyDescent="0.2">
      <c r="A125" s="20"/>
      <c r="B125" s="113" t="s">
        <v>159</v>
      </c>
      <c r="C125" s="113" t="s">
        <v>51</v>
      </c>
      <c r="D125" s="136" t="s">
        <v>555</v>
      </c>
      <c r="E125" s="133" t="s">
        <v>160</v>
      </c>
      <c r="F125" s="134"/>
      <c r="G125" s="114">
        <f>G126</f>
        <v>1084.9000000000001</v>
      </c>
      <c r="H125" s="114">
        <f>H126</f>
        <v>0</v>
      </c>
      <c r="I125" s="114">
        <f>I126</f>
        <v>1084.9000000000001</v>
      </c>
      <c r="J125" s="114">
        <f t="shared" ref="J125:O125" si="25">J126</f>
        <v>0</v>
      </c>
      <c r="K125" s="114">
        <f t="shared" si="25"/>
        <v>0</v>
      </c>
      <c r="L125" s="114">
        <f t="shared" si="25"/>
        <v>0</v>
      </c>
      <c r="M125" s="114">
        <f t="shared" si="25"/>
        <v>1084.9000000000001</v>
      </c>
      <c r="N125" s="114">
        <f t="shared" si="25"/>
        <v>0</v>
      </c>
      <c r="O125" s="114">
        <f t="shared" si="25"/>
        <v>1084.9000000000001</v>
      </c>
      <c r="P125" s="97">
        <f t="shared" si="15"/>
        <v>1084.9000000000001</v>
      </c>
      <c r="Q125" s="97">
        <f t="shared" si="16"/>
        <v>0</v>
      </c>
    </row>
    <row r="126" spans="1:17" ht="31.5" x14ac:dyDescent="0.2">
      <c r="A126" s="20"/>
      <c r="B126" s="138" t="s">
        <v>159</v>
      </c>
      <c r="C126" s="113">
        <v>992</v>
      </c>
      <c r="D126" s="139" t="s">
        <v>555</v>
      </c>
      <c r="E126" s="136" t="s">
        <v>162</v>
      </c>
      <c r="F126" s="134"/>
      <c r="G126" s="111">
        <v>1084.9000000000001</v>
      </c>
      <c r="H126" s="117">
        <f>H127</f>
        <v>0</v>
      </c>
      <c r="I126" s="117">
        <f>SUM(I128)</f>
        <v>1084.9000000000001</v>
      </c>
      <c r="J126" s="114"/>
      <c r="K126" s="117"/>
      <c r="L126" s="114"/>
      <c r="M126" s="111">
        <f>SUM(G126)</f>
        <v>1084.9000000000001</v>
      </c>
      <c r="N126" s="111">
        <f t="shared" si="24"/>
        <v>0</v>
      </c>
      <c r="O126" s="111">
        <f>SUM(I126)</f>
        <v>1084.9000000000001</v>
      </c>
      <c r="P126" s="97">
        <f t="shared" si="15"/>
        <v>1084.9000000000001</v>
      </c>
      <c r="Q126" s="97">
        <f t="shared" si="16"/>
        <v>0</v>
      </c>
    </row>
    <row r="127" spans="1:17" ht="63" x14ac:dyDescent="0.2">
      <c r="A127" s="20"/>
      <c r="B127" s="138" t="s">
        <v>161</v>
      </c>
      <c r="C127" s="113">
        <v>992</v>
      </c>
      <c r="D127" s="139" t="s">
        <v>555</v>
      </c>
      <c r="E127" s="136" t="s">
        <v>558</v>
      </c>
      <c r="F127" s="134"/>
      <c r="G127" s="111">
        <v>1084.9000000000001</v>
      </c>
      <c r="H127" s="117">
        <f>SUM(H129)</f>
        <v>0</v>
      </c>
      <c r="I127" s="117">
        <f>SUM(I129)</f>
        <v>1084.9000000000001</v>
      </c>
      <c r="J127" s="114"/>
      <c r="K127" s="117"/>
      <c r="L127" s="114"/>
      <c r="M127" s="111">
        <f>SUM(G127)</f>
        <v>1084.9000000000001</v>
      </c>
      <c r="N127" s="111">
        <f t="shared" si="24"/>
        <v>0</v>
      </c>
      <c r="O127" s="111">
        <f>SUM(I127)</f>
        <v>1084.9000000000001</v>
      </c>
      <c r="P127" s="97">
        <f t="shared" si="15"/>
        <v>1084.9000000000001</v>
      </c>
      <c r="Q127" s="97">
        <f t="shared" si="16"/>
        <v>0</v>
      </c>
    </row>
    <row r="128" spans="1:17" ht="31.5" x14ac:dyDescent="0.2">
      <c r="A128" s="20"/>
      <c r="B128" s="138" t="s">
        <v>557</v>
      </c>
      <c r="C128" s="113">
        <v>992</v>
      </c>
      <c r="D128" s="139" t="s">
        <v>555</v>
      </c>
      <c r="E128" s="136" t="s">
        <v>554</v>
      </c>
      <c r="F128" s="134"/>
      <c r="G128" s="111">
        <v>1084.9000000000001</v>
      </c>
      <c r="H128" s="117">
        <f>H129</f>
        <v>0</v>
      </c>
      <c r="I128" s="111">
        <f>SUM(G128)+H128</f>
        <v>1084.9000000000001</v>
      </c>
      <c r="J128" s="114"/>
      <c r="K128" s="117"/>
      <c r="L128" s="114"/>
      <c r="M128" s="111">
        <f>SUM(G128)</f>
        <v>1084.9000000000001</v>
      </c>
      <c r="N128" s="111">
        <f t="shared" si="24"/>
        <v>0</v>
      </c>
      <c r="O128" s="111">
        <f>SUM(I128)</f>
        <v>1084.9000000000001</v>
      </c>
      <c r="P128" s="97">
        <f t="shared" si="15"/>
        <v>1084.9000000000001</v>
      </c>
      <c r="Q128" s="97">
        <f t="shared" si="16"/>
        <v>0</v>
      </c>
    </row>
    <row r="129" spans="1:18" ht="31.5" x14ac:dyDescent="0.2">
      <c r="A129" s="20"/>
      <c r="B129" s="113" t="s">
        <v>40</v>
      </c>
      <c r="C129" s="113">
        <v>992</v>
      </c>
      <c r="D129" s="139" t="s">
        <v>555</v>
      </c>
      <c r="E129" s="136" t="s">
        <v>554</v>
      </c>
      <c r="F129" s="134">
        <v>200</v>
      </c>
      <c r="G129" s="111">
        <v>1084.9000000000001</v>
      </c>
      <c r="H129" s="117"/>
      <c r="I129" s="111">
        <f>SUM(G129)+H129</f>
        <v>1084.9000000000001</v>
      </c>
      <c r="J129" s="114"/>
      <c r="K129" s="117"/>
      <c r="L129" s="114"/>
      <c r="M129" s="111">
        <f>SUM(G129)</f>
        <v>1084.9000000000001</v>
      </c>
      <c r="N129" s="111">
        <f t="shared" si="24"/>
        <v>0</v>
      </c>
      <c r="O129" s="111">
        <f>SUM(I129)</f>
        <v>1084.9000000000001</v>
      </c>
      <c r="P129" s="97">
        <f t="shared" si="15"/>
        <v>1084.9000000000001</v>
      </c>
      <c r="Q129" s="97">
        <f t="shared" si="16"/>
        <v>0</v>
      </c>
    </row>
    <row r="130" spans="1:18" ht="63" x14ac:dyDescent="0.2">
      <c r="A130" s="33" t="s">
        <v>156</v>
      </c>
      <c r="B130" s="110" t="s">
        <v>157</v>
      </c>
      <c r="C130" s="110" t="s">
        <v>51</v>
      </c>
      <c r="D130" s="131" t="s">
        <v>158</v>
      </c>
      <c r="E130" s="131" t="s">
        <v>11</v>
      </c>
      <c r="F130" s="132" t="s">
        <v>11</v>
      </c>
      <c r="G130" s="109">
        <f>G131+G148</f>
        <v>40423.5</v>
      </c>
      <c r="H130" s="109">
        <f>H131+H148</f>
        <v>77</v>
      </c>
      <c r="I130" s="109">
        <f>I131+I148</f>
        <v>40500.5</v>
      </c>
      <c r="J130" s="112">
        <f>J131</f>
        <v>0</v>
      </c>
      <c r="K130" s="111">
        <f>K131+K147+K155</f>
        <v>0</v>
      </c>
      <c r="L130" s="112">
        <f>L131</f>
        <v>0</v>
      </c>
      <c r="M130" s="109">
        <f>M131+M148</f>
        <v>40423.5</v>
      </c>
      <c r="N130" s="109">
        <f>SUM(H130)</f>
        <v>77</v>
      </c>
      <c r="O130" s="169">
        <f>O131+O148</f>
        <v>40500.5</v>
      </c>
      <c r="P130" s="97">
        <f t="shared" si="15"/>
        <v>40500.5</v>
      </c>
      <c r="Q130" s="97">
        <f t="shared" si="16"/>
        <v>0</v>
      </c>
      <c r="R130" s="168"/>
    </row>
    <row r="131" spans="1:18" ht="31.5" x14ac:dyDescent="0.2">
      <c r="A131" s="40"/>
      <c r="B131" s="113" t="s">
        <v>159</v>
      </c>
      <c r="C131" s="113" t="s">
        <v>51</v>
      </c>
      <c r="D131" s="133" t="s">
        <v>158</v>
      </c>
      <c r="E131" s="133" t="s">
        <v>160</v>
      </c>
      <c r="F131" s="134" t="s">
        <v>11</v>
      </c>
      <c r="G131" s="111">
        <f>G132+G152+G156</f>
        <v>39660.199999999997</v>
      </c>
      <c r="H131" s="111">
        <f>H132+H152+H156</f>
        <v>0</v>
      </c>
      <c r="I131" s="111">
        <f>I132+I152+I156</f>
        <v>39660.199999999997</v>
      </c>
      <c r="J131" s="114">
        <f>J132+J152+J156</f>
        <v>0</v>
      </c>
      <c r="K131" s="111">
        <f>K132+K141+K144</f>
        <v>0</v>
      </c>
      <c r="L131" s="114">
        <f>L132+L152+L156</f>
        <v>0</v>
      </c>
      <c r="M131" s="111">
        <f>M132+M152+M156</f>
        <v>39660.199999999997</v>
      </c>
      <c r="N131" s="111">
        <f>N132+N152+N156</f>
        <v>0</v>
      </c>
      <c r="O131" s="111">
        <f>O132+O152+O156</f>
        <v>39660.199999999997</v>
      </c>
      <c r="P131" s="97">
        <f t="shared" si="15"/>
        <v>39660.199999999997</v>
      </c>
      <c r="Q131" s="97">
        <f t="shared" si="16"/>
        <v>0</v>
      </c>
    </row>
    <row r="132" spans="1:18" ht="63" x14ac:dyDescent="0.2">
      <c r="A132" s="40"/>
      <c r="B132" s="113" t="s">
        <v>161</v>
      </c>
      <c r="C132" s="113" t="s">
        <v>51</v>
      </c>
      <c r="D132" s="133" t="s">
        <v>158</v>
      </c>
      <c r="E132" s="133" t="s">
        <v>162</v>
      </c>
      <c r="F132" s="134" t="s">
        <v>11</v>
      </c>
      <c r="G132" s="111">
        <f>G133+G142+G145</f>
        <v>35562.9</v>
      </c>
      <c r="H132" s="111">
        <f>H133+H142+H145</f>
        <v>0</v>
      </c>
      <c r="I132" s="111">
        <f>I133+I142+I145</f>
        <v>35562.9</v>
      </c>
      <c r="J132" s="114">
        <f>J133+J142+J145</f>
        <v>0</v>
      </c>
      <c r="K132" s="111">
        <f>K133+K137+K139</f>
        <v>0</v>
      </c>
      <c r="L132" s="114">
        <f>L133+L142+L145</f>
        <v>0</v>
      </c>
      <c r="M132" s="111">
        <f>M133+M142+M145</f>
        <v>35562.9</v>
      </c>
      <c r="N132" s="111">
        <f>N133+N142+N145</f>
        <v>0</v>
      </c>
      <c r="O132" s="111">
        <f>O133+O142+O145</f>
        <v>35562.9</v>
      </c>
      <c r="P132" s="97">
        <f t="shared" si="15"/>
        <v>35562.9</v>
      </c>
      <c r="Q132" s="97">
        <f t="shared" si="16"/>
        <v>0</v>
      </c>
    </row>
    <row r="133" spans="1:18" ht="63" x14ac:dyDescent="0.2">
      <c r="A133" s="40"/>
      <c r="B133" s="113" t="s">
        <v>163</v>
      </c>
      <c r="C133" s="113" t="s">
        <v>51</v>
      </c>
      <c r="D133" s="133" t="s">
        <v>158</v>
      </c>
      <c r="E133" s="133" t="s">
        <v>164</v>
      </c>
      <c r="F133" s="134" t="s">
        <v>11</v>
      </c>
      <c r="G133" s="111">
        <f>G134+G138+G140</f>
        <v>18636.099999999999</v>
      </c>
      <c r="H133" s="111">
        <f>SUM(H134+H138)+H140</f>
        <v>0</v>
      </c>
      <c r="I133" s="111">
        <f>I134+I138+I140</f>
        <v>18636.099999999999</v>
      </c>
      <c r="J133" s="114">
        <f>J134+J138+J140</f>
        <v>0</v>
      </c>
      <c r="K133" s="111">
        <f>K134+K135+K136</f>
        <v>0</v>
      </c>
      <c r="L133" s="114">
        <f>L134+L138+L140</f>
        <v>0</v>
      </c>
      <c r="M133" s="111">
        <f>M134+M138+M140</f>
        <v>18636.099999999999</v>
      </c>
      <c r="N133" s="111">
        <f>N134+N138+N140</f>
        <v>0</v>
      </c>
      <c r="O133" s="111">
        <f>O134+O138+O140</f>
        <v>18636.099999999999</v>
      </c>
      <c r="P133" s="97">
        <f t="shared" si="15"/>
        <v>18636.099999999999</v>
      </c>
      <c r="Q133" s="97">
        <f t="shared" si="16"/>
        <v>0</v>
      </c>
    </row>
    <row r="134" spans="1:18" ht="31.5" x14ac:dyDescent="0.2">
      <c r="A134" s="40"/>
      <c r="B134" s="113" t="s">
        <v>134</v>
      </c>
      <c r="C134" s="113" t="s">
        <v>51</v>
      </c>
      <c r="D134" s="133" t="s">
        <v>158</v>
      </c>
      <c r="E134" s="133" t="s">
        <v>165</v>
      </c>
      <c r="F134" s="134" t="s">
        <v>11</v>
      </c>
      <c r="G134" s="111">
        <f>G135+G136+G137</f>
        <v>11968.5</v>
      </c>
      <c r="H134" s="111">
        <f>SUM(H135+H136)</f>
        <v>0</v>
      </c>
      <c r="I134" s="111">
        <f>I135+I136+I137</f>
        <v>11968.5</v>
      </c>
      <c r="J134" s="114">
        <f>J135+J136+J137</f>
        <v>0</v>
      </c>
      <c r="K134" s="111"/>
      <c r="L134" s="114">
        <f>L135+L136+L137</f>
        <v>0</v>
      </c>
      <c r="M134" s="111">
        <f>SUM(G134)</f>
        <v>11968.5</v>
      </c>
      <c r="N134" s="111">
        <f>N135+N136+N137</f>
        <v>0</v>
      </c>
      <c r="O134" s="111">
        <f>SUM(I134)</f>
        <v>11968.5</v>
      </c>
      <c r="P134" s="97">
        <f t="shared" si="15"/>
        <v>11968.5</v>
      </c>
      <c r="Q134" s="97">
        <f t="shared" si="16"/>
        <v>0</v>
      </c>
    </row>
    <row r="135" spans="1:18" ht="42" customHeight="1" x14ac:dyDescent="0.2">
      <c r="A135" s="40"/>
      <c r="B135" s="113" t="s">
        <v>61</v>
      </c>
      <c r="C135" s="113" t="s">
        <v>51</v>
      </c>
      <c r="D135" s="133" t="s">
        <v>158</v>
      </c>
      <c r="E135" s="133" t="s">
        <v>165</v>
      </c>
      <c r="F135" s="134" t="s">
        <v>62</v>
      </c>
      <c r="G135" s="111">
        <v>10420.200000000001</v>
      </c>
      <c r="H135" s="111"/>
      <c r="I135" s="111">
        <f>SUM(G135)+H135</f>
        <v>10420.200000000001</v>
      </c>
      <c r="J135" s="115">
        <v>0</v>
      </c>
      <c r="K135" s="111"/>
      <c r="L135" s="115">
        <v>0</v>
      </c>
      <c r="M135" s="111">
        <f>SUM(G135)</f>
        <v>10420.200000000001</v>
      </c>
      <c r="N135" s="111">
        <f>SUM(H135)</f>
        <v>0</v>
      </c>
      <c r="O135" s="111">
        <f>SUM(I135)</f>
        <v>10420.200000000001</v>
      </c>
      <c r="P135" s="97">
        <f t="shared" si="15"/>
        <v>10420.200000000001</v>
      </c>
      <c r="Q135" s="97">
        <f t="shared" si="16"/>
        <v>0</v>
      </c>
    </row>
    <row r="136" spans="1:18" ht="31.5" x14ac:dyDescent="0.2">
      <c r="A136" s="40"/>
      <c r="B136" s="113" t="s">
        <v>40</v>
      </c>
      <c r="C136" s="113" t="s">
        <v>51</v>
      </c>
      <c r="D136" s="133" t="s">
        <v>158</v>
      </c>
      <c r="E136" s="133" t="s">
        <v>165</v>
      </c>
      <c r="F136" s="134" t="s">
        <v>41</v>
      </c>
      <c r="G136" s="111">
        <v>1525.3</v>
      </c>
      <c r="H136" s="111"/>
      <c r="I136" s="111">
        <f>SUM(G136)+H136</f>
        <v>1525.3</v>
      </c>
      <c r="J136" s="115">
        <v>0</v>
      </c>
      <c r="K136" s="111"/>
      <c r="L136" s="115">
        <v>0</v>
      </c>
      <c r="M136" s="111">
        <f>SUM(G136)</f>
        <v>1525.3</v>
      </c>
      <c r="N136" s="111">
        <f>SUM(H136)</f>
        <v>0</v>
      </c>
      <c r="O136" s="111">
        <f>SUM(I136)</f>
        <v>1525.3</v>
      </c>
      <c r="P136" s="97">
        <f t="shared" si="15"/>
        <v>1525.3</v>
      </c>
      <c r="Q136" s="97">
        <f t="shared" si="16"/>
        <v>0</v>
      </c>
    </row>
    <row r="137" spans="1:18" ht="15.75" x14ac:dyDescent="0.2">
      <c r="A137" s="40"/>
      <c r="B137" s="113" t="s">
        <v>70</v>
      </c>
      <c r="C137" s="113" t="s">
        <v>51</v>
      </c>
      <c r="D137" s="133" t="s">
        <v>158</v>
      </c>
      <c r="E137" s="133" t="s">
        <v>165</v>
      </c>
      <c r="F137" s="134" t="s">
        <v>71</v>
      </c>
      <c r="G137" s="111">
        <v>23</v>
      </c>
      <c r="H137" s="111"/>
      <c r="I137" s="111">
        <v>23</v>
      </c>
      <c r="J137" s="115">
        <v>0</v>
      </c>
      <c r="K137" s="111"/>
      <c r="L137" s="115">
        <v>0</v>
      </c>
      <c r="M137" s="111">
        <v>23</v>
      </c>
      <c r="N137" s="111"/>
      <c r="O137" s="111">
        <v>23</v>
      </c>
      <c r="P137" s="97">
        <f t="shared" si="15"/>
        <v>23</v>
      </c>
      <c r="Q137" s="97">
        <f t="shared" si="16"/>
        <v>0</v>
      </c>
    </row>
    <row r="138" spans="1:18" ht="63" x14ac:dyDescent="0.2">
      <c r="A138" s="40"/>
      <c r="B138" s="113" t="s">
        <v>166</v>
      </c>
      <c r="C138" s="113" t="s">
        <v>51</v>
      </c>
      <c r="D138" s="133" t="s">
        <v>158</v>
      </c>
      <c r="E138" s="133" t="s">
        <v>167</v>
      </c>
      <c r="F138" s="134" t="s">
        <v>11</v>
      </c>
      <c r="G138" s="111">
        <f>G139</f>
        <v>5667.6</v>
      </c>
      <c r="H138" s="111">
        <f>SUM(H139)</f>
        <v>0</v>
      </c>
      <c r="I138" s="111">
        <f>I139</f>
        <v>5667.6</v>
      </c>
      <c r="J138" s="114">
        <f>J139</f>
        <v>0</v>
      </c>
      <c r="K138" s="111"/>
      <c r="L138" s="114">
        <f>L139</f>
        <v>0</v>
      </c>
      <c r="M138" s="111">
        <f>M139</f>
        <v>5667.6</v>
      </c>
      <c r="N138" s="111">
        <f>N139</f>
        <v>0</v>
      </c>
      <c r="O138" s="111">
        <f>O139</f>
        <v>5667.6</v>
      </c>
      <c r="P138" s="97">
        <f t="shared" si="15"/>
        <v>5667.6</v>
      </c>
      <c r="Q138" s="97">
        <f t="shared" si="16"/>
        <v>0</v>
      </c>
    </row>
    <row r="139" spans="1:18" ht="31.5" x14ac:dyDescent="0.2">
      <c r="A139" s="40"/>
      <c r="B139" s="113" t="s">
        <v>40</v>
      </c>
      <c r="C139" s="113" t="s">
        <v>51</v>
      </c>
      <c r="D139" s="133" t="s">
        <v>158</v>
      </c>
      <c r="E139" s="133" t="s">
        <v>167</v>
      </c>
      <c r="F139" s="134" t="s">
        <v>41</v>
      </c>
      <c r="G139" s="111">
        <v>5667.6</v>
      </c>
      <c r="H139" s="111"/>
      <c r="I139" s="111">
        <f>SUM(G139)+H139</f>
        <v>5667.6</v>
      </c>
      <c r="J139" s="115"/>
      <c r="K139" s="111"/>
      <c r="L139" s="115"/>
      <c r="M139" s="111">
        <f>SUM(G139)</f>
        <v>5667.6</v>
      </c>
      <c r="N139" s="111">
        <f>SUM(H139)</f>
        <v>0</v>
      </c>
      <c r="O139" s="111">
        <f>SUM(M139)+N139</f>
        <v>5667.6</v>
      </c>
      <c r="P139" s="97">
        <f t="shared" si="15"/>
        <v>5667.6</v>
      </c>
      <c r="Q139" s="97">
        <f t="shared" si="16"/>
        <v>0</v>
      </c>
    </row>
    <row r="140" spans="1:18" ht="63" x14ac:dyDescent="0.2">
      <c r="A140" s="40"/>
      <c r="B140" s="113" t="s">
        <v>168</v>
      </c>
      <c r="C140" s="113" t="s">
        <v>51</v>
      </c>
      <c r="D140" s="133" t="s">
        <v>158</v>
      </c>
      <c r="E140" s="133" t="s">
        <v>169</v>
      </c>
      <c r="F140" s="134" t="s">
        <v>11</v>
      </c>
      <c r="G140" s="111">
        <f>G141</f>
        <v>1000</v>
      </c>
      <c r="H140" s="111"/>
      <c r="I140" s="111">
        <f>I141</f>
        <v>1000</v>
      </c>
      <c r="J140" s="114">
        <f>J141</f>
        <v>0</v>
      </c>
      <c r="K140" s="111"/>
      <c r="L140" s="114">
        <f>L141</f>
        <v>0</v>
      </c>
      <c r="M140" s="111">
        <f>M141</f>
        <v>1000</v>
      </c>
      <c r="N140" s="111">
        <f>N141</f>
        <v>0</v>
      </c>
      <c r="O140" s="111">
        <f>O141</f>
        <v>1000</v>
      </c>
      <c r="P140" s="97">
        <f t="shared" si="15"/>
        <v>1000</v>
      </c>
      <c r="Q140" s="97">
        <f t="shared" si="16"/>
        <v>0</v>
      </c>
    </row>
    <row r="141" spans="1:18" ht="31.5" x14ac:dyDescent="0.2">
      <c r="A141" s="40"/>
      <c r="B141" s="113" t="s">
        <v>40</v>
      </c>
      <c r="C141" s="113" t="s">
        <v>51</v>
      </c>
      <c r="D141" s="133" t="s">
        <v>158</v>
      </c>
      <c r="E141" s="133" t="s">
        <v>169</v>
      </c>
      <c r="F141" s="134" t="s">
        <v>41</v>
      </c>
      <c r="G141" s="111">
        <v>1000</v>
      </c>
      <c r="H141" s="111"/>
      <c r="I141" s="111">
        <v>1000</v>
      </c>
      <c r="J141" s="115"/>
      <c r="K141" s="111"/>
      <c r="L141" s="115"/>
      <c r="M141" s="111">
        <v>1000</v>
      </c>
      <c r="N141" s="111"/>
      <c r="O141" s="111">
        <v>1000</v>
      </c>
      <c r="P141" s="97">
        <f t="shared" si="15"/>
        <v>1000</v>
      </c>
      <c r="Q141" s="97">
        <f t="shared" si="16"/>
        <v>0</v>
      </c>
    </row>
    <row r="142" spans="1:18" ht="37.9" customHeight="1" x14ac:dyDescent="0.2">
      <c r="A142" s="40"/>
      <c r="B142" s="113" t="s">
        <v>170</v>
      </c>
      <c r="C142" s="113" t="s">
        <v>51</v>
      </c>
      <c r="D142" s="133" t="s">
        <v>158</v>
      </c>
      <c r="E142" s="133" t="s">
        <v>171</v>
      </c>
      <c r="F142" s="134" t="s">
        <v>11</v>
      </c>
      <c r="G142" s="111">
        <f t="shared" ref="G142:O143" si="26">G143</f>
        <v>15278.4</v>
      </c>
      <c r="H142" s="111">
        <f t="shared" si="26"/>
        <v>0</v>
      </c>
      <c r="I142" s="111">
        <f t="shared" si="26"/>
        <v>15278.4</v>
      </c>
      <c r="J142" s="114">
        <f t="shared" si="26"/>
        <v>0</v>
      </c>
      <c r="K142" s="111">
        <f t="shared" si="26"/>
        <v>0</v>
      </c>
      <c r="L142" s="114">
        <f t="shared" si="26"/>
        <v>0</v>
      </c>
      <c r="M142" s="111">
        <f t="shared" si="26"/>
        <v>15278.4</v>
      </c>
      <c r="N142" s="111">
        <f t="shared" si="26"/>
        <v>0</v>
      </c>
      <c r="O142" s="111">
        <f t="shared" si="26"/>
        <v>15278.4</v>
      </c>
      <c r="P142" s="97">
        <f t="shared" si="15"/>
        <v>15278.4</v>
      </c>
      <c r="Q142" s="97">
        <f t="shared" si="16"/>
        <v>0</v>
      </c>
    </row>
    <row r="143" spans="1:18" ht="94.5" x14ac:dyDescent="0.2">
      <c r="A143" s="40"/>
      <c r="B143" s="113" t="s">
        <v>172</v>
      </c>
      <c r="C143" s="113" t="s">
        <v>51</v>
      </c>
      <c r="D143" s="133" t="s">
        <v>158</v>
      </c>
      <c r="E143" s="133" t="s">
        <v>173</v>
      </c>
      <c r="F143" s="134" t="s">
        <v>11</v>
      </c>
      <c r="G143" s="111">
        <f t="shared" si="26"/>
        <v>15278.4</v>
      </c>
      <c r="H143" s="111">
        <f>SUM(H144)</f>
        <v>0</v>
      </c>
      <c r="I143" s="111">
        <f t="shared" si="26"/>
        <v>15278.4</v>
      </c>
      <c r="J143" s="114">
        <f t="shared" si="26"/>
        <v>0</v>
      </c>
      <c r="K143" s="111"/>
      <c r="L143" s="114">
        <f t="shared" si="26"/>
        <v>0</v>
      </c>
      <c r="M143" s="111">
        <f t="shared" si="26"/>
        <v>15278.4</v>
      </c>
      <c r="N143" s="111">
        <f t="shared" si="26"/>
        <v>0</v>
      </c>
      <c r="O143" s="111">
        <f t="shared" si="26"/>
        <v>15278.4</v>
      </c>
      <c r="P143" s="97">
        <f t="shared" si="15"/>
        <v>15278.4</v>
      </c>
      <c r="Q143" s="97">
        <f t="shared" si="16"/>
        <v>0</v>
      </c>
    </row>
    <row r="144" spans="1:18" ht="15.75" x14ac:dyDescent="0.2">
      <c r="A144" s="40"/>
      <c r="B144" s="113" t="s">
        <v>47</v>
      </c>
      <c r="C144" s="113" t="s">
        <v>51</v>
      </c>
      <c r="D144" s="133" t="s">
        <v>158</v>
      </c>
      <c r="E144" s="133" t="s">
        <v>173</v>
      </c>
      <c r="F144" s="134" t="s">
        <v>48</v>
      </c>
      <c r="G144" s="111">
        <v>15278.4</v>
      </c>
      <c r="H144" s="111"/>
      <c r="I144" s="111">
        <v>15278.4</v>
      </c>
      <c r="J144" s="115">
        <v>0</v>
      </c>
      <c r="K144" s="111">
        <f t="shared" ref="G144:O146" si="27">K145</f>
        <v>0</v>
      </c>
      <c r="L144" s="115">
        <v>0</v>
      </c>
      <c r="M144" s="111">
        <v>15278.4</v>
      </c>
      <c r="N144" s="167">
        <f>SUM(H144)</f>
        <v>0</v>
      </c>
      <c r="O144" s="111">
        <v>15278.4</v>
      </c>
      <c r="P144" s="97">
        <f t="shared" si="15"/>
        <v>15278.4</v>
      </c>
      <c r="Q144" s="97">
        <f t="shared" si="16"/>
        <v>0</v>
      </c>
    </row>
    <row r="145" spans="1:18" ht="63" x14ac:dyDescent="0.2">
      <c r="A145" s="40"/>
      <c r="B145" s="113" t="s">
        <v>174</v>
      </c>
      <c r="C145" s="113" t="s">
        <v>51</v>
      </c>
      <c r="D145" s="133" t="s">
        <v>158</v>
      </c>
      <c r="E145" s="133" t="s">
        <v>175</v>
      </c>
      <c r="F145" s="134" t="s">
        <v>11</v>
      </c>
      <c r="G145" s="111">
        <f t="shared" si="27"/>
        <v>1648.4</v>
      </c>
      <c r="H145" s="111">
        <f t="shared" si="27"/>
        <v>0</v>
      </c>
      <c r="I145" s="111">
        <f t="shared" si="27"/>
        <v>1648.4</v>
      </c>
      <c r="J145" s="114">
        <f t="shared" si="27"/>
        <v>0</v>
      </c>
      <c r="K145" s="111">
        <f t="shared" si="27"/>
        <v>0</v>
      </c>
      <c r="L145" s="114">
        <f t="shared" si="27"/>
        <v>0</v>
      </c>
      <c r="M145" s="111">
        <f t="shared" si="27"/>
        <v>1648.4</v>
      </c>
      <c r="N145" s="111">
        <f t="shared" si="27"/>
        <v>0</v>
      </c>
      <c r="O145" s="111">
        <f t="shared" si="27"/>
        <v>1648.4</v>
      </c>
      <c r="P145" s="97">
        <f t="shared" si="15"/>
        <v>1648.4</v>
      </c>
      <c r="Q145" s="97">
        <f t="shared" si="16"/>
        <v>0</v>
      </c>
    </row>
    <row r="146" spans="1:18" ht="78.75" x14ac:dyDescent="0.2">
      <c r="A146" s="40"/>
      <c r="B146" s="113" t="s">
        <v>176</v>
      </c>
      <c r="C146" s="113" t="s">
        <v>51</v>
      </c>
      <c r="D146" s="133" t="s">
        <v>158</v>
      </c>
      <c r="E146" s="133" t="s">
        <v>177</v>
      </c>
      <c r="F146" s="134" t="s">
        <v>11</v>
      </c>
      <c r="G146" s="111">
        <f t="shared" si="27"/>
        <v>1648.4</v>
      </c>
      <c r="H146" s="111"/>
      <c r="I146" s="111">
        <f t="shared" si="27"/>
        <v>1648.4</v>
      </c>
      <c r="J146" s="114">
        <f t="shared" si="27"/>
        <v>0</v>
      </c>
      <c r="K146" s="111"/>
      <c r="L146" s="114">
        <f t="shared" si="27"/>
        <v>0</v>
      </c>
      <c r="M146" s="111">
        <f t="shared" si="27"/>
        <v>1648.4</v>
      </c>
      <c r="N146" s="111">
        <f t="shared" si="27"/>
        <v>0</v>
      </c>
      <c r="O146" s="111">
        <f t="shared" si="27"/>
        <v>1648.4</v>
      </c>
      <c r="P146" s="97">
        <f t="shared" si="15"/>
        <v>1648.4</v>
      </c>
      <c r="Q146" s="97">
        <f t="shared" si="16"/>
        <v>0</v>
      </c>
    </row>
    <row r="147" spans="1:18" ht="15.75" x14ac:dyDescent="0.2">
      <c r="A147" s="40"/>
      <c r="B147" s="113" t="s">
        <v>178</v>
      </c>
      <c r="C147" s="113" t="s">
        <v>51</v>
      </c>
      <c r="D147" s="133" t="s">
        <v>158</v>
      </c>
      <c r="E147" s="133" t="s">
        <v>177</v>
      </c>
      <c r="F147" s="134" t="s">
        <v>48</v>
      </c>
      <c r="G147" s="111">
        <v>1648.4</v>
      </c>
      <c r="H147" s="163"/>
      <c r="I147" s="111">
        <v>1648.4</v>
      </c>
      <c r="J147" s="115">
        <v>0</v>
      </c>
      <c r="K147" s="111"/>
      <c r="L147" s="115">
        <v>0</v>
      </c>
      <c r="M147" s="111">
        <v>1648.4</v>
      </c>
      <c r="N147" s="167">
        <f>SUM(H147)</f>
        <v>0</v>
      </c>
      <c r="O147" s="111">
        <v>1648.4</v>
      </c>
      <c r="P147" s="97">
        <f t="shared" si="15"/>
        <v>1648.4</v>
      </c>
      <c r="Q147" s="97">
        <f t="shared" si="16"/>
        <v>0</v>
      </c>
    </row>
    <row r="148" spans="1:18" ht="31.5" x14ac:dyDescent="0.2">
      <c r="A148" s="40"/>
      <c r="B148" s="113" t="s">
        <v>66</v>
      </c>
      <c r="C148" s="113">
        <v>992</v>
      </c>
      <c r="D148" s="133" t="s">
        <v>158</v>
      </c>
      <c r="E148" s="133">
        <v>5200000000</v>
      </c>
      <c r="F148" s="134"/>
      <c r="G148" s="111">
        <v>763.3</v>
      </c>
      <c r="H148" s="111">
        <v>77</v>
      </c>
      <c r="I148" s="111">
        <f>SUM(G148)+H148</f>
        <v>840.3</v>
      </c>
      <c r="J148" s="115"/>
      <c r="K148" s="111"/>
      <c r="L148" s="115"/>
      <c r="M148" s="111">
        <f>SUM(G148)</f>
        <v>763.3</v>
      </c>
      <c r="N148" s="111">
        <f t="shared" ref="N148:O150" si="28">SUM(H148)</f>
        <v>77</v>
      </c>
      <c r="O148" s="111">
        <f t="shared" si="28"/>
        <v>840.3</v>
      </c>
      <c r="P148" s="97">
        <f t="shared" si="15"/>
        <v>840.3</v>
      </c>
      <c r="Q148" s="97">
        <f t="shared" si="16"/>
        <v>0</v>
      </c>
    </row>
    <row r="149" spans="1:18" ht="31.5" x14ac:dyDescent="0.2">
      <c r="A149" s="40"/>
      <c r="B149" s="113" t="s">
        <v>80</v>
      </c>
      <c r="C149" s="113">
        <v>992</v>
      </c>
      <c r="D149" s="133" t="s">
        <v>158</v>
      </c>
      <c r="E149" s="133">
        <v>5230000000</v>
      </c>
      <c r="F149" s="134"/>
      <c r="G149" s="111">
        <v>763.3</v>
      </c>
      <c r="H149" s="111">
        <v>77</v>
      </c>
      <c r="I149" s="111">
        <f>SUM(G149)+H149</f>
        <v>840.3</v>
      </c>
      <c r="J149" s="115"/>
      <c r="K149" s="111"/>
      <c r="L149" s="115"/>
      <c r="M149" s="111">
        <f>SUM(G149)</f>
        <v>763.3</v>
      </c>
      <c r="N149" s="111">
        <f t="shared" si="28"/>
        <v>77</v>
      </c>
      <c r="O149" s="111">
        <f t="shared" si="28"/>
        <v>840.3</v>
      </c>
      <c r="P149" s="97">
        <f t="shared" si="15"/>
        <v>840.3</v>
      </c>
      <c r="Q149" s="97">
        <f t="shared" si="16"/>
        <v>0</v>
      </c>
    </row>
    <row r="150" spans="1:18" ht="31.5" x14ac:dyDescent="0.2">
      <c r="A150" s="40"/>
      <c r="B150" s="113" t="s">
        <v>82</v>
      </c>
      <c r="C150" s="113">
        <v>992</v>
      </c>
      <c r="D150" s="133" t="s">
        <v>158</v>
      </c>
      <c r="E150" s="133">
        <v>5230010490</v>
      </c>
      <c r="F150" s="134"/>
      <c r="G150" s="111">
        <v>763.3</v>
      </c>
      <c r="H150" s="111">
        <v>77</v>
      </c>
      <c r="I150" s="111">
        <f>SUM(G150)+H150</f>
        <v>840.3</v>
      </c>
      <c r="J150" s="115"/>
      <c r="K150" s="111"/>
      <c r="L150" s="115"/>
      <c r="M150" s="111">
        <f>SUM(G150)</f>
        <v>763.3</v>
      </c>
      <c r="N150" s="111">
        <f t="shared" si="28"/>
        <v>77</v>
      </c>
      <c r="O150" s="111">
        <f t="shared" si="28"/>
        <v>840.3</v>
      </c>
      <c r="P150" s="97">
        <f t="shared" si="15"/>
        <v>840.3</v>
      </c>
      <c r="Q150" s="97">
        <f t="shared" si="16"/>
        <v>0</v>
      </c>
    </row>
    <row r="151" spans="1:18" ht="31.5" x14ac:dyDescent="0.2">
      <c r="A151" s="40"/>
      <c r="B151" s="113" t="s">
        <v>40</v>
      </c>
      <c r="C151" s="113">
        <v>992</v>
      </c>
      <c r="D151" s="133" t="s">
        <v>158</v>
      </c>
      <c r="E151" s="133">
        <v>5230010490</v>
      </c>
      <c r="F151" s="134">
        <v>200</v>
      </c>
      <c r="G151" s="111">
        <v>763.3</v>
      </c>
      <c r="H151" s="111">
        <v>77</v>
      </c>
      <c r="I151" s="111">
        <f>SUM(G151)+H151</f>
        <v>840.3</v>
      </c>
      <c r="J151" s="115"/>
      <c r="K151" s="111"/>
      <c r="L151" s="115"/>
      <c r="M151" s="111">
        <f>SUM(G151)</f>
        <v>763.3</v>
      </c>
      <c r="N151" s="111">
        <f>SUM(H151)</f>
        <v>77</v>
      </c>
      <c r="O151" s="111">
        <f>SUM(I151)</f>
        <v>840.3</v>
      </c>
      <c r="P151" s="97">
        <f t="shared" si="15"/>
        <v>840.3</v>
      </c>
      <c r="Q151" s="97">
        <f t="shared" si="16"/>
        <v>0</v>
      </c>
    </row>
    <row r="152" spans="1:18" ht="15.75" x14ac:dyDescent="0.2">
      <c r="A152" s="40"/>
      <c r="B152" s="113" t="s">
        <v>179</v>
      </c>
      <c r="C152" s="113" t="s">
        <v>51</v>
      </c>
      <c r="D152" s="133" t="s">
        <v>158</v>
      </c>
      <c r="E152" s="133" t="s">
        <v>180</v>
      </c>
      <c r="F152" s="134" t="s">
        <v>11</v>
      </c>
      <c r="G152" s="111">
        <f t="shared" ref="G152:O154" si="29">G153</f>
        <v>323.10000000000002</v>
      </c>
      <c r="H152" s="111">
        <f t="shared" si="29"/>
        <v>0</v>
      </c>
      <c r="I152" s="111">
        <f t="shared" si="29"/>
        <v>323.10000000000002</v>
      </c>
      <c r="J152" s="114">
        <f t="shared" si="29"/>
        <v>0</v>
      </c>
      <c r="K152" s="111">
        <f>K153</f>
        <v>0</v>
      </c>
      <c r="L152" s="114">
        <f t="shared" si="29"/>
        <v>0</v>
      </c>
      <c r="M152" s="111">
        <f t="shared" si="29"/>
        <v>323.10000000000002</v>
      </c>
      <c r="N152" s="111">
        <f t="shared" si="29"/>
        <v>0</v>
      </c>
      <c r="O152" s="111">
        <f t="shared" si="29"/>
        <v>323.10000000000002</v>
      </c>
      <c r="P152" s="97">
        <f t="shared" si="15"/>
        <v>323.10000000000002</v>
      </c>
      <c r="Q152" s="97">
        <f t="shared" si="16"/>
        <v>0</v>
      </c>
    </row>
    <row r="153" spans="1:18" ht="31.5" x14ac:dyDescent="0.2">
      <c r="A153" s="40"/>
      <c r="B153" s="113" t="s">
        <v>181</v>
      </c>
      <c r="C153" s="113" t="s">
        <v>51</v>
      </c>
      <c r="D153" s="133" t="s">
        <v>158</v>
      </c>
      <c r="E153" s="133" t="s">
        <v>182</v>
      </c>
      <c r="F153" s="134" t="s">
        <v>11</v>
      </c>
      <c r="G153" s="111">
        <f t="shared" si="29"/>
        <v>323.10000000000002</v>
      </c>
      <c r="H153" s="111">
        <f t="shared" si="29"/>
        <v>0</v>
      </c>
      <c r="I153" s="111">
        <f t="shared" si="29"/>
        <v>323.10000000000002</v>
      </c>
      <c r="J153" s="114">
        <f t="shared" si="29"/>
        <v>0</v>
      </c>
      <c r="K153" s="111">
        <f>K154</f>
        <v>0</v>
      </c>
      <c r="L153" s="114">
        <f t="shared" si="29"/>
        <v>0</v>
      </c>
      <c r="M153" s="111">
        <f t="shared" si="29"/>
        <v>323.10000000000002</v>
      </c>
      <c r="N153" s="111">
        <f t="shared" si="29"/>
        <v>0</v>
      </c>
      <c r="O153" s="111">
        <f t="shared" si="29"/>
        <v>323.10000000000002</v>
      </c>
      <c r="P153" s="97">
        <f t="shared" si="15"/>
        <v>323.10000000000002</v>
      </c>
      <c r="Q153" s="97">
        <f t="shared" si="16"/>
        <v>0</v>
      </c>
    </row>
    <row r="154" spans="1:18" ht="15.75" x14ac:dyDescent="0.2">
      <c r="A154" s="40"/>
      <c r="B154" s="113" t="s">
        <v>183</v>
      </c>
      <c r="C154" s="113" t="s">
        <v>51</v>
      </c>
      <c r="D154" s="133" t="s">
        <v>158</v>
      </c>
      <c r="E154" s="133" t="s">
        <v>184</v>
      </c>
      <c r="F154" s="134" t="s">
        <v>11</v>
      </c>
      <c r="G154" s="111">
        <f>G155</f>
        <v>323.10000000000002</v>
      </c>
      <c r="H154" s="111">
        <f>H155</f>
        <v>0</v>
      </c>
      <c r="I154" s="111">
        <f>I155</f>
        <v>323.10000000000002</v>
      </c>
      <c r="J154" s="114">
        <f t="shared" si="29"/>
        <v>0</v>
      </c>
      <c r="K154" s="111"/>
      <c r="L154" s="114">
        <f t="shared" si="29"/>
        <v>0</v>
      </c>
      <c r="M154" s="111">
        <f t="shared" si="29"/>
        <v>323.10000000000002</v>
      </c>
      <c r="N154" s="111">
        <f t="shared" si="29"/>
        <v>0</v>
      </c>
      <c r="O154" s="111">
        <f t="shared" si="29"/>
        <v>323.10000000000002</v>
      </c>
      <c r="P154" s="97">
        <f t="shared" si="15"/>
        <v>323.10000000000002</v>
      </c>
      <c r="Q154" s="97">
        <f t="shared" si="16"/>
        <v>0</v>
      </c>
    </row>
    <row r="155" spans="1:18" ht="31.5" x14ac:dyDescent="0.2">
      <c r="A155" s="40"/>
      <c r="B155" s="113" t="s">
        <v>40</v>
      </c>
      <c r="C155" s="113" t="s">
        <v>51</v>
      </c>
      <c r="D155" s="133" t="s">
        <v>158</v>
      </c>
      <c r="E155" s="133" t="s">
        <v>184</v>
      </c>
      <c r="F155" s="134" t="s">
        <v>41</v>
      </c>
      <c r="G155" s="111">
        <v>323.10000000000002</v>
      </c>
      <c r="H155" s="111"/>
      <c r="I155" s="111">
        <f>G155+H155</f>
        <v>323.10000000000002</v>
      </c>
      <c r="J155" s="115">
        <v>0</v>
      </c>
      <c r="K155" s="111"/>
      <c r="L155" s="115">
        <v>0</v>
      </c>
      <c r="M155" s="111">
        <f>SUM(G155)</f>
        <v>323.10000000000002</v>
      </c>
      <c r="N155" s="111">
        <f>SUM(H155)</f>
        <v>0</v>
      </c>
      <c r="O155" s="111">
        <f>I155+L155</f>
        <v>323.10000000000002</v>
      </c>
      <c r="P155" s="97">
        <f t="shared" si="15"/>
        <v>323.10000000000002</v>
      </c>
      <c r="Q155" s="97">
        <f t="shared" si="16"/>
        <v>0</v>
      </c>
    </row>
    <row r="156" spans="1:18" ht="31.5" x14ac:dyDescent="0.2">
      <c r="A156" s="40"/>
      <c r="B156" s="113" t="s">
        <v>185</v>
      </c>
      <c r="C156" s="113" t="s">
        <v>51</v>
      </c>
      <c r="D156" s="133" t="s">
        <v>158</v>
      </c>
      <c r="E156" s="133" t="s">
        <v>186</v>
      </c>
      <c r="F156" s="134" t="s">
        <v>11</v>
      </c>
      <c r="G156" s="111">
        <f t="shared" ref="G156:O158" si="30">G157</f>
        <v>3774.2</v>
      </c>
      <c r="H156" s="111">
        <f t="shared" si="30"/>
        <v>0</v>
      </c>
      <c r="I156" s="111">
        <f t="shared" si="30"/>
        <v>3774.2</v>
      </c>
      <c r="J156" s="114">
        <f t="shared" si="30"/>
        <v>0</v>
      </c>
      <c r="K156" s="111">
        <f>K157</f>
        <v>0</v>
      </c>
      <c r="L156" s="114">
        <f t="shared" si="30"/>
        <v>0</v>
      </c>
      <c r="M156" s="111">
        <f t="shared" si="30"/>
        <v>3774.2</v>
      </c>
      <c r="N156" s="111">
        <f t="shared" si="30"/>
        <v>0</v>
      </c>
      <c r="O156" s="111">
        <f t="shared" si="30"/>
        <v>3774.2</v>
      </c>
      <c r="P156" s="97">
        <f t="shared" ref="P156:P219" si="31">G156+H156</f>
        <v>3774.2</v>
      </c>
      <c r="Q156" s="97">
        <f t="shared" ref="Q156:Q219" si="32">I156-P156</f>
        <v>0</v>
      </c>
    </row>
    <row r="157" spans="1:18" ht="47.25" x14ac:dyDescent="0.2">
      <c r="A157" s="40"/>
      <c r="B157" s="113" t="s">
        <v>187</v>
      </c>
      <c r="C157" s="113" t="s">
        <v>51</v>
      </c>
      <c r="D157" s="133" t="s">
        <v>158</v>
      </c>
      <c r="E157" s="133" t="s">
        <v>188</v>
      </c>
      <c r="F157" s="134" t="s">
        <v>11</v>
      </c>
      <c r="G157" s="111">
        <f t="shared" si="30"/>
        <v>3774.2</v>
      </c>
      <c r="H157" s="111">
        <f t="shared" si="30"/>
        <v>0</v>
      </c>
      <c r="I157" s="111">
        <f t="shared" si="30"/>
        <v>3774.2</v>
      </c>
      <c r="J157" s="114">
        <f t="shared" si="30"/>
        <v>0</v>
      </c>
      <c r="K157" s="111">
        <f>K158</f>
        <v>0</v>
      </c>
      <c r="L157" s="114">
        <f t="shared" si="30"/>
        <v>0</v>
      </c>
      <c r="M157" s="111">
        <f t="shared" si="30"/>
        <v>3774.2</v>
      </c>
      <c r="N157" s="111">
        <f t="shared" si="30"/>
        <v>0</v>
      </c>
      <c r="O157" s="111">
        <f t="shared" si="30"/>
        <v>3774.2</v>
      </c>
      <c r="P157" s="97">
        <f t="shared" si="31"/>
        <v>3774.2</v>
      </c>
      <c r="Q157" s="97">
        <f t="shared" si="32"/>
        <v>0</v>
      </c>
    </row>
    <row r="158" spans="1:18" ht="41.45" customHeight="1" x14ac:dyDescent="0.2">
      <c r="A158" s="40"/>
      <c r="B158" s="113" t="s">
        <v>189</v>
      </c>
      <c r="C158" s="113" t="s">
        <v>51</v>
      </c>
      <c r="D158" s="133" t="s">
        <v>158</v>
      </c>
      <c r="E158" s="133" t="s">
        <v>190</v>
      </c>
      <c r="F158" s="134" t="s">
        <v>11</v>
      </c>
      <c r="G158" s="111">
        <f>G159</f>
        <v>3774.2</v>
      </c>
      <c r="H158" s="111"/>
      <c r="I158" s="111">
        <f>I159</f>
        <v>3774.2</v>
      </c>
      <c r="J158" s="114">
        <f t="shared" si="30"/>
        <v>0</v>
      </c>
      <c r="K158" s="111"/>
      <c r="L158" s="114">
        <f t="shared" si="30"/>
        <v>0</v>
      </c>
      <c r="M158" s="111">
        <f t="shared" si="30"/>
        <v>3774.2</v>
      </c>
      <c r="N158" s="111">
        <f t="shared" si="30"/>
        <v>0</v>
      </c>
      <c r="O158" s="111">
        <f t="shared" si="30"/>
        <v>3774.2</v>
      </c>
      <c r="P158" s="97">
        <f t="shared" si="31"/>
        <v>3774.2</v>
      </c>
      <c r="Q158" s="97">
        <f t="shared" si="32"/>
        <v>0</v>
      </c>
    </row>
    <row r="159" spans="1:18" ht="15.75" x14ac:dyDescent="0.2">
      <c r="A159" s="40"/>
      <c r="B159" s="113" t="s">
        <v>47</v>
      </c>
      <c r="C159" s="113" t="s">
        <v>51</v>
      </c>
      <c r="D159" s="133" t="s">
        <v>158</v>
      </c>
      <c r="E159" s="133" t="s">
        <v>190</v>
      </c>
      <c r="F159" s="134" t="s">
        <v>48</v>
      </c>
      <c r="G159" s="111">
        <v>3774.2</v>
      </c>
      <c r="H159" s="163"/>
      <c r="I159" s="111">
        <v>3774.2</v>
      </c>
      <c r="J159" s="115">
        <v>0</v>
      </c>
      <c r="K159" s="109"/>
      <c r="L159" s="115">
        <v>0</v>
      </c>
      <c r="M159" s="111">
        <v>3774.2</v>
      </c>
      <c r="N159" s="167">
        <f>SUM(H159)</f>
        <v>0</v>
      </c>
      <c r="O159" s="111">
        <v>3774.2</v>
      </c>
      <c r="P159" s="97">
        <f t="shared" si="31"/>
        <v>3774.2</v>
      </c>
      <c r="Q159" s="97">
        <f t="shared" si="32"/>
        <v>0</v>
      </c>
    </row>
    <row r="160" spans="1:18" ht="36.6" customHeight="1" x14ac:dyDescent="0.2">
      <c r="A160" s="33" t="s">
        <v>191</v>
      </c>
      <c r="B160" s="110" t="s">
        <v>192</v>
      </c>
      <c r="C160" s="110" t="s">
        <v>51</v>
      </c>
      <c r="D160" s="131" t="s">
        <v>193</v>
      </c>
      <c r="E160" s="131" t="s">
        <v>11</v>
      </c>
      <c r="F160" s="132" t="s">
        <v>11</v>
      </c>
      <c r="G160" s="109">
        <f>G161</f>
        <v>7176.7000000000007</v>
      </c>
      <c r="H160" s="109">
        <f>H161</f>
        <v>0</v>
      </c>
      <c r="I160" s="109">
        <f>I161</f>
        <v>7176.7000000000007</v>
      </c>
      <c r="J160" s="112">
        <f>J161</f>
        <v>0</v>
      </c>
      <c r="K160" s="111">
        <f>K161+K167+K171</f>
        <v>0</v>
      </c>
      <c r="L160" s="112">
        <f>L161</f>
        <v>0</v>
      </c>
      <c r="M160" s="109">
        <f>M161</f>
        <v>7176.7000000000007</v>
      </c>
      <c r="N160" s="109">
        <f>N161</f>
        <v>0</v>
      </c>
      <c r="O160" s="169">
        <f>O161</f>
        <v>7176.7000000000007</v>
      </c>
      <c r="P160" s="97">
        <f t="shared" si="31"/>
        <v>7176.7000000000007</v>
      </c>
      <c r="Q160" s="97">
        <f t="shared" si="32"/>
        <v>0</v>
      </c>
      <c r="R160" s="168"/>
    </row>
    <row r="161" spans="1:17" ht="31.5" x14ac:dyDescent="0.2">
      <c r="A161" s="40"/>
      <c r="B161" s="113" t="s">
        <v>159</v>
      </c>
      <c r="C161" s="113" t="s">
        <v>51</v>
      </c>
      <c r="D161" s="133" t="s">
        <v>193</v>
      </c>
      <c r="E161" s="133" t="s">
        <v>160</v>
      </c>
      <c r="F161" s="134" t="s">
        <v>11</v>
      </c>
      <c r="G161" s="111">
        <f>G162+G168+G172</f>
        <v>7176.7000000000007</v>
      </c>
      <c r="H161" s="111">
        <f>H162</f>
        <v>0</v>
      </c>
      <c r="I161" s="111">
        <f>I162+I168+I172</f>
        <v>7176.7000000000007</v>
      </c>
      <c r="J161" s="114">
        <f>J162+J168+J172</f>
        <v>0</v>
      </c>
      <c r="K161" s="111">
        <f>K162</f>
        <v>0</v>
      </c>
      <c r="L161" s="114">
        <f>L162+L168+L172</f>
        <v>0</v>
      </c>
      <c r="M161" s="111">
        <f>M162+M168+M172</f>
        <v>7176.7000000000007</v>
      </c>
      <c r="N161" s="111">
        <f>N162+N168+N172</f>
        <v>0</v>
      </c>
      <c r="O161" s="111">
        <f>O162+O168+O172</f>
        <v>7176.7000000000007</v>
      </c>
      <c r="P161" s="97">
        <f t="shared" si="31"/>
        <v>7176.7000000000007</v>
      </c>
      <c r="Q161" s="97">
        <f t="shared" si="32"/>
        <v>0</v>
      </c>
    </row>
    <row r="162" spans="1:17" ht="31.5" x14ac:dyDescent="0.2">
      <c r="A162" s="40"/>
      <c r="B162" s="113" t="s">
        <v>194</v>
      </c>
      <c r="C162" s="113" t="s">
        <v>51</v>
      </c>
      <c r="D162" s="133" t="s">
        <v>193</v>
      </c>
      <c r="E162" s="133" t="s">
        <v>195</v>
      </c>
      <c r="F162" s="134" t="s">
        <v>11</v>
      </c>
      <c r="G162" s="111">
        <f>G163</f>
        <v>7061.7000000000007</v>
      </c>
      <c r="H162" s="111">
        <f>H163</f>
        <v>0</v>
      </c>
      <c r="I162" s="111">
        <f>I163</f>
        <v>7061.7000000000007</v>
      </c>
      <c r="J162" s="114">
        <f>J163</f>
        <v>0</v>
      </c>
      <c r="K162" s="111">
        <f>K163+K165</f>
        <v>0</v>
      </c>
      <c r="L162" s="114">
        <f>L163</f>
        <v>0</v>
      </c>
      <c r="M162" s="111">
        <f>M163</f>
        <v>7061.7000000000007</v>
      </c>
      <c r="N162" s="111">
        <f>N163</f>
        <v>0</v>
      </c>
      <c r="O162" s="111">
        <f>O163</f>
        <v>7061.7000000000007</v>
      </c>
      <c r="P162" s="97">
        <f t="shared" si="31"/>
        <v>7061.7000000000007</v>
      </c>
      <c r="Q162" s="97">
        <f t="shared" si="32"/>
        <v>0</v>
      </c>
    </row>
    <row r="163" spans="1:17" ht="47.25" x14ac:dyDescent="0.2">
      <c r="A163" s="40"/>
      <c r="B163" s="113" t="s">
        <v>196</v>
      </c>
      <c r="C163" s="113" t="s">
        <v>51</v>
      </c>
      <c r="D163" s="133" t="s">
        <v>193</v>
      </c>
      <c r="E163" s="133" t="s">
        <v>197</v>
      </c>
      <c r="F163" s="134" t="s">
        <v>11</v>
      </c>
      <c r="G163" s="111">
        <f>G164+G166</f>
        <v>7061.7000000000007</v>
      </c>
      <c r="H163" s="111">
        <f>H164+H166</f>
        <v>0</v>
      </c>
      <c r="I163" s="111">
        <f>I164+I166</f>
        <v>7061.7000000000007</v>
      </c>
      <c r="J163" s="114">
        <f>J164+J166</f>
        <v>0</v>
      </c>
      <c r="K163" s="111">
        <f>K164</f>
        <v>0</v>
      </c>
      <c r="L163" s="114">
        <f>L164+L166</f>
        <v>0</v>
      </c>
      <c r="M163" s="111">
        <f>M164+M166</f>
        <v>7061.7000000000007</v>
      </c>
      <c r="N163" s="111">
        <f>N164+N166</f>
        <v>0</v>
      </c>
      <c r="O163" s="111">
        <f>O164+O166</f>
        <v>7061.7000000000007</v>
      </c>
      <c r="P163" s="97">
        <f t="shared" si="31"/>
        <v>7061.7000000000007</v>
      </c>
      <c r="Q163" s="97">
        <f t="shared" si="32"/>
        <v>0</v>
      </c>
    </row>
    <row r="164" spans="1:17" ht="31.5" x14ac:dyDescent="0.2">
      <c r="A164" s="40"/>
      <c r="B164" s="113" t="s">
        <v>198</v>
      </c>
      <c r="C164" s="113" t="s">
        <v>51</v>
      </c>
      <c r="D164" s="133" t="s">
        <v>193</v>
      </c>
      <c r="E164" s="133" t="s">
        <v>199</v>
      </c>
      <c r="F164" s="134" t="s">
        <v>11</v>
      </c>
      <c r="G164" s="111">
        <f>G165</f>
        <v>1520.6</v>
      </c>
      <c r="H164" s="111">
        <f>SUM(H165)</f>
        <v>0</v>
      </c>
      <c r="I164" s="111">
        <f>I165</f>
        <v>1520.6</v>
      </c>
      <c r="J164" s="114">
        <f>J165</f>
        <v>0</v>
      </c>
      <c r="K164" s="111"/>
      <c r="L164" s="114">
        <f>L165</f>
        <v>0</v>
      </c>
      <c r="M164" s="111">
        <f>M165</f>
        <v>1520.6</v>
      </c>
      <c r="N164" s="111">
        <f>N165</f>
        <v>0</v>
      </c>
      <c r="O164" s="111">
        <f>O165</f>
        <v>1520.6</v>
      </c>
      <c r="P164" s="97">
        <f t="shared" si="31"/>
        <v>1520.6</v>
      </c>
      <c r="Q164" s="97">
        <f t="shared" si="32"/>
        <v>0</v>
      </c>
    </row>
    <row r="165" spans="1:17" ht="31.5" x14ac:dyDescent="0.2">
      <c r="A165" s="40"/>
      <c r="B165" s="113" t="s">
        <v>40</v>
      </c>
      <c r="C165" s="113" t="s">
        <v>51</v>
      </c>
      <c r="D165" s="133" t="s">
        <v>193</v>
      </c>
      <c r="E165" s="133" t="s">
        <v>199</v>
      </c>
      <c r="F165" s="134" t="s">
        <v>41</v>
      </c>
      <c r="G165" s="111">
        <v>1520.6</v>
      </c>
      <c r="H165" s="111"/>
      <c r="I165" s="111">
        <f>SUM(G165)+H165</f>
        <v>1520.6</v>
      </c>
      <c r="J165" s="115">
        <v>0</v>
      </c>
      <c r="K165" s="111"/>
      <c r="L165" s="115">
        <v>0</v>
      </c>
      <c r="M165" s="111">
        <f>SUM(G165)</f>
        <v>1520.6</v>
      </c>
      <c r="N165" s="111">
        <f>SUM(H165)</f>
        <v>0</v>
      </c>
      <c r="O165" s="111">
        <f>SUM(I165)</f>
        <v>1520.6</v>
      </c>
      <c r="P165" s="97">
        <f t="shared" si="31"/>
        <v>1520.6</v>
      </c>
      <c r="Q165" s="97">
        <f t="shared" si="32"/>
        <v>0</v>
      </c>
    </row>
    <row r="166" spans="1:17" ht="63" x14ac:dyDescent="0.2">
      <c r="A166" s="40"/>
      <c r="B166" s="113" t="s">
        <v>200</v>
      </c>
      <c r="C166" s="113" t="s">
        <v>51</v>
      </c>
      <c r="D166" s="133" t="s">
        <v>193</v>
      </c>
      <c r="E166" s="133" t="s">
        <v>201</v>
      </c>
      <c r="F166" s="134" t="s">
        <v>11</v>
      </c>
      <c r="G166" s="111">
        <f>G167</f>
        <v>5541.1</v>
      </c>
      <c r="H166" s="167">
        <f>SUM(H167)</f>
        <v>0</v>
      </c>
      <c r="I166" s="111">
        <f>I167</f>
        <v>5541.1</v>
      </c>
      <c r="J166" s="114">
        <f>J167</f>
        <v>0</v>
      </c>
      <c r="K166" s="111"/>
      <c r="L166" s="114">
        <f>L167</f>
        <v>0</v>
      </c>
      <c r="M166" s="111">
        <f>M167</f>
        <v>5541.1</v>
      </c>
      <c r="N166" s="111">
        <f>N167</f>
        <v>0</v>
      </c>
      <c r="O166" s="167">
        <f>O167</f>
        <v>5541.1</v>
      </c>
      <c r="P166" s="97">
        <f t="shared" si="31"/>
        <v>5541.1</v>
      </c>
      <c r="Q166" s="97">
        <f t="shared" si="32"/>
        <v>0</v>
      </c>
    </row>
    <row r="167" spans="1:17" ht="15.75" x14ac:dyDescent="0.2">
      <c r="A167" s="40"/>
      <c r="B167" s="113" t="s">
        <v>47</v>
      </c>
      <c r="C167" s="113" t="s">
        <v>51</v>
      </c>
      <c r="D167" s="133" t="s">
        <v>193</v>
      </c>
      <c r="E167" s="133" t="s">
        <v>201</v>
      </c>
      <c r="F167" s="134" t="s">
        <v>48</v>
      </c>
      <c r="G167" s="111">
        <v>5541.1</v>
      </c>
      <c r="H167" s="167"/>
      <c r="I167" s="111">
        <f>SUM(G167)+H167</f>
        <v>5541.1</v>
      </c>
      <c r="J167" s="115">
        <v>0</v>
      </c>
      <c r="K167" s="111"/>
      <c r="L167" s="115">
        <v>0</v>
      </c>
      <c r="M167" s="111">
        <f>SUM(G167)</f>
        <v>5541.1</v>
      </c>
      <c r="N167" s="111">
        <f>SUM(H167)</f>
        <v>0</v>
      </c>
      <c r="O167" s="111">
        <f>SUM(I167)</f>
        <v>5541.1</v>
      </c>
      <c r="P167" s="97">
        <f t="shared" si="31"/>
        <v>5541.1</v>
      </c>
      <c r="Q167" s="97">
        <f t="shared" si="32"/>
        <v>0</v>
      </c>
    </row>
    <row r="168" spans="1:17" ht="15.75" x14ac:dyDescent="0.2">
      <c r="A168" s="40"/>
      <c r="B168" s="113" t="s">
        <v>202</v>
      </c>
      <c r="C168" s="113" t="s">
        <v>51</v>
      </c>
      <c r="D168" s="133" t="s">
        <v>193</v>
      </c>
      <c r="E168" s="133" t="s">
        <v>203</v>
      </c>
      <c r="F168" s="134" t="s">
        <v>11</v>
      </c>
      <c r="G168" s="111">
        <f t="shared" ref="G168:O170" si="33">G169</f>
        <v>20</v>
      </c>
      <c r="H168" s="111">
        <f t="shared" si="33"/>
        <v>0</v>
      </c>
      <c r="I168" s="111">
        <f t="shared" si="33"/>
        <v>20</v>
      </c>
      <c r="J168" s="114">
        <f t="shared" si="33"/>
        <v>0</v>
      </c>
      <c r="K168" s="111">
        <f>K169</f>
        <v>0</v>
      </c>
      <c r="L168" s="114">
        <f t="shared" si="33"/>
        <v>0</v>
      </c>
      <c r="M168" s="111">
        <f t="shared" si="33"/>
        <v>20</v>
      </c>
      <c r="N168" s="111">
        <f t="shared" si="33"/>
        <v>0</v>
      </c>
      <c r="O168" s="111">
        <f t="shared" si="33"/>
        <v>20</v>
      </c>
      <c r="P168" s="97">
        <f t="shared" si="31"/>
        <v>20</v>
      </c>
      <c r="Q168" s="97">
        <f t="shared" si="32"/>
        <v>0</v>
      </c>
    </row>
    <row r="169" spans="1:17" ht="34.9" customHeight="1" x14ac:dyDescent="0.2">
      <c r="A169" s="40"/>
      <c r="B169" s="113" t="s">
        <v>204</v>
      </c>
      <c r="C169" s="113" t="s">
        <v>51</v>
      </c>
      <c r="D169" s="133" t="s">
        <v>193</v>
      </c>
      <c r="E169" s="133" t="s">
        <v>205</v>
      </c>
      <c r="F169" s="134" t="s">
        <v>11</v>
      </c>
      <c r="G169" s="111">
        <f t="shared" si="33"/>
        <v>20</v>
      </c>
      <c r="H169" s="111">
        <f t="shared" si="33"/>
        <v>0</v>
      </c>
      <c r="I169" s="111">
        <f t="shared" si="33"/>
        <v>20</v>
      </c>
      <c r="J169" s="114">
        <f t="shared" si="33"/>
        <v>0</v>
      </c>
      <c r="K169" s="111">
        <f>K170</f>
        <v>0</v>
      </c>
      <c r="L169" s="114">
        <f t="shared" si="33"/>
        <v>0</v>
      </c>
      <c r="M169" s="111">
        <f t="shared" si="33"/>
        <v>20</v>
      </c>
      <c r="N169" s="111">
        <f t="shared" si="33"/>
        <v>0</v>
      </c>
      <c r="O169" s="111">
        <f t="shared" si="33"/>
        <v>20</v>
      </c>
      <c r="P169" s="97">
        <f t="shared" si="31"/>
        <v>20</v>
      </c>
      <c r="Q169" s="97">
        <f t="shared" si="32"/>
        <v>0</v>
      </c>
    </row>
    <row r="170" spans="1:17" ht="15.75" x14ac:dyDescent="0.2">
      <c r="A170" s="40"/>
      <c r="B170" s="113" t="s">
        <v>206</v>
      </c>
      <c r="C170" s="113" t="s">
        <v>51</v>
      </c>
      <c r="D170" s="133" t="s">
        <v>193</v>
      </c>
      <c r="E170" s="133" t="s">
        <v>207</v>
      </c>
      <c r="F170" s="134" t="s">
        <v>11</v>
      </c>
      <c r="G170" s="111">
        <f>G171</f>
        <v>20</v>
      </c>
      <c r="H170" s="111"/>
      <c r="I170" s="111">
        <f>I171</f>
        <v>20</v>
      </c>
      <c r="J170" s="114">
        <f t="shared" si="33"/>
        <v>0</v>
      </c>
      <c r="K170" s="111"/>
      <c r="L170" s="114">
        <f t="shared" si="33"/>
        <v>0</v>
      </c>
      <c r="M170" s="111">
        <f t="shared" si="33"/>
        <v>20</v>
      </c>
      <c r="N170" s="111">
        <f t="shared" si="33"/>
        <v>0</v>
      </c>
      <c r="O170" s="111">
        <f t="shared" si="33"/>
        <v>20</v>
      </c>
      <c r="P170" s="97">
        <f t="shared" si="31"/>
        <v>20</v>
      </c>
      <c r="Q170" s="97">
        <f t="shared" si="32"/>
        <v>0</v>
      </c>
    </row>
    <row r="171" spans="1:17" ht="31.5" x14ac:dyDescent="0.2">
      <c r="A171" s="40"/>
      <c r="B171" s="113" t="s">
        <v>40</v>
      </c>
      <c r="C171" s="113" t="s">
        <v>51</v>
      </c>
      <c r="D171" s="133" t="s">
        <v>193</v>
      </c>
      <c r="E171" s="133" t="s">
        <v>207</v>
      </c>
      <c r="F171" s="134" t="s">
        <v>41</v>
      </c>
      <c r="G171" s="111">
        <v>20</v>
      </c>
      <c r="H171" s="111"/>
      <c r="I171" s="111">
        <v>20</v>
      </c>
      <c r="J171" s="115">
        <v>0</v>
      </c>
      <c r="K171" s="111"/>
      <c r="L171" s="115">
        <v>0</v>
      </c>
      <c r="M171" s="111">
        <v>20</v>
      </c>
      <c r="N171" s="111"/>
      <c r="O171" s="111">
        <v>20</v>
      </c>
      <c r="P171" s="97">
        <f t="shared" si="31"/>
        <v>20</v>
      </c>
      <c r="Q171" s="97">
        <f t="shared" si="32"/>
        <v>0</v>
      </c>
    </row>
    <row r="172" spans="1:17" ht="31.5" x14ac:dyDescent="0.2">
      <c r="A172" s="40"/>
      <c r="B172" s="113" t="s">
        <v>185</v>
      </c>
      <c r="C172" s="113" t="s">
        <v>51</v>
      </c>
      <c r="D172" s="133" t="s">
        <v>193</v>
      </c>
      <c r="E172" s="133" t="s">
        <v>186</v>
      </c>
      <c r="F172" s="134" t="s">
        <v>11</v>
      </c>
      <c r="G172" s="111">
        <f t="shared" ref="G172:O174" si="34">G173</f>
        <v>95</v>
      </c>
      <c r="H172" s="111">
        <f t="shared" si="34"/>
        <v>0</v>
      </c>
      <c r="I172" s="111">
        <f t="shared" si="34"/>
        <v>95</v>
      </c>
      <c r="J172" s="114">
        <f t="shared" si="34"/>
        <v>0</v>
      </c>
      <c r="K172" s="111">
        <f>K173</f>
        <v>0</v>
      </c>
      <c r="L172" s="114">
        <f t="shared" si="34"/>
        <v>0</v>
      </c>
      <c r="M172" s="111">
        <f t="shared" si="34"/>
        <v>95</v>
      </c>
      <c r="N172" s="111">
        <f t="shared" si="34"/>
        <v>0</v>
      </c>
      <c r="O172" s="111">
        <f t="shared" si="34"/>
        <v>95</v>
      </c>
      <c r="P172" s="97">
        <f t="shared" si="31"/>
        <v>95</v>
      </c>
      <c r="Q172" s="97">
        <f t="shared" si="32"/>
        <v>0</v>
      </c>
    </row>
    <row r="173" spans="1:17" ht="52.15" customHeight="1" x14ac:dyDescent="0.2">
      <c r="A173" s="40"/>
      <c r="B173" s="113" t="s">
        <v>208</v>
      </c>
      <c r="C173" s="113" t="s">
        <v>51</v>
      </c>
      <c r="D173" s="133" t="s">
        <v>193</v>
      </c>
      <c r="E173" s="133" t="s">
        <v>209</v>
      </c>
      <c r="F173" s="134" t="s">
        <v>11</v>
      </c>
      <c r="G173" s="111">
        <f t="shared" si="34"/>
        <v>95</v>
      </c>
      <c r="H173" s="111">
        <f t="shared" si="34"/>
        <v>0</v>
      </c>
      <c r="I173" s="111">
        <f t="shared" si="34"/>
        <v>95</v>
      </c>
      <c r="J173" s="114">
        <f t="shared" si="34"/>
        <v>0</v>
      </c>
      <c r="K173" s="111">
        <f>K174</f>
        <v>0</v>
      </c>
      <c r="L173" s="114">
        <f t="shared" si="34"/>
        <v>0</v>
      </c>
      <c r="M173" s="111">
        <f t="shared" si="34"/>
        <v>95</v>
      </c>
      <c r="N173" s="111">
        <f t="shared" si="34"/>
        <v>0</v>
      </c>
      <c r="O173" s="111">
        <f t="shared" si="34"/>
        <v>95</v>
      </c>
      <c r="P173" s="97">
        <f t="shared" si="31"/>
        <v>95</v>
      </c>
      <c r="Q173" s="97">
        <f t="shared" si="32"/>
        <v>0</v>
      </c>
    </row>
    <row r="174" spans="1:17" ht="20.45" customHeight="1" x14ac:dyDescent="0.2">
      <c r="A174" s="40"/>
      <c r="B174" s="113" t="s">
        <v>210</v>
      </c>
      <c r="C174" s="113" t="s">
        <v>51</v>
      </c>
      <c r="D174" s="133" t="s">
        <v>193</v>
      </c>
      <c r="E174" s="133" t="s">
        <v>211</v>
      </c>
      <c r="F174" s="134" t="s">
        <v>11</v>
      </c>
      <c r="G174" s="111">
        <f>G175</f>
        <v>95</v>
      </c>
      <c r="H174" s="111"/>
      <c r="I174" s="111">
        <f>I175</f>
        <v>95</v>
      </c>
      <c r="J174" s="114">
        <f t="shared" si="34"/>
        <v>0</v>
      </c>
      <c r="K174" s="111"/>
      <c r="L174" s="114">
        <f t="shared" si="34"/>
        <v>0</v>
      </c>
      <c r="M174" s="111">
        <f t="shared" si="34"/>
        <v>95</v>
      </c>
      <c r="N174" s="111">
        <f t="shared" si="34"/>
        <v>0</v>
      </c>
      <c r="O174" s="111">
        <f t="shared" si="34"/>
        <v>95</v>
      </c>
      <c r="P174" s="97">
        <f t="shared" si="31"/>
        <v>95</v>
      </c>
      <c r="Q174" s="97">
        <f t="shared" si="32"/>
        <v>0</v>
      </c>
    </row>
    <row r="175" spans="1:17" ht="31.5" x14ac:dyDescent="0.2">
      <c r="A175" s="40"/>
      <c r="B175" s="113" t="s">
        <v>40</v>
      </c>
      <c r="C175" s="113" t="s">
        <v>51</v>
      </c>
      <c r="D175" s="133" t="s">
        <v>193</v>
      </c>
      <c r="E175" s="133" t="s">
        <v>211</v>
      </c>
      <c r="F175" s="134" t="s">
        <v>41</v>
      </c>
      <c r="G175" s="111">
        <v>95</v>
      </c>
      <c r="H175" s="106"/>
      <c r="I175" s="111">
        <v>95</v>
      </c>
      <c r="J175" s="115">
        <v>0</v>
      </c>
      <c r="K175" s="106"/>
      <c r="L175" s="115">
        <v>0</v>
      </c>
      <c r="M175" s="111">
        <v>95</v>
      </c>
      <c r="N175" s="111"/>
      <c r="O175" s="111">
        <v>95</v>
      </c>
      <c r="P175" s="97">
        <f t="shared" si="31"/>
        <v>95</v>
      </c>
      <c r="Q175" s="97">
        <f t="shared" si="32"/>
        <v>0</v>
      </c>
    </row>
    <row r="176" spans="1:17" ht="15.75" x14ac:dyDescent="0.2">
      <c r="A176" s="20" t="s">
        <v>212</v>
      </c>
      <c r="B176" s="107" t="s">
        <v>213</v>
      </c>
      <c r="C176" s="107" t="s">
        <v>51</v>
      </c>
      <c r="D176" s="129" t="s">
        <v>214</v>
      </c>
      <c r="E176" s="129" t="s">
        <v>11</v>
      </c>
      <c r="F176" s="130" t="s">
        <v>11</v>
      </c>
      <c r="G176" s="106">
        <f t="shared" ref="G176:O176" si="35">G177+G185+G208+G214</f>
        <v>79654.2</v>
      </c>
      <c r="H176" s="106">
        <f>H177+H185+H208+H214</f>
        <v>131.10000000000002</v>
      </c>
      <c r="I176" s="106">
        <f t="shared" si="35"/>
        <v>79785.3</v>
      </c>
      <c r="J176" s="108">
        <f t="shared" si="35"/>
        <v>215446.9</v>
      </c>
      <c r="K176" s="108">
        <f t="shared" si="35"/>
        <v>0</v>
      </c>
      <c r="L176" s="108">
        <f t="shared" si="35"/>
        <v>215446.9</v>
      </c>
      <c r="M176" s="106">
        <f t="shared" si="35"/>
        <v>295101.09999999998</v>
      </c>
      <c r="N176" s="106">
        <f t="shared" si="35"/>
        <v>131.10000000000002</v>
      </c>
      <c r="O176" s="106">
        <f t="shared" si="35"/>
        <v>295232.2</v>
      </c>
      <c r="P176" s="97">
        <f t="shared" si="31"/>
        <v>79785.3</v>
      </c>
      <c r="Q176" s="97">
        <f t="shared" si="32"/>
        <v>0</v>
      </c>
    </row>
    <row r="177" spans="1:17" ht="15.75" x14ac:dyDescent="0.2">
      <c r="A177" s="33" t="s">
        <v>215</v>
      </c>
      <c r="B177" s="110" t="s">
        <v>216</v>
      </c>
      <c r="C177" s="110" t="s">
        <v>51</v>
      </c>
      <c r="D177" s="131" t="s">
        <v>217</v>
      </c>
      <c r="E177" s="131" t="s">
        <v>11</v>
      </c>
      <c r="F177" s="132" t="s">
        <v>11</v>
      </c>
      <c r="G177" s="109">
        <f t="shared" ref="G177:O181" si="36">G178</f>
        <v>11222.4</v>
      </c>
      <c r="H177" s="111">
        <f t="shared" si="36"/>
        <v>0</v>
      </c>
      <c r="I177" s="109">
        <f t="shared" si="36"/>
        <v>11222.4</v>
      </c>
      <c r="J177" s="112">
        <f t="shared" si="36"/>
        <v>148194</v>
      </c>
      <c r="K177" s="111">
        <f>K178</f>
        <v>0</v>
      </c>
      <c r="L177" s="112">
        <f t="shared" si="36"/>
        <v>148194</v>
      </c>
      <c r="M177" s="109">
        <f>M178</f>
        <v>159416.4</v>
      </c>
      <c r="N177" s="109">
        <f t="shared" si="36"/>
        <v>0</v>
      </c>
      <c r="O177" s="109">
        <f t="shared" si="36"/>
        <v>159416.4</v>
      </c>
      <c r="P177" s="97">
        <f t="shared" si="31"/>
        <v>11222.4</v>
      </c>
      <c r="Q177" s="97">
        <f t="shared" si="32"/>
        <v>0</v>
      </c>
    </row>
    <row r="178" spans="1:17" ht="31.5" x14ac:dyDescent="0.2">
      <c r="A178" s="40"/>
      <c r="B178" s="113" t="s">
        <v>218</v>
      </c>
      <c r="C178" s="113" t="s">
        <v>51</v>
      </c>
      <c r="D178" s="133" t="s">
        <v>217</v>
      </c>
      <c r="E178" s="133" t="s">
        <v>219</v>
      </c>
      <c r="F178" s="134" t="s">
        <v>11</v>
      </c>
      <c r="G178" s="111">
        <f t="shared" si="36"/>
        <v>11222.4</v>
      </c>
      <c r="H178" s="111">
        <f t="shared" si="36"/>
        <v>0</v>
      </c>
      <c r="I178" s="111">
        <f t="shared" si="36"/>
        <v>11222.4</v>
      </c>
      <c r="J178" s="114">
        <f t="shared" si="36"/>
        <v>148194</v>
      </c>
      <c r="K178" s="111">
        <f>K179</f>
        <v>0</v>
      </c>
      <c r="L178" s="114">
        <f t="shared" si="36"/>
        <v>148194</v>
      </c>
      <c r="M178" s="111">
        <f t="shared" si="36"/>
        <v>159416.4</v>
      </c>
      <c r="N178" s="111">
        <f t="shared" si="36"/>
        <v>0</v>
      </c>
      <c r="O178" s="111">
        <f t="shared" si="36"/>
        <v>159416.4</v>
      </c>
      <c r="P178" s="97">
        <f t="shared" si="31"/>
        <v>11222.4</v>
      </c>
      <c r="Q178" s="97">
        <f t="shared" si="32"/>
        <v>0</v>
      </c>
    </row>
    <row r="179" spans="1:17" ht="31.5" x14ac:dyDescent="0.2">
      <c r="A179" s="40"/>
      <c r="B179" s="113" t="s">
        <v>185</v>
      </c>
      <c r="C179" s="113" t="s">
        <v>51</v>
      </c>
      <c r="D179" s="133" t="s">
        <v>217</v>
      </c>
      <c r="E179" s="133" t="s">
        <v>220</v>
      </c>
      <c r="F179" s="134" t="s">
        <v>11</v>
      </c>
      <c r="G179" s="111">
        <f t="shared" si="36"/>
        <v>11222.4</v>
      </c>
      <c r="H179" s="111">
        <f t="shared" si="36"/>
        <v>0</v>
      </c>
      <c r="I179" s="111">
        <f t="shared" si="36"/>
        <v>11222.4</v>
      </c>
      <c r="J179" s="114">
        <f t="shared" si="36"/>
        <v>148194</v>
      </c>
      <c r="K179" s="111">
        <f>K180</f>
        <v>0</v>
      </c>
      <c r="L179" s="114">
        <f t="shared" si="36"/>
        <v>148194</v>
      </c>
      <c r="M179" s="111">
        <f t="shared" si="36"/>
        <v>159416.4</v>
      </c>
      <c r="N179" s="111">
        <f t="shared" si="36"/>
        <v>0</v>
      </c>
      <c r="O179" s="111">
        <f t="shared" si="36"/>
        <v>159416.4</v>
      </c>
      <c r="P179" s="97">
        <f t="shared" si="31"/>
        <v>11222.4</v>
      </c>
      <c r="Q179" s="97">
        <f t="shared" si="32"/>
        <v>0</v>
      </c>
    </row>
    <row r="180" spans="1:17" ht="31.5" x14ac:dyDescent="0.2">
      <c r="A180" s="40"/>
      <c r="B180" s="113" t="s">
        <v>221</v>
      </c>
      <c r="C180" s="113" t="s">
        <v>51</v>
      </c>
      <c r="D180" s="133" t="s">
        <v>217</v>
      </c>
      <c r="E180" s="133" t="s">
        <v>222</v>
      </c>
      <c r="F180" s="134" t="s">
        <v>11</v>
      </c>
      <c r="G180" s="111">
        <f>G181+G183</f>
        <v>11222.4</v>
      </c>
      <c r="H180" s="111">
        <f>H181+H183</f>
        <v>0</v>
      </c>
      <c r="I180" s="111">
        <f>I181+I183</f>
        <v>11222.4</v>
      </c>
      <c r="J180" s="114">
        <f t="shared" si="36"/>
        <v>148194</v>
      </c>
      <c r="K180" s="111">
        <f>K181</f>
        <v>0</v>
      </c>
      <c r="L180" s="114">
        <f t="shared" si="36"/>
        <v>148194</v>
      </c>
      <c r="M180" s="111">
        <f>SUM(G180+J180)</f>
        <v>159416.4</v>
      </c>
      <c r="N180" s="111">
        <f>N181+N183</f>
        <v>0</v>
      </c>
      <c r="O180" s="111">
        <f>SUM(I180+L180)</f>
        <v>159416.4</v>
      </c>
      <c r="P180" s="97">
        <f t="shared" si="31"/>
        <v>11222.4</v>
      </c>
      <c r="Q180" s="97">
        <f t="shared" si="32"/>
        <v>0</v>
      </c>
    </row>
    <row r="181" spans="1:17" ht="84" customHeight="1" x14ac:dyDescent="0.2">
      <c r="A181" s="40"/>
      <c r="B181" s="113" t="s">
        <v>577</v>
      </c>
      <c r="C181" s="113" t="s">
        <v>51</v>
      </c>
      <c r="D181" s="133" t="s">
        <v>217</v>
      </c>
      <c r="E181" s="133" t="s">
        <v>224</v>
      </c>
      <c r="F181" s="134" t="s">
        <v>11</v>
      </c>
      <c r="G181" s="111">
        <f>G182</f>
        <v>7799.8</v>
      </c>
      <c r="H181" s="111"/>
      <c r="I181" s="111">
        <f>I182</f>
        <v>7799.8</v>
      </c>
      <c r="J181" s="114">
        <f t="shared" si="36"/>
        <v>148194</v>
      </c>
      <c r="K181" s="111">
        <f>SUM(K182)</f>
        <v>0</v>
      </c>
      <c r="L181" s="114">
        <f t="shared" si="36"/>
        <v>148194</v>
      </c>
      <c r="M181" s="111">
        <f t="shared" si="36"/>
        <v>155993.79999999999</v>
      </c>
      <c r="N181" s="111">
        <f>N182</f>
        <v>0</v>
      </c>
      <c r="O181" s="111">
        <f t="shared" si="36"/>
        <v>155993.79999999999</v>
      </c>
      <c r="P181" s="97">
        <f t="shared" si="31"/>
        <v>7799.8</v>
      </c>
      <c r="Q181" s="97">
        <f t="shared" si="32"/>
        <v>0</v>
      </c>
    </row>
    <row r="182" spans="1:17" ht="31.5" x14ac:dyDescent="0.2">
      <c r="A182" s="40"/>
      <c r="B182" s="113" t="s">
        <v>225</v>
      </c>
      <c r="C182" s="113" t="s">
        <v>51</v>
      </c>
      <c r="D182" s="133" t="s">
        <v>217</v>
      </c>
      <c r="E182" s="133" t="s">
        <v>224</v>
      </c>
      <c r="F182" s="134" t="s">
        <v>226</v>
      </c>
      <c r="G182" s="111">
        <v>7799.8</v>
      </c>
      <c r="H182" s="109"/>
      <c r="I182" s="111">
        <f>487.6+7312.2</f>
        <v>7799.8</v>
      </c>
      <c r="J182" s="115">
        <v>148194</v>
      </c>
      <c r="K182" s="109"/>
      <c r="L182" s="115">
        <f>SUM(J182)</f>
        <v>148194</v>
      </c>
      <c r="M182" s="111">
        <f>SUM(G182+J182)</f>
        <v>155993.79999999999</v>
      </c>
      <c r="N182" s="111">
        <f>SUM(K182)+H182</f>
        <v>0</v>
      </c>
      <c r="O182" s="111">
        <f>SUM(N182)+M182</f>
        <v>155993.79999999999</v>
      </c>
      <c r="P182" s="97">
        <f t="shared" si="31"/>
        <v>7799.8</v>
      </c>
      <c r="Q182" s="97">
        <f t="shared" si="32"/>
        <v>0</v>
      </c>
    </row>
    <row r="183" spans="1:17" ht="110.25" x14ac:dyDescent="0.2">
      <c r="A183" s="40"/>
      <c r="B183" s="140" t="s">
        <v>576</v>
      </c>
      <c r="C183" s="113">
        <v>992</v>
      </c>
      <c r="D183" s="133" t="s">
        <v>217</v>
      </c>
      <c r="E183" s="136" t="s">
        <v>562</v>
      </c>
      <c r="F183" s="134"/>
      <c r="G183" s="111">
        <f>SUM(G184)</f>
        <v>3422.6</v>
      </c>
      <c r="H183" s="111">
        <f>H184</f>
        <v>0</v>
      </c>
      <c r="I183" s="111">
        <f>SUM(G183:H183)</f>
        <v>3422.6</v>
      </c>
      <c r="J183" s="115"/>
      <c r="K183" s="109"/>
      <c r="L183" s="115"/>
      <c r="M183" s="111">
        <f>M184</f>
        <v>3422.6</v>
      </c>
      <c r="N183" s="111">
        <f t="shared" ref="M183:O184" si="37">SUM(H183)</f>
        <v>0</v>
      </c>
      <c r="O183" s="111">
        <f>SUM(I183)</f>
        <v>3422.6</v>
      </c>
      <c r="P183" s="97">
        <f t="shared" si="31"/>
        <v>3422.6</v>
      </c>
      <c r="Q183" s="97">
        <f t="shared" si="32"/>
        <v>0</v>
      </c>
    </row>
    <row r="184" spans="1:17" ht="31.5" x14ac:dyDescent="0.2">
      <c r="A184" s="40"/>
      <c r="B184" s="113" t="s">
        <v>225</v>
      </c>
      <c r="C184" s="113">
        <v>992</v>
      </c>
      <c r="D184" s="133" t="s">
        <v>217</v>
      </c>
      <c r="E184" s="136" t="s">
        <v>562</v>
      </c>
      <c r="F184" s="134">
        <v>400</v>
      </c>
      <c r="G184" s="111">
        <v>3422.6</v>
      </c>
      <c r="H184" s="111"/>
      <c r="I184" s="111">
        <f>SUM(H184)+G184</f>
        <v>3422.6</v>
      </c>
      <c r="J184" s="115"/>
      <c r="K184" s="109"/>
      <c r="L184" s="115"/>
      <c r="M184" s="111">
        <f t="shared" si="37"/>
        <v>3422.6</v>
      </c>
      <c r="N184" s="111">
        <f t="shared" si="37"/>
        <v>0</v>
      </c>
      <c r="O184" s="111">
        <f t="shared" si="37"/>
        <v>3422.6</v>
      </c>
      <c r="P184" s="97">
        <f t="shared" si="31"/>
        <v>3422.6</v>
      </c>
      <c r="Q184" s="97">
        <f t="shared" si="32"/>
        <v>0</v>
      </c>
    </row>
    <row r="185" spans="1:17" ht="15.75" x14ac:dyDescent="0.2">
      <c r="A185" s="33" t="s">
        <v>227</v>
      </c>
      <c r="B185" s="110" t="s">
        <v>228</v>
      </c>
      <c r="C185" s="110" t="s">
        <v>51</v>
      </c>
      <c r="D185" s="131" t="s">
        <v>229</v>
      </c>
      <c r="E185" s="131" t="s">
        <v>11</v>
      </c>
      <c r="F185" s="132" t="s">
        <v>11</v>
      </c>
      <c r="G185" s="109">
        <f>G186+G199+G205</f>
        <v>35420.199999999997</v>
      </c>
      <c r="H185" s="111">
        <f>H186+H199+H206</f>
        <v>112.60000000000001</v>
      </c>
      <c r="I185" s="109">
        <f>I186+I199+I205</f>
        <v>35532.799999999996</v>
      </c>
      <c r="J185" s="112">
        <f>J186+J199</f>
        <v>53692.5</v>
      </c>
      <c r="K185" s="109">
        <f>K186</f>
        <v>0</v>
      </c>
      <c r="L185" s="112">
        <f>L186+L199</f>
        <v>53692.5</v>
      </c>
      <c r="M185" s="109">
        <f>M186+M199+M205</f>
        <v>89112.700000000012</v>
      </c>
      <c r="N185" s="109">
        <f>N186+N199+N206</f>
        <v>112.60000000000001</v>
      </c>
      <c r="O185" s="109">
        <f>O186+O199+O205</f>
        <v>89225.3</v>
      </c>
      <c r="P185" s="97">
        <f t="shared" si="31"/>
        <v>35532.799999999996</v>
      </c>
      <c r="Q185" s="97">
        <f t="shared" si="32"/>
        <v>0</v>
      </c>
    </row>
    <row r="186" spans="1:17" ht="47.25" x14ac:dyDescent="0.2">
      <c r="A186" s="40"/>
      <c r="B186" s="113" t="s">
        <v>230</v>
      </c>
      <c r="C186" s="113" t="s">
        <v>51</v>
      </c>
      <c r="D186" s="133" t="s">
        <v>229</v>
      </c>
      <c r="E186" s="133" t="s">
        <v>231</v>
      </c>
      <c r="F186" s="134" t="s">
        <v>11</v>
      </c>
      <c r="G186" s="111">
        <f>G187</f>
        <v>18343.599999999999</v>
      </c>
      <c r="H186" s="111">
        <f>H187</f>
        <v>112.60000000000001</v>
      </c>
      <c r="I186" s="111">
        <f>I187</f>
        <v>18456.199999999997</v>
      </c>
      <c r="J186" s="114">
        <f>J187</f>
        <v>53692.5</v>
      </c>
      <c r="K186" s="111">
        <f>K187+K195</f>
        <v>0</v>
      </c>
      <c r="L186" s="114">
        <f>L187</f>
        <v>53692.5</v>
      </c>
      <c r="M186" s="111">
        <f>M187</f>
        <v>72036.100000000006</v>
      </c>
      <c r="N186" s="111">
        <f>N187</f>
        <v>112.60000000000001</v>
      </c>
      <c r="O186" s="111">
        <f>O187</f>
        <v>72148.7</v>
      </c>
      <c r="P186" s="97">
        <f t="shared" si="31"/>
        <v>18456.199999999997</v>
      </c>
      <c r="Q186" s="97">
        <f t="shared" si="32"/>
        <v>0</v>
      </c>
    </row>
    <row r="187" spans="1:17" ht="47.25" x14ac:dyDescent="0.2">
      <c r="A187" s="40"/>
      <c r="B187" s="113" t="s">
        <v>232</v>
      </c>
      <c r="C187" s="113" t="s">
        <v>51</v>
      </c>
      <c r="D187" s="133" t="s">
        <v>229</v>
      </c>
      <c r="E187" s="133" t="s">
        <v>233</v>
      </c>
      <c r="F187" s="134" t="s">
        <v>11</v>
      </c>
      <c r="G187" s="111">
        <f>G188+G196</f>
        <v>18343.599999999999</v>
      </c>
      <c r="H187" s="111">
        <f>H188+H196</f>
        <v>112.60000000000001</v>
      </c>
      <c r="I187" s="111">
        <f>I188+I196</f>
        <v>18456.199999999997</v>
      </c>
      <c r="J187" s="114">
        <f>J188+J196</f>
        <v>53692.5</v>
      </c>
      <c r="K187" s="111">
        <f>K188</f>
        <v>0</v>
      </c>
      <c r="L187" s="114">
        <f>L188+L196</f>
        <v>53692.5</v>
      </c>
      <c r="M187" s="111">
        <f>M188+M196</f>
        <v>72036.100000000006</v>
      </c>
      <c r="N187" s="111">
        <f>N188+N196</f>
        <v>112.60000000000001</v>
      </c>
      <c r="O187" s="111">
        <f>O188+O196</f>
        <v>72148.7</v>
      </c>
      <c r="P187" s="97">
        <f t="shared" si="31"/>
        <v>18456.199999999997</v>
      </c>
      <c r="Q187" s="97">
        <f t="shared" si="32"/>
        <v>0</v>
      </c>
    </row>
    <row r="188" spans="1:17" ht="31.5" x14ac:dyDescent="0.2">
      <c r="A188" s="40"/>
      <c r="B188" s="113" t="s">
        <v>234</v>
      </c>
      <c r="C188" s="113" t="s">
        <v>51</v>
      </c>
      <c r="D188" s="133" t="s">
        <v>229</v>
      </c>
      <c r="E188" s="133" t="s">
        <v>235</v>
      </c>
      <c r="F188" s="134" t="s">
        <v>11</v>
      </c>
      <c r="G188" s="111">
        <f>G189+G194+G192</f>
        <v>10270.299999999999</v>
      </c>
      <c r="H188" s="111">
        <f t="shared" ref="H188:O188" si="38">H189+H194+H192</f>
        <v>3.8</v>
      </c>
      <c r="I188" s="111">
        <f t="shared" si="38"/>
        <v>10274.099999999999</v>
      </c>
      <c r="J188" s="111">
        <f t="shared" si="38"/>
        <v>53692.5</v>
      </c>
      <c r="K188" s="111">
        <f t="shared" si="38"/>
        <v>0</v>
      </c>
      <c r="L188" s="111">
        <f t="shared" si="38"/>
        <v>53692.5</v>
      </c>
      <c r="M188" s="111">
        <f t="shared" si="38"/>
        <v>63962.8</v>
      </c>
      <c r="N188" s="111">
        <f t="shared" si="38"/>
        <v>3.8</v>
      </c>
      <c r="O188" s="111">
        <f t="shared" si="38"/>
        <v>63966.6</v>
      </c>
      <c r="P188" s="97">
        <f t="shared" si="31"/>
        <v>10274.099999999999</v>
      </c>
      <c r="Q188" s="97">
        <f t="shared" si="32"/>
        <v>0</v>
      </c>
    </row>
    <row r="189" spans="1:17" ht="63" x14ac:dyDescent="0.2">
      <c r="A189" s="40"/>
      <c r="B189" s="113" t="s">
        <v>236</v>
      </c>
      <c r="C189" s="113" t="s">
        <v>51</v>
      </c>
      <c r="D189" s="133" t="s">
        <v>229</v>
      </c>
      <c r="E189" s="133" t="s">
        <v>237</v>
      </c>
      <c r="F189" s="134" t="s">
        <v>11</v>
      </c>
      <c r="G189" s="111">
        <f>G190+G191</f>
        <v>10270.299999999999</v>
      </c>
      <c r="H189" s="111">
        <f>H190+H191</f>
        <v>3.8</v>
      </c>
      <c r="I189" s="111">
        <f t="shared" ref="I189:O189" si="39">I190+I191</f>
        <v>10274.099999999999</v>
      </c>
      <c r="J189" s="114">
        <f t="shared" si="39"/>
        <v>27036</v>
      </c>
      <c r="K189" s="114">
        <f t="shared" si="39"/>
        <v>0</v>
      </c>
      <c r="L189" s="114">
        <f t="shared" si="39"/>
        <v>27036</v>
      </c>
      <c r="M189" s="111">
        <f t="shared" si="39"/>
        <v>37306.300000000003</v>
      </c>
      <c r="N189" s="111">
        <f t="shared" si="39"/>
        <v>3.8</v>
      </c>
      <c r="O189" s="111">
        <f t="shared" si="39"/>
        <v>37310.1</v>
      </c>
      <c r="P189" s="97">
        <f t="shared" si="31"/>
        <v>10274.099999999999</v>
      </c>
      <c r="Q189" s="97">
        <f t="shared" si="32"/>
        <v>0</v>
      </c>
    </row>
    <row r="190" spans="1:17" ht="31.5" x14ac:dyDescent="0.2">
      <c r="A190" s="40"/>
      <c r="B190" s="113" t="s">
        <v>40</v>
      </c>
      <c r="C190" s="113" t="s">
        <v>51</v>
      </c>
      <c r="D190" s="133" t="s">
        <v>229</v>
      </c>
      <c r="E190" s="133" t="s">
        <v>237</v>
      </c>
      <c r="F190" s="134" t="s">
        <v>41</v>
      </c>
      <c r="G190" s="111">
        <v>9790.2999999999993</v>
      </c>
      <c r="H190" s="111">
        <f>-3.2+7</f>
        <v>3.8</v>
      </c>
      <c r="I190" s="111">
        <f>SUM(G190)+H190</f>
        <v>9794.0999999999985</v>
      </c>
      <c r="J190" s="115">
        <v>10000</v>
      </c>
      <c r="K190" s="111"/>
      <c r="L190" s="115">
        <v>10000</v>
      </c>
      <c r="M190" s="111">
        <f>SUM(G190+J190)</f>
        <v>19790.3</v>
      </c>
      <c r="N190" s="111">
        <f>SUM(K190)+H190</f>
        <v>3.8</v>
      </c>
      <c r="O190" s="111">
        <f>SUM(I190+L190)</f>
        <v>19794.099999999999</v>
      </c>
      <c r="P190" s="97">
        <f t="shared" si="31"/>
        <v>9794.0999999999985</v>
      </c>
      <c r="Q190" s="97">
        <f t="shared" si="32"/>
        <v>0</v>
      </c>
    </row>
    <row r="191" spans="1:17" ht="31.5" x14ac:dyDescent="0.2">
      <c r="A191" s="40"/>
      <c r="B191" s="113" t="s">
        <v>225</v>
      </c>
      <c r="C191" s="118">
        <v>992</v>
      </c>
      <c r="D191" s="136" t="s">
        <v>229</v>
      </c>
      <c r="E191" s="136" t="s">
        <v>237</v>
      </c>
      <c r="F191" s="141" t="s">
        <v>226</v>
      </c>
      <c r="G191" s="111">
        <v>480</v>
      </c>
      <c r="H191" s="111"/>
      <c r="I191" s="111">
        <f>SUM(G191)+H191</f>
        <v>480</v>
      </c>
      <c r="J191" s="115">
        <v>17036</v>
      </c>
      <c r="K191" s="111"/>
      <c r="L191" s="115">
        <f>SUM(J191)</f>
        <v>17036</v>
      </c>
      <c r="M191" s="111">
        <f>SUM(G191+J191)</f>
        <v>17516</v>
      </c>
      <c r="N191" s="111">
        <f>SUM(K191)+H191</f>
        <v>0</v>
      </c>
      <c r="O191" s="111">
        <f>SUM(M191)+N191</f>
        <v>17516</v>
      </c>
      <c r="P191" s="97">
        <f t="shared" si="31"/>
        <v>480</v>
      </c>
      <c r="Q191" s="97">
        <f t="shared" si="32"/>
        <v>0</v>
      </c>
    </row>
    <row r="192" spans="1:17" ht="110.25" x14ac:dyDescent="0.2">
      <c r="A192" s="40"/>
      <c r="B192" s="135" t="s">
        <v>238</v>
      </c>
      <c r="C192" s="118">
        <v>992</v>
      </c>
      <c r="D192" s="136" t="s">
        <v>229</v>
      </c>
      <c r="E192" s="136" t="s">
        <v>239</v>
      </c>
      <c r="F192" s="141"/>
      <c r="G192" s="111">
        <f t="shared" ref="G192:O192" si="40">G193</f>
        <v>0</v>
      </c>
      <c r="H192" s="111">
        <f t="shared" si="40"/>
        <v>0</v>
      </c>
      <c r="I192" s="111">
        <f t="shared" si="40"/>
        <v>0</v>
      </c>
      <c r="J192" s="115">
        <f t="shared" si="40"/>
        <v>26656.5</v>
      </c>
      <c r="K192" s="111">
        <f t="shared" si="40"/>
        <v>0</v>
      </c>
      <c r="L192" s="115">
        <f t="shared" si="40"/>
        <v>26656.5</v>
      </c>
      <c r="M192" s="111">
        <f t="shared" si="40"/>
        <v>26656.5</v>
      </c>
      <c r="N192" s="111">
        <f t="shared" si="40"/>
        <v>0</v>
      </c>
      <c r="O192" s="111">
        <f t="shared" si="40"/>
        <v>26656.5</v>
      </c>
      <c r="P192" s="97">
        <f t="shared" si="31"/>
        <v>0</v>
      </c>
      <c r="Q192" s="97">
        <f t="shared" si="32"/>
        <v>0</v>
      </c>
    </row>
    <row r="193" spans="1:17" ht="31.5" x14ac:dyDescent="0.2">
      <c r="A193" s="40"/>
      <c r="B193" s="135" t="s">
        <v>40</v>
      </c>
      <c r="C193" s="118">
        <v>992</v>
      </c>
      <c r="D193" s="136" t="s">
        <v>229</v>
      </c>
      <c r="E193" s="136" t="s">
        <v>239</v>
      </c>
      <c r="F193" s="141" t="s">
        <v>41</v>
      </c>
      <c r="G193" s="111"/>
      <c r="H193" s="111"/>
      <c r="I193" s="111">
        <f>SUM(G193:H193)</f>
        <v>0</v>
      </c>
      <c r="J193" s="115">
        <v>26656.5</v>
      </c>
      <c r="K193" s="111"/>
      <c r="L193" s="115">
        <f>SUM(J193:K193)</f>
        <v>26656.5</v>
      </c>
      <c r="M193" s="111">
        <f>SUM(J193)</f>
        <v>26656.5</v>
      </c>
      <c r="N193" s="111">
        <f>H193+K193</f>
        <v>0</v>
      </c>
      <c r="O193" s="111">
        <f>I193+L193</f>
        <v>26656.5</v>
      </c>
      <c r="P193" s="97">
        <f t="shared" si="31"/>
        <v>0</v>
      </c>
      <c r="Q193" s="97">
        <f t="shared" si="32"/>
        <v>0</v>
      </c>
    </row>
    <row r="194" spans="1:17" ht="78.75" x14ac:dyDescent="0.2">
      <c r="A194" s="40"/>
      <c r="B194" s="113" t="s">
        <v>240</v>
      </c>
      <c r="C194" s="113" t="s">
        <v>51</v>
      </c>
      <c r="D194" s="133" t="s">
        <v>229</v>
      </c>
      <c r="E194" s="133" t="s">
        <v>241</v>
      </c>
      <c r="F194" s="134" t="s">
        <v>11</v>
      </c>
      <c r="G194" s="111">
        <f>G195</f>
        <v>0</v>
      </c>
      <c r="H194" s="111">
        <f>SUM(H195)</f>
        <v>0</v>
      </c>
      <c r="I194" s="111">
        <f>I195</f>
        <v>0</v>
      </c>
      <c r="J194" s="114">
        <f>J195</f>
        <v>0</v>
      </c>
      <c r="K194" s="111"/>
      <c r="L194" s="114">
        <f>L195</f>
        <v>0</v>
      </c>
      <c r="M194" s="111">
        <f>M195</f>
        <v>0</v>
      </c>
      <c r="N194" s="111">
        <f>N195</f>
        <v>0</v>
      </c>
      <c r="O194" s="111">
        <f>O195</f>
        <v>0</v>
      </c>
      <c r="P194" s="97">
        <f t="shared" si="31"/>
        <v>0</v>
      </c>
      <c r="Q194" s="97">
        <f t="shared" si="32"/>
        <v>0</v>
      </c>
    </row>
    <row r="195" spans="1:17" ht="31.5" x14ac:dyDescent="0.2">
      <c r="A195" s="40"/>
      <c r="B195" s="113" t="s">
        <v>40</v>
      </c>
      <c r="C195" s="113" t="s">
        <v>51</v>
      </c>
      <c r="D195" s="133" t="s">
        <v>229</v>
      </c>
      <c r="E195" s="133" t="s">
        <v>241</v>
      </c>
      <c r="F195" s="134" t="s">
        <v>41</v>
      </c>
      <c r="G195" s="111">
        <v>0</v>
      </c>
      <c r="H195" s="111"/>
      <c r="I195" s="111"/>
      <c r="J195" s="115">
        <v>0</v>
      </c>
      <c r="K195" s="111">
        <f t="shared" ref="G195:O197" si="41">K196</f>
        <v>0</v>
      </c>
      <c r="L195" s="115">
        <v>0</v>
      </c>
      <c r="M195" s="111"/>
      <c r="N195" s="111">
        <f>SUM(H195)</f>
        <v>0</v>
      </c>
      <c r="O195" s="111"/>
      <c r="P195" s="97">
        <f t="shared" si="31"/>
        <v>0</v>
      </c>
      <c r="Q195" s="97">
        <f t="shared" si="32"/>
        <v>0</v>
      </c>
    </row>
    <row r="196" spans="1:17" ht="31.5" x14ac:dyDescent="0.2">
      <c r="A196" s="40"/>
      <c r="B196" s="113" t="s">
        <v>242</v>
      </c>
      <c r="C196" s="113" t="s">
        <v>51</v>
      </c>
      <c r="D196" s="133" t="s">
        <v>229</v>
      </c>
      <c r="E196" s="133" t="s">
        <v>243</v>
      </c>
      <c r="F196" s="134" t="s">
        <v>11</v>
      </c>
      <c r="G196" s="111">
        <f t="shared" si="41"/>
        <v>8073.3</v>
      </c>
      <c r="H196" s="111">
        <f t="shared" si="41"/>
        <v>108.80000000000001</v>
      </c>
      <c r="I196" s="111">
        <f t="shared" si="41"/>
        <v>8182.1</v>
      </c>
      <c r="J196" s="114">
        <f t="shared" si="41"/>
        <v>0</v>
      </c>
      <c r="K196" s="111">
        <f t="shared" si="41"/>
        <v>0</v>
      </c>
      <c r="L196" s="114">
        <f t="shared" si="41"/>
        <v>0</v>
      </c>
      <c r="M196" s="111">
        <f t="shared" si="41"/>
        <v>8073.3</v>
      </c>
      <c r="N196" s="111">
        <f t="shared" si="41"/>
        <v>108.80000000000001</v>
      </c>
      <c r="O196" s="111">
        <f t="shared" si="41"/>
        <v>8182.1</v>
      </c>
      <c r="P196" s="97">
        <f t="shared" si="31"/>
        <v>8182.1</v>
      </c>
      <c r="Q196" s="97">
        <f t="shared" si="32"/>
        <v>0</v>
      </c>
    </row>
    <row r="197" spans="1:17" ht="78.75" x14ac:dyDescent="0.2">
      <c r="A197" s="40"/>
      <c r="B197" s="113" t="s">
        <v>240</v>
      </c>
      <c r="C197" s="113" t="s">
        <v>51</v>
      </c>
      <c r="D197" s="133" t="s">
        <v>229</v>
      </c>
      <c r="E197" s="133" t="s">
        <v>244</v>
      </c>
      <c r="F197" s="134" t="s">
        <v>11</v>
      </c>
      <c r="G197" s="111">
        <f t="shared" si="41"/>
        <v>8073.3</v>
      </c>
      <c r="H197" s="111">
        <f>SUM(H198)</f>
        <v>108.80000000000001</v>
      </c>
      <c r="I197" s="111">
        <f t="shared" si="41"/>
        <v>8182.1</v>
      </c>
      <c r="J197" s="114">
        <f t="shared" si="41"/>
        <v>0</v>
      </c>
      <c r="K197" s="111"/>
      <c r="L197" s="114">
        <f t="shared" si="41"/>
        <v>0</v>
      </c>
      <c r="M197" s="111">
        <f t="shared" si="41"/>
        <v>8073.3</v>
      </c>
      <c r="N197" s="111">
        <f t="shared" si="41"/>
        <v>108.80000000000001</v>
      </c>
      <c r="O197" s="111">
        <f t="shared" si="41"/>
        <v>8182.1</v>
      </c>
      <c r="P197" s="97">
        <f t="shared" si="31"/>
        <v>8182.1</v>
      </c>
      <c r="Q197" s="97">
        <f t="shared" si="32"/>
        <v>0</v>
      </c>
    </row>
    <row r="198" spans="1:17" ht="31.5" x14ac:dyDescent="0.2">
      <c r="A198" s="40"/>
      <c r="B198" s="113" t="s">
        <v>40</v>
      </c>
      <c r="C198" s="113" t="s">
        <v>51</v>
      </c>
      <c r="D198" s="133" t="s">
        <v>229</v>
      </c>
      <c r="E198" s="133" t="s">
        <v>244</v>
      </c>
      <c r="F198" s="134" t="s">
        <v>41</v>
      </c>
      <c r="G198" s="111">
        <v>8073.3</v>
      </c>
      <c r="H198" s="111">
        <f>-0.9+36.7+73</f>
        <v>108.80000000000001</v>
      </c>
      <c r="I198" s="111">
        <f>SUM(G198)+H198</f>
        <v>8182.1</v>
      </c>
      <c r="J198" s="115">
        <v>0</v>
      </c>
      <c r="K198" s="111"/>
      <c r="L198" s="115">
        <v>0</v>
      </c>
      <c r="M198" s="111">
        <f>SUM(G198)</f>
        <v>8073.3</v>
      </c>
      <c r="N198" s="111">
        <f>SUM(H198)</f>
        <v>108.80000000000001</v>
      </c>
      <c r="O198" s="111">
        <f>SUM(I198)</f>
        <v>8182.1</v>
      </c>
      <c r="P198" s="97">
        <f t="shared" si="31"/>
        <v>8182.1</v>
      </c>
      <c r="Q198" s="97">
        <f t="shared" si="32"/>
        <v>0</v>
      </c>
    </row>
    <row r="199" spans="1:17" ht="31.5" x14ac:dyDescent="0.2">
      <c r="A199" s="40"/>
      <c r="B199" s="113" t="s">
        <v>245</v>
      </c>
      <c r="C199" s="113" t="s">
        <v>51</v>
      </c>
      <c r="D199" s="133" t="s">
        <v>229</v>
      </c>
      <c r="E199" s="133" t="s">
        <v>246</v>
      </c>
      <c r="F199" s="134" t="s">
        <v>11</v>
      </c>
      <c r="G199" s="111">
        <f t="shared" ref="G199:O202" si="42">G200</f>
        <v>15743</v>
      </c>
      <c r="H199" s="111">
        <f t="shared" si="42"/>
        <v>0</v>
      </c>
      <c r="I199" s="111">
        <f t="shared" si="42"/>
        <v>15743</v>
      </c>
      <c r="J199" s="114">
        <f t="shared" si="42"/>
        <v>0</v>
      </c>
      <c r="K199" s="111">
        <f>K200</f>
        <v>0</v>
      </c>
      <c r="L199" s="114">
        <f t="shared" si="42"/>
        <v>0</v>
      </c>
      <c r="M199" s="111">
        <f t="shared" si="42"/>
        <v>15743</v>
      </c>
      <c r="N199" s="111">
        <f t="shared" si="42"/>
        <v>0</v>
      </c>
      <c r="O199" s="111">
        <f t="shared" si="42"/>
        <v>15743</v>
      </c>
      <c r="P199" s="97">
        <f t="shared" si="31"/>
        <v>15743</v>
      </c>
      <c r="Q199" s="97">
        <f t="shared" si="32"/>
        <v>0</v>
      </c>
    </row>
    <row r="200" spans="1:17" ht="15.75" x14ac:dyDescent="0.2">
      <c r="A200" s="40"/>
      <c r="B200" s="113" t="s">
        <v>247</v>
      </c>
      <c r="C200" s="113" t="s">
        <v>51</v>
      </c>
      <c r="D200" s="133" t="s">
        <v>229</v>
      </c>
      <c r="E200" s="133" t="s">
        <v>248</v>
      </c>
      <c r="F200" s="134" t="s">
        <v>11</v>
      </c>
      <c r="G200" s="111">
        <f t="shared" si="42"/>
        <v>15743</v>
      </c>
      <c r="H200" s="111">
        <f t="shared" si="42"/>
        <v>0</v>
      </c>
      <c r="I200" s="111">
        <f t="shared" si="42"/>
        <v>15743</v>
      </c>
      <c r="J200" s="114">
        <f t="shared" si="42"/>
        <v>0</v>
      </c>
      <c r="K200" s="111">
        <f>K201</f>
        <v>0</v>
      </c>
      <c r="L200" s="114">
        <f t="shared" si="42"/>
        <v>0</v>
      </c>
      <c r="M200" s="111">
        <f t="shared" si="42"/>
        <v>15743</v>
      </c>
      <c r="N200" s="111">
        <f t="shared" si="42"/>
        <v>0</v>
      </c>
      <c r="O200" s="111">
        <f t="shared" si="42"/>
        <v>15743</v>
      </c>
      <c r="P200" s="97">
        <f t="shared" si="31"/>
        <v>15743</v>
      </c>
      <c r="Q200" s="97">
        <f t="shared" si="32"/>
        <v>0</v>
      </c>
    </row>
    <row r="201" spans="1:17" ht="47.25" x14ac:dyDescent="0.2">
      <c r="A201" s="40"/>
      <c r="B201" s="113" t="s">
        <v>249</v>
      </c>
      <c r="C201" s="113" t="s">
        <v>51</v>
      </c>
      <c r="D201" s="133" t="s">
        <v>229</v>
      </c>
      <c r="E201" s="133" t="s">
        <v>250</v>
      </c>
      <c r="F201" s="134" t="s">
        <v>11</v>
      </c>
      <c r="G201" s="111">
        <f t="shared" si="42"/>
        <v>15743</v>
      </c>
      <c r="H201" s="111">
        <f>SUM(H202)</f>
        <v>0</v>
      </c>
      <c r="I201" s="111">
        <f t="shared" si="42"/>
        <v>15743</v>
      </c>
      <c r="J201" s="114">
        <f t="shared" si="42"/>
        <v>0</v>
      </c>
      <c r="K201" s="111">
        <f>K202</f>
        <v>0</v>
      </c>
      <c r="L201" s="114">
        <f t="shared" si="42"/>
        <v>0</v>
      </c>
      <c r="M201" s="111">
        <f t="shared" si="42"/>
        <v>15743</v>
      </c>
      <c r="N201" s="111">
        <f>SUM(H201)</f>
        <v>0</v>
      </c>
      <c r="O201" s="111">
        <f t="shared" si="42"/>
        <v>15743</v>
      </c>
      <c r="P201" s="97">
        <f t="shared" si="31"/>
        <v>15743</v>
      </c>
      <c r="Q201" s="97">
        <f t="shared" si="32"/>
        <v>0</v>
      </c>
    </row>
    <row r="202" spans="1:17" ht="31.5" x14ac:dyDescent="0.2">
      <c r="A202" s="40"/>
      <c r="B202" s="113" t="s">
        <v>134</v>
      </c>
      <c r="C202" s="113" t="s">
        <v>51</v>
      </c>
      <c r="D202" s="133" t="s">
        <v>229</v>
      </c>
      <c r="E202" s="133" t="s">
        <v>251</v>
      </c>
      <c r="F202" s="134" t="s">
        <v>11</v>
      </c>
      <c r="G202" s="111">
        <f>G203</f>
        <v>15743</v>
      </c>
      <c r="H202" s="111">
        <f>SUM(H203)</f>
        <v>0</v>
      </c>
      <c r="I202" s="111">
        <f>I203</f>
        <v>15743</v>
      </c>
      <c r="J202" s="114">
        <f t="shared" si="42"/>
        <v>0</v>
      </c>
      <c r="K202" s="111"/>
      <c r="L202" s="114">
        <f t="shared" si="42"/>
        <v>0</v>
      </c>
      <c r="M202" s="111">
        <f t="shared" si="42"/>
        <v>15743</v>
      </c>
      <c r="N202" s="111">
        <f t="shared" si="42"/>
        <v>0</v>
      </c>
      <c r="O202" s="111">
        <f t="shared" si="42"/>
        <v>15743</v>
      </c>
      <c r="P202" s="97">
        <f t="shared" si="31"/>
        <v>15743</v>
      </c>
      <c r="Q202" s="97">
        <f t="shared" si="32"/>
        <v>0</v>
      </c>
    </row>
    <row r="203" spans="1:17" ht="34.9" customHeight="1" x14ac:dyDescent="0.2">
      <c r="A203" s="40"/>
      <c r="B203" s="113" t="s">
        <v>95</v>
      </c>
      <c r="C203" s="113" t="s">
        <v>51</v>
      </c>
      <c r="D203" s="133" t="s">
        <v>229</v>
      </c>
      <c r="E203" s="133" t="s">
        <v>251</v>
      </c>
      <c r="F203" s="134" t="s">
        <v>96</v>
      </c>
      <c r="G203" s="111">
        <v>15743</v>
      </c>
      <c r="H203" s="117"/>
      <c r="I203" s="111">
        <f>SUM(G203)+H203</f>
        <v>15743</v>
      </c>
      <c r="J203" s="115">
        <v>0</v>
      </c>
      <c r="K203" s="109"/>
      <c r="L203" s="115">
        <v>0</v>
      </c>
      <c r="M203" s="111">
        <f>SUM(G203)</f>
        <v>15743</v>
      </c>
      <c r="N203" s="111">
        <f>SUM(H203)</f>
        <v>0</v>
      </c>
      <c r="O203" s="111">
        <f>SUM(M203)+N203</f>
        <v>15743</v>
      </c>
      <c r="P203" s="97">
        <f t="shared" si="31"/>
        <v>15743</v>
      </c>
      <c r="Q203" s="97">
        <f t="shared" si="32"/>
        <v>0</v>
      </c>
    </row>
    <row r="204" spans="1:17" ht="21" customHeight="1" x14ac:dyDescent="0.2">
      <c r="A204" s="40"/>
      <c r="B204" s="118" t="s">
        <v>583</v>
      </c>
      <c r="C204" s="118" t="s">
        <v>51</v>
      </c>
      <c r="D204" s="136" t="s">
        <v>229</v>
      </c>
      <c r="E204" s="136" t="s">
        <v>460</v>
      </c>
      <c r="F204" s="134"/>
      <c r="G204" s="111">
        <f>G205</f>
        <v>1333.6</v>
      </c>
      <c r="H204" s="117"/>
      <c r="I204" s="111">
        <f>I205</f>
        <v>1333.6</v>
      </c>
      <c r="J204" s="115"/>
      <c r="K204" s="109"/>
      <c r="L204" s="115"/>
      <c r="M204" s="111">
        <f>M205</f>
        <v>1333.6</v>
      </c>
      <c r="N204" s="111"/>
      <c r="O204" s="111">
        <f>O205</f>
        <v>1333.6</v>
      </c>
      <c r="P204" s="97">
        <f t="shared" si="31"/>
        <v>1333.6</v>
      </c>
      <c r="Q204" s="97">
        <f t="shared" si="32"/>
        <v>0</v>
      </c>
    </row>
    <row r="205" spans="1:17" ht="34.9" customHeight="1" x14ac:dyDescent="0.2">
      <c r="A205" s="40"/>
      <c r="B205" s="135" t="s">
        <v>461</v>
      </c>
      <c r="C205" s="113">
        <v>992</v>
      </c>
      <c r="D205" s="133" t="s">
        <v>229</v>
      </c>
      <c r="E205" s="136" t="s">
        <v>462</v>
      </c>
      <c r="F205" s="134"/>
      <c r="G205" s="117">
        <f t="shared" ref="G205:I206" si="43">SUM(G206)</f>
        <v>1333.6</v>
      </c>
      <c r="H205" s="117">
        <f t="shared" si="43"/>
        <v>0</v>
      </c>
      <c r="I205" s="117">
        <f t="shared" si="43"/>
        <v>1333.6</v>
      </c>
      <c r="J205" s="115"/>
      <c r="K205" s="109"/>
      <c r="L205" s="115"/>
      <c r="M205" s="111">
        <f>SUM(G205)</f>
        <v>1333.6</v>
      </c>
      <c r="N205" s="111">
        <f t="shared" ref="N205:O207" si="44">SUM(H205)</f>
        <v>0</v>
      </c>
      <c r="O205" s="111">
        <f t="shared" si="44"/>
        <v>1333.6</v>
      </c>
      <c r="P205" s="97">
        <f t="shared" si="31"/>
        <v>1333.6</v>
      </c>
      <c r="Q205" s="97">
        <f t="shared" si="32"/>
        <v>0</v>
      </c>
    </row>
    <row r="206" spans="1:17" ht="37.15" customHeight="1" x14ac:dyDescent="0.2">
      <c r="A206" s="40"/>
      <c r="B206" s="135" t="s">
        <v>463</v>
      </c>
      <c r="C206" s="113">
        <v>992</v>
      </c>
      <c r="D206" s="133" t="s">
        <v>229</v>
      </c>
      <c r="E206" s="133">
        <v>1300122640</v>
      </c>
      <c r="F206" s="134"/>
      <c r="G206" s="117">
        <f t="shared" si="43"/>
        <v>1333.6</v>
      </c>
      <c r="H206" s="117">
        <f t="shared" si="43"/>
        <v>0</v>
      </c>
      <c r="I206" s="117">
        <f t="shared" si="43"/>
        <v>1333.6</v>
      </c>
      <c r="J206" s="115"/>
      <c r="K206" s="109"/>
      <c r="L206" s="115"/>
      <c r="M206" s="111">
        <f>SUM(G206)</f>
        <v>1333.6</v>
      </c>
      <c r="N206" s="111">
        <f t="shared" si="44"/>
        <v>0</v>
      </c>
      <c r="O206" s="111">
        <f t="shared" si="44"/>
        <v>1333.6</v>
      </c>
      <c r="P206" s="97">
        <f t="shared" si="31"/>
        <v>1333.6</v>
      </c>
      <c r="Q206" s="97">
        <f t="shared" si="32"/>
        <v>0</v>
      </c>
    </row>
    <row r="207" spans="1:17" ht="34.5" customHeight="1" x14ac:dyDescent="0.2">
      <c r="A207" s="40"/>
      <c r="B207" s="113" t="s">
        <v>95</v>
      </c>
      <c r="C207" s="113">
        <v>992</v>
      </c>
      <c r="D207" s="133" t="s">
        <v>229</v>
      </c>
      <c r="E207" s="133">
        <v>1300122640</v>
      </c>
      <c r="F207" s="134">
        <v>200</v>
      </c>
      <c r="G207" s="111">
        <v>1333.6</v>
      </c>
      <c r="H207" s="117"/>
      <c r="I207" s="117">
        <f>SUM(G207)+H207</f>
        <v>1333.6</v>
      </c>
      <c r="J207" s="115"/>
      <c r="K207" s="109"/>
      <c r="L207" s="115"/>
      <c r="M207" s="111">
        <f>SUM(G207)</f>
        <v>1333.6</v>
      </c>
      <c r="N207" s="111">
        <f t="shared" si="44"/>
        <v>0</v>
      </c>
      <c r="O207" s="111">
        <f t="shared" si="44"/>
        <v>1333.6</v>
      </c>
      <c r="P207" s="97">
        <f t="shared" si="31"/>
        <v>1333.6</v>
      </c>
      <c r="Q207" s="97">
        <f t="shared" si="32"/>
        <v>0</v>
      </c>
    </row>
    <row r="208" spans="1:17" ht="23.25" customHeight="1" x14ac:dyDescent="0.2">
      <c r="A208" s="33" t="s">
        <v>252</v>
      </c>
      <c r="B208" s="110" t="s">
        <v>253</v>
      </c>
      <c r="C208" s="110" t="s">
        <v>51</v>
      </c>
      <c r="D208" s="131" t="s">
        <v>254</v>
      </c>
      <c r="E208" s="131" t="s">
        <v>11</v>
      </c>
      <c r="F208" s="132" t="s">
        <v>11</v>
      </c>
      <c r="G208" s="109">
        <f t="shared" ref="G208:O212" si="45">G209</f>
        <v>2261.9</v>
      </c>
      <c r="H208" s="111">
        <f t="shared" si="45"/>
        <v>0</v>
      </c>
      <c r="I208" s="109">
        <f t="shared" si="45"/>
        <v>2261.9</v>
      </c>
      <c r="J208" s="112">
        <f t="shared" si="45"/>
        <v>0</v>
      </c>
      <c r="K208" s="111">
        <f>K209</f>
        <v>0</v>
      </c>
      <c r="L208" s="112">
        <f t="shared" si="45"/>
        <v>0</v>
      </c>
      <c r="M208" s="109">
        <f t="shared" si="45"/>
        <v>2261.9</v>
      </c>
      <c r="N208" s="109">
        <f t="shared" si="45"/>
        <v>0</v>
      </c>
      <c r="O208" s="109">
        <f t="shared" si="45"/>
        <v>2261.9</v>
      </c>
      <c r="P208" s="97">
        <f t="shared" si="31"/>
        <v>2261.9</v>
      </c>
      <c r="Q208" s="97">
        <f t="shared" si="32"/>
        <v>0</v>
      </c>
    </row>
    <row r="209" spans="1:17" ht="31.5" x14ac:dyDescent="0.2">
      <c r="A209" s="40"/>
      <c r="B209" s="113" t="s">
        <v>97</v>
      </c>
      <c r="C209" s="113" t="s">
        <v>51</v>
      </c>
      <c r="D209" s="133" t="s">
        <v>254</v>
      </c>
      <c r="E209" s="133" t="s">
        <v>98</v>
      </c>
      <c r="F209" s="134" t="s">
        <v>11</v>
      </c>
      <c r="G209" s="111">
        <f t="shared" si="45"/>
        <v>2261.9</v>
      </c>
      <c r="H209" s="111">
        <f t="shared" si="45"/>
        <v>0</v>
      </c>
      <c r="I209" s="111">
        <f t="shared" si="45"/>
        <v>2261.9</v>
      </c>
      <c r="J209" s="114">
        <f t="shared" si="45"/>
        <v>0</v>
      </c>
      <c r="K209" s="111">
        <f>K210</f>
        <v>0</v>
      </c>
      <c r="L209" s="114">
        <f t="shared" si="45"/>
        <v>0</v>
      </c>
      <c r="M209" s="111">
        <f t="shared" si="45"/>
        <v>2261.9</v>
      </c>
      <c r="N209" s="111">
        <f t="shared" si="45"/>
        <v>0</v>
      </c>
      <c r="O209" s="111">
        <f t="shared" si="45"/>
        <v>2261.9</v>
      </c>
      <c r="P209" s="97">
        <f t="shared" si="31"/>
        <v>2261.9</v>
      </c>
      <c r="Q209" s="97">
        <f t="shared" si="32"/>
        <v>0</v>
      </c>
    </row>
    <row r="210" spans="1:17" ht="15.75" x14ac:dyDescent="0.2">
      <c r="A210" s="40"/>
      <c r="B210" s="113" t="s">
        <v>255</v>
      </c>
      <c r="C210" s="113" t="s">
        <v>51</v>
      </c>
      <c r="D210" s="133" t="s">
        <v>254</v>
      </c>
      <c r="E210" s="133" t="s">
        <v>256</v>
      </c>
      <c r="F210" s="134" t="s">
        <v>11</v>
      </c>
      <c r="G210" s="111">
        <f t="shared" si="45"/>
        <v>2261.9</v>
      </c>
      <c r="H210" s="111">
        <f t="shared" si="45"/>
        <v>0</v>
      </c>
      <c r="I210" s="111">
        <f t="shared" si="45"/>
        <v>2261.9</v>
      </c>
      <c r="J210" s="114">
        <f t="shared" si="45"/>
        <v>0</v>
      </c>
      <c r="K210" s="111">
        <f>K211</f>
        <v>0</v>
      </c>
      <c r="L210" s="114">
        <f t="shared" si="45"/>
        <v>0</v>
      </c>
      <c r="M210" s="111">
        <f t="shared" si="45"/>
        <v>2261.9</v>
      </c>
      <c r="N210" s="111">
        <f t="shared" si="45"/>
        <v>0</v>
      </c>
      <c r="O210" s="111">
        <f t="shared" si="45"/>
        <v>2261.9</v>
      </c>
      <c r="P210" s="97">
        <f t="shared" si="31"/>
        <v>2261.9</v>
      </c>
      <c r="Q210" s="97">
        <f t="shared" si="32"/>
        <v>0</v>
      </c>
    </row>
    <row r="211" spans="1:17" ht="31.5" x14ac:dyDescent="0.2">
      <c r="A211" s="40"/>
      <c r="B211" s="113" t="s">
        <v>257</v>
      </c>
      <c r="C211" s="113" t="s">
        <v>51</v>
      </c>
      <c r="D211" s="133" t="s">
        <v>254</v>
      </c>
      <c r="E211" s="133" t="s">
        <v>258</v>
      </c>
      <c r="F211" s="134" t="s">
        <v>11</v>
      </c>
      <c r="G211" s="111">
        <f t="shared" si="45"/>
        <v>2261.9</v>
      </c>
      <c r="H211" s="111">
        <f t="shared" si="45"/>
        <v>0</v>
      </c>
      <c r="I211" s="111">
        <f t="shared" si="45"/>
        <v>2261.9</v>
      </c>
      <c r="J211" s="114">
        <f t="shared" si="45"/>
        <v>0</v>
      </c>
      <c r="K211" s="111">
        <f>K212</f>
        <v>0</v>
      </c>
      <c r="L211" s="114">
        <f t="shared" si="45"/>
        <v>0</v>
      </c>
      <c r="M211" s="111">
        <f t="shared" si="45"/>
        <v>2261.9</v>
      </c>
      <c r="N211" s="111">
        <f t="shared" si="45"/>
        <v>0</v>
      </c>
      <c r="O211" s="111">
        <f t="shared" si="45"/>
        <v>2261.9</v>
      </c>
      <c r="P211" s="97">
        <f t="shared" si="31"/>
        <v>2261.9</v>
      </c>
      <c r="Q211" s="97">
        <f t="shared" si="32"/>
        <v>0</v>
      </c>
    </row>
    <row r="212" spans="1:17" ht="32.450000000000003" customHeight="1" x14ac:dyDescent="0.2">
      <c r="A212" s="40"/>
      <c r="B212" s="113" t="s">
        <v>103</v>
      </c>
      <c r="C212" s="113" t="s">
        <v>51</v>
      </c>
      <c r="D212" s="133" t="s">
        <v>254</v>
      </c>
      <c r="E212" s="133" t="s">
        <v>259</v>
      </c>
      <c r="F212" s="134" t="s">
        <v>11</v>
      </c>
      <c r="G212" s="111">
        <f>G213</f>
        <v>2261.9</v>
      </c>
      <c r="H212" s="109">
        <f>SUM(H213)</f>
        <v>0</v>
      </c>
      <c r="I212" s="111">
        <f>I213</f>
        <v>2261.9</v>
      </c>
      <c r="J212" s="114">
        <f t="shared" si="45"/>
        <v>0</v>
      </c>
      <c r="K212" s="111"/>
      <c r="L212" s="114">
        <f t="shared" si="45"/>
        <v>0</v>
      </c>
      <c r="M212" s="111">
        <f t="shared" si="45"/>
        <v>2261.9</v>
      </c>
      <c r="N212" s="111">
        <f t="shared" si="45"/>
        <v>0</v>
      </c>
      <c r="O212" s="111">
        <f t="shared" si="45"/>
        <v>2261.9</v>
      </c>
      <c r="P212" s="97">
        <f t="shared" si="31"/>
        <v>2261.9</v>
      </c>
      <c r="Q212" s="97">
        <f t="shared" si="32"/>
        <v>0</v>
      </c>
    </row>
    <row r="213" spans="1:17" ht="31.5" x14ac:dyDescent="0.2">
      <c r="A213" s="40"/>
      <c r="B213" s="113" t="s">
        <v>40</v>
      </c>
      <c r="C213" s="113" t="s">
        <v>51</v>
      </c>
      <c r="D213" s="133" t="s">
        <v>254</v>
      </c>
      <c r="E213" s="133" t="s">
        <v>259</v>
      </c>
      <c r="F213" s="134" t="s">
        <v>41</v>
      </c>
      <c r="G213" s="111">
        <v>2261.9</v>
      </c>
      <c r="H213" s="109"/>
      <c r="I213" s="111">
        <f>SUM(G213)+H213</f>
        <v>2261.9</v>
      </c>
      <c r="J213" s="115">
        <v>0</v>
      </c>
      <c r="K213" s="109"/>
      <c r="L213" s="115">
        <v>0</v>
      </c>
      <c r="M213" s="111">
        <f>SUM(G213)</f>
        <v>2261.9</v>
      </c>
      <c r="N213" s="111">
        <f>SUM(H213)</f>
        <v>0</v>
      </c>
      <c r="O213" s="111">
        <f>SUM(I213)</f>
        <v>2261.9</v>
      </c>
      <c r="P213" s="97">
        <f t="shared" si="31"/>
        <v>2261.9</v>
      </c>
      <c r="Q213" s="97">
        <f t="shared" si="32"/>
        <v>0</v>
      </c>
    </row>
    <row r="214" spans="1:17" ht="24" customHeight="1" x14ac:dyDescent="0.2">
      <c r="A214" s="33" t="s">
        <v>260</v>
      </c>
      <c r="B214" s="110" t="s">
        <v>261</v>
      </c>
      <c r="C214" s="110" t="s">
        <v>51</v>
      </c>
      <c r="D214" s="131" t="s">
        <v>262</v>
      </c>
      <c r="E214" s="131" t="s">
        <v>11</v>
      </c>
      <c r="F214" s="132" t="s">
        <v>11</v>
      </c>
      <c r="G214" s="109">
        <f>G215+G244+G239</f>
        <v>30749.7</v>
      </c>
      <c r="H214" s="109">
        <f>H215+H257+H255+H240+H250</f>
        <v>18.5</v>
      </c>
      <c r="I214" s="109">
        <f>I215+I244+I239</f>
        <v>30768.2</v>
      </c>
      <c r="J214" s="112">
        <f>J215+J244</f>
        <v>13560.400000000001</v>
      </c>
      <c r="K214" s="111">
        <f>K215</f>
        <v>0</v>
      </c>
      <c r="L214" s="112">
        <f>L215+L244</f>
        <v>13560.400000000001</v>
      </c>
      <c r="M214" s="109">
        <f>M215+M239+M244</f>
        <v>44310.1</v>
      </c>
      <c r="N214" s="109">
        <f>N215+N257+N255+N240+N250</f>
        <v>18.5</v>
      </c>
      <c r="O214" s="109">
        <f>O215+O239+O244</f>
        <v>44328.6</v>
      </c>
      <c r="P214" s="97">
        <f t="shared" si="31"/>
        <v>30768.2</v>
      </c>
      <c r="Q214" s="97">
        <f t="shared" si="32"/>
        <v>0</v>
      </c>
    </row>
    <row r="215" spans="1:17" ht="47.25" x14ac:dyDescent="0.2">
      <c r="A215" s="40"/>
      <c r="B215" s="113" t="s">
        <v>230</v>
      </c>
      <c r="C215" s="113" t="s">
        <v>51</v>
      </c>
      <c r="D215" s="133" t="s">
        <v>262</v>
      </c>
      <c r="E215" s="133" t="s">
        <v>231</v>
      </c>
      <c r="F215" s="134" t="s">
        <v>11</v>
      </c>
      <c r="G215" s="111">
        <f>G216+G226</f>
        <v>19166.900000000001</v>
      </c>
      <c r="H215" s="111">
        <f>H216+H226</f>
        <v>18.5</v>
      </c>
      <c r="I215" s="111">
        <f>I216+I226</f>
        <v>19185.400000000001</v>
      </c>
      <c r="J215" s="114">
        <f>J216+J226</f>
        <v>13560.400000000001</v>
      </c>
      <c r="K215" s="111">
        <f>K216</f>
        <v>0</v>
      </c>
      <c r="L215" s="114">
        <f>L216+L226</f>
        <v>13560.400000000001</v>
      </c>
      <c r="M215" s="111">
        <f>M216+M226</f>
        <v>32727.300000000003</v>
      </c>
      <c r="N215" s="111">
        <f>N216+N226</f>
        <v>18.5</v>
      </c>
      <c r="O215" s="111">
        <f>O216+O226</f>
        <v>32745.800000000003</v>
      </c>
      <c r="P215" s="97">
        <f t="shared" si="31"/>
        <v>19185.400000000001</v>
      </c>
      <c r="Q215" s="97">
        <f t="shared" si="32"/>
        <v>0</v>
      </c>
    </row>
    <row r="216" spans="1:17" ht="36" customHeight="1" x14ac:dyDescent="0.2">
      <c r="A216" s="40"/>
      <c r="B216" s="113" t="s">
        <v>263</v>
      </c>
      <c r="C216" s="113" t="s">
        <v>51</v>
      </c>
      <c r="D216" s="133" t="s">
        <v>262</v>
      </c>
      <c r="E216" s="133" t="s">
        <v>264</v>
      </c>
      <c r="F216" s="134" t="s">
        <v>11</v>
      </c>
      <c r="G216" s="111">
        <f>G217</f>
        <v>1449.1000000000001</v>
      </c>
      <c r="H216" s="111">
        <f>H217</f>
        <v>0</v>
      </c>
      <c r="I216" s="111">
        <f>I217</f>
        <v>1449.1000000000001</v>
      </c>
      <c r="J216" s="114">
        <f>J217</f>
        <v>13560.400000000001</v>
      </c>
      <c r="K216" s="111">
        <f>K217</f>
        <v>0</v>
      </c>
      <c r="L216" s="114">
        <f>L217</f>
        <v>13560.400000000001</v>
      </c>
      <c r="M216" s="111">
        <f>M217</f>
        <v>15009.500000000002</v>
      </c>
      <c r="N216" s="111">
        <f>N217</f>
        <v>0</v>
      </c>
      <c r="O216" s="111">
        <f>O217</f>
        <v>15009.500000000002</v>
      </c>
      <c r="P216" s="97">
        <f t="shared" si="31"/>
        <v>1449.1000000000001</v>
      </c>
      <c r="Q216" s="97">
        <f t="shared" si="32"/>
        <v>0</v>
      </c>
    </row>
    <row r="217" spans="1:17" ht="47.25" x14ac:dyDescent="0.2">
      <c r="A217" s="40"/>
      <c r="B217" s="113" t="s">
        <v>265</v>
      </c>
      <c r="C217" s="113" t="s">
        <v>51</v>
      </c>
      <c r="D217" s="133" t="s">
        <v>262</v>
      </c>
      <c r="E217" s="133" t="s">
        <v>266</v>
      </c>
      <c r="F217" s="134" t="s">
        <v>11</v>
      </c>
      <c r="G217" s="111">
        <f>G224+G218+G220+G222</f>
        <v>1449.1000000000001</v>
      </c>
      <c r="H217" s="111">
        <f>H224+H218+H220+H222</f>
        <v>0</v>
      </c>
      <c r="I217" s="111">
        <f>I224+I218+I220+I222</f>
        <v>1449.1000000000001</v>
      </c>
      <c r="J217" s="114">
        <f>SUM(J224)+J220+J222</f>
        <v>13560.400000000001</v>
      </c>
      <c r="K217" s="111">
        <f>K224+K218+K220+K222</f>
        <v>0</v>
      </c>
      <c r="L217" s="114">
        <f>SUM(L224)+L220+L222</f>
        <v>13560.400000000001</v>
      </c>
      <c r="M217" s="111">
        <f>SUM(G216+J216)</f>
        <v>15009.500000000002</v>
      </c>
      <c r="N217" s="111">
        <f>SUM(H217+K217)</f>
        <v>0</v>
      </c>
      <c r="O217" s="111">
        <f>SUM(I216+L216)</f>
        <v>15009.500000000002</v>
      </c>
      <c r="P217" s="97">
        <f t="shared" si="31"/>
        <v>1449.1000000000001</v>
      </c>
      <c r="Q217" s="97">
        <f t="shared" si="32"/>
        <v>0</v>
      </c>
    </row>
    <row r="218" spans="1:17" ht="31.5" x14ac:dyDescent="0.2">
      <c r="A218" s="40"/>
      <c r="B218" s="140" t="s">
        <v>267</v>
      </c>
      <c r="C218" s="113">
        <v>992</v>
      </c>
      <c r="D218" s="133" t="s">
        <v>262</v>
      </c>
      <c r="E218" s="136" t="s">
        <v>268</v>
      </c>
      <c r="F218" s="134"/>
      <c r="G218" s="111">
        <v>735.3</v>
      </c>
      <c r="H218" s="111">
        <f>SUM(H219)</f>
        <v>0</v>
      </c>
      <c r="I218" s="111">
        <f>SUM(G218)</f>
        <v>735.3</v>
      </c>
      <c r="J218" s="114"/>
      <c r="K218" s="111"/>
      <c r="L218" s="114"/>
      <c r="M218" s="111">
        <f>SUM(G218)</f>
        <v>735.3</v>
      </c>
      <c r="N218" s="111">
        <f>SUM(N219)</f>
        <v>0</v>
      </c>
      <c r="O218" s="111">
        <f>SUM(M218)</f>
        <v>735.3</v>
      </c>
      <c r="P218" s="97">
        <f t="shared" si="31"/>
        <v>735.3</v>
      </c>
      <c r="Q218" s="97">
        <f t="shared" si="32"/>
        <v>0</v>
      </c>
    </row>
    <row r="219" spans="1:17" ht="31.5" x14ac:dyDescent="0.2">
      <c r="A219" s="40"/>
      <c r="B219" s="113" t="s">
        <v>40</v>
      </c>
      <c r="C219" s="113">
        <v>992</v>
      </c>
      <c r="D219" s="133" t="s">
        <v>262</v>
      </c>
      <c r="E219" s="136" t="s">
        <v>268</v>
      </c>
      <c r="F219" s="134">
        <v>200</v>
      </c>
      <c r="G219" s="111">
        <v>735.3</v>
      </c>
      <c r="H219" s="111"/>
      <c r="I219" s="111">
        <f>SUM(G219)</f>
        <v>735.3</v>
      </c>
      <c r="J219" s="114"/>
      <c r="K219" s="111"/>
      <c r="L219" s="114"/>
      <c r="M219" s="111">
        <f>SUM(G219)</f>
        <v>735.3</v>
      </c>
      <c r="N219" s="111">
        <f>SUM(H219)</f>
        <v>0</v>
      </c>
      <c r="O219" s="111">
        <f>SUM(M219)</f>
        <v>735.3</v>
      </c>
      <c r="P219" s="97">
        <f t="shared" si="31"/>
        <v>735.3</v>
      </c>
      <c r="Q219" s="97">
        <f t="shared" si="32"/>
        <v>0</v>
      </c>
    </row>
    <row r="220" spans="1:17" ht="30.75" customHeight="1" x14ac:dyDescent="0.2">
      <c r="A220" s="40"/>
      <c r="B220" s="113" t="s">
        <v>548</v>
      </c>
      <c r="C220" s="113">
        <v>992</v>
      </c>
      <c r="D220" s="133" t="s">
        <v>262</v>
      </c>
      <c r="E220" s="133" t="s">
        <v>547</v>
      </c>
      <c r="F220" s="134"/>
      <c r="G220" s="111">
        <v>0</v>
      </c>
      <c r="H220" s="111"/>
      <c r="I220" s="111">
        <f>SUM(G221)+H220</f>
        <v>0</v>
      </c>
      <c r="J220" s="114">
        <f>SUM(J221)</f>
        <v>0</v>
      </c>
      <c r="K220" s="111"/>
      <c r="L220" s="114">
        <f>SUM(J220)+K220</f>
        <v>0</v>
      </c>
      <c r="M220" s="111">
        <f t="shared" ref="M220:O221" si="46">SUM(G220+J220)</f>
        <v>0</v>
      </c>
      <c r="N220" s="111">
        <f t="shared" si="46"/>
        <v>0</v>
      </c>
      <c r="O220" s="111">
        <f t="shared" si="46"/>
        <v>0</v>
      </c>
      <c r="P220" s="97">
        <f t="shared" ref="P220:P284" si="47">G220+H220</f>
        <v>0</v>
      </c>
      <c r="Q220" s="97">
        <f t="shared" ref="Q220:Q284" si="48">I220-P220</f>
        <v>0</v>
      </c>
    </row>
    <row r="221" spans="1:17" ht="30.75" customHeight="1" x14ac:dyDescent="0.2">
      <c r="A221" s="40"/>
      <c r="B221" s="113" t="s">
        <v>40</v>
      </c>
      <c r="C221" s="113">
        <v>992</v>
      </c>
      <c r="D221" s="133" t="s">
        <v>262</v>
      </c>
      <c r="E221" s="133" t="s">
        <v>547</v>
      </c>
      <c r="F221" s="134">
        <v>200</v>
      </c>
      <c r="G221" s="111">
        <v>0</v>
      </c>
      <c r="H221" s="111"/>
      <c r="I221" s="111">
        <v>0</v>
      </c>
      <c r="J221" s="114">
        <v>0</v>
      </c>
      <c r="K221" s="111"/>
      <c r="L221" s="114">
        <f>SUM(J221)+K221</f>
        <v>0</v>
      </c>
      <c r="M221" s="111">
        <f t="shared" si="46"/>
        <v>0</v>
      </c>
      <c r="N221" s="111">
        <f t="shared" si="46"/>
        <v>0</v>
      </c>
      <c r="O221" s="111">
        <f t="shared" si="46"/>
        <v>0</v>
      </c>
      <c r="P221" s="97">
        <f t="shared" si="47"/>
        <v>0</v>
      </c>
      <c r="Q221" s="97">
        <f t="shared" si="48"/>
        <v>0</v>
      </c>
    </row>
    <row r="222" spans="1:17" ht="30.75" customHeight="1" x14ac:dyDescent="0.2">
      <c r="A222" s="40"/>
      <c r="B222" s="113" t="s">
        <v>548</v>
      </c>
      <c r="C222" s="113">
        <v>992</v>
      </c>
      <c r="D222" s="133" t="s">
        <v>262</v>
      </c>
      <c r="E222" s="133" t="s">
        <v>561</v>
      </c>
      <c r="F222" s="134"/>
      <c r="G222" s="111">
        <v>294.2</v>
      </c>
      <c r="H222" s="111"/>
      <c r="I222" s="111">
        <f>SUM(G222)</f>
        <v>294.2</v>
      </c>
      <c r="J222" s="114">
        <v>5589.3</v>
      </c>
      <c r="K222" s="111"/>
      <c r="L222" s="114">
        <f>SUM(J222)</f>
        <v>5589.3</v>
      </c>
      <c r="M222" s="111">
        <f t="shared" ref="M222:O223" si="49">SUM(G222)+J222</f>
        <v>5883.5</v>
      </c>
      <c r="N222" s="111">
        <f t="shared" si="49"/>
        <v>0</v>
      </c>
      <c r="O222" s="111">
        <f t="shared" si="49"/>
        <v>5883.5</v>
      </c>
      <c r="P222" s="97">
        <f t="shared" si="47"/>
        <v>294.2</v>
      </c>
      <c r="Q222" s="97">
        <f t="shared" si="48"/>
        <v>0</v>
      </c>
    </row>
    <row r="223" spans="1:17" ht="30.75" customHeight="1" x14ac:dyDescent="0.2">
      <c r="A223" s="40"/>
      <c r="B223" s="113" t="s">
        <v>40</v>
      </c>
      <c r="C223" s="113">
        <v>992</v>
      </c>
      <c r="D223" s="133" t="s">
        <v>262</v>
      </c>
      <c r="E223" s="133" t="s">
        <v>561</v>
      </c>
      <c r="F223" s="134">
        <v>200</v>
      </c>
      <c r="G223" s="111">
        <v>294.2</v>
      </c>
      <c r="H223" s="111"/>
      <c r="I223" s="111">
        <f>SUM(G223)</f>
        <v>294.2</v>
      </c>
      <c r="J223" s="114">
        <v>5589.3</v>
      </c>
      <c r="K223" s="111"/>
      <c r="L223" s="114">
        <f>SUM(J223)</f>
        <v>5589.3</v>
      </c>
      <c r="M223" s="111">
        <f t="shared" si="49"/>
        <v>5883.5</v>
      </c>
      <c r="N223" s="111">
        <f t="shared" si="49"/>
        <v>0</v>
      </c>
      <c r="O223" s="111">
        <f t="shared" si="49"/>
        <v>5883.5</v>
      </c>
      <c r="P223" s="97">
        <f t="shared" si="47"/>
        <v>294.2</v>
      </c>
      <c r="Q223" s="97">
        <f t="shared" si="48"/>
        <v>0</v>
      </c>
    </row>
    <row r="224" spans="1:17" ht="47.25" x14ac:dyDescent="0.2">
      <c r="A224" s="40"/>
      <c r="B224" s="113" t="s">
        <v>269</v>
      </c>
      <c r="C224" s="113" t="s">
        <v>51</v>
      </c>
      <c r="D224" s="133" t="s">
        <v>262</v>
      </c>
      <c r="E224" s="133" t="s">
        <v>270</v>
      </c>
      <c r="F224" s="134" t="s">
        <v>11</v>
      </c>
      <c r="G224" s="111">
        <f>G225</f>
        <v>419.6</v>
      </c>
      <c r="H224" s="111">
        <f>SUM(H225)</f>
        <v>0</v>
      </c>
      <c r="I224" s="111">
        <f>I225</f>
        <v>419.6</v>
      </c>
      <c r="J224" s="114">
        <f>J225</f>
        <v>7971.1</v>
      </c>
      <c r="K224" s="111">
        <f>SUM(K225)</f>
        <v>0</v>
      </c>
      <c r="L224" s="114">
        <f>L225</f>
        <v>7971.1</v>
      </c>
      <c r="M224" s="111">
        <f>M225</f>
        <v>8390.7000000000007</v>
      </c>
      <c r="N224" s="111">
        <f>N225</f>
        <v>0</v>
      </c>
      <c r="O224" s="111">
        <f>O225</f>
        <v>8390.7000000000007</v>
      </c>
      <c r="P224" s="97">
        <f t="shared" si="47"/>
        <v>419.6</v>
      </c>
      <c r="Q224" s="97">
        <f t="shared" si="48"/>
        <v>0</v>
      </c>
    </row>
    <row r="225" spans="1:17" ht="31.5" x14ac:dyDescent="0.2">
      <c r="A225" s="40"/>
      <c r="B225" s="113" t="s">
        <v>40</v>
      </c>
      <c r="C225" s="113" t="s">
        <v>51</v>
      </c>
      <c r="D225" s="133" t="s">
        <v>262</v>
      </c>
      <c r="E225" s="133" t="s">
        <v>270</v>
      </c>
      <c r="F225" s="134" t="s">
        <v>41</v>
      </c>
      <c r="G225" s="111">
        <v>419.6</v>
      </c>
      <c r="H225" s="111"/>
      <c r="I225" s="111">
        <f>419.6+H225</f>
        <v>419.6</v>
      </c>
      <c r="J225" s="115">
        <v>7971.1</v>
      </c>
      <c r="K225" s="111"/>
      <c r="L225" s="115">
        <f>7971.1+K225</f>
        <v>7971.1</v>
      </c>
      <c r="M225" s="111">
        <f>419.6+J225</f>
        <v>8390.7000000000007</v>
      </c>
      <c r="N225" s="111">
        <f>SUM(H225+K225)</f>
        <v>0</v>
      </c>
      <c r="O225" s="111">
        <f>SUM(I225+L225)</f>
        <v>8390.7000000000007</v>
      </c>
      <c r="P225" s="97">
        <f t="shared" si="47"/>
        <v>419.6</v>
      </c>
      <c r="Q225" s="97">
        <f t="shared" si="48"/>
        <v>0</v>
      </c>
    </row>
    <row r="226" spans="1:17" ht="31.5" x14ac:dyDescent="0.2">
      <c r="A226" s="40"/>
      <c r="B226" s="113" t="s">
        <v>185</v>
      </c>
      <c r="C226" s="113" t="s">
        <v>51</v>
      </c>
      <c r="D226" s="133" t="s">
        <v>262</v>
      </c>
      <c r="E226" s="133" t="s">
        <v>271</v>
      </c>
      <c r="F226" s="134" t="s">
        <v>11</v>
      </c>
      <c r="G226" s="111">
        <f>G227+G235+G231</f>
        <v>17717.800000000003</v>
      </c>
      <c r="H226" s="111">
        <f>H227+H231+H235</f>
        <v>18.5</v>
      </c>
      <c r="I226" s="111">
        <f>I227+I235+I231</f>
        <v>17736.300000000003</v>
      </c>
      <c r="J226" s="114">
        <f>J227+J235</f>
        <v>0</v>
      </c>
      <c r="K226" s="111">
        <f>K227</f>
        <v>0</v>
      </c>
      <c r="L226" s="114">
        <f>L227+L235</f>
        <v>0</v>
      </c>
      <c r="M226" s="111">
        <f>M227+M235+M231</f>
        <v>17717.800000000003</v>
      </c>
      <c r="N226" s="111">
        <f>SUM(H226)</f>
        <v>18.5</v>
      </c>
      <c r="O226" s="111">
        <f>O227+O235+O231</f>
        <v>17736.300000000003</v>
      </c>
      <c r="P226" s="97">
        <f t="shared" si="47"/>
        <v>17736.300000000003</v>
      </c>
      <c r="Q226" s="97">
        <f t="shared" si="48"/>
        <v>0</v>
      </c>
    </row>
    <row r="227" spans="1:17" ht="51.6" customHeight="1" x14ac:dyDescent="0.2">
      <c r="A227" s="40"/>
      <c r="B227" s="113" t="s">
        <v>272</v>
      </c>
      <c r="C227" s="113" t="s">
        <v>51</v>
      </c>
      <c r="D227" s="133" t="s">
        <v>262</v>
      </c>
      <c r="E227" s="133" t="s">
        <v>273</v>
      </c>
      <c r="F227" s="134" t="s">
        <v>11</v>
      </c>
      <c r="G227" s="111">
        <f>G228</f>
        <v>9290.5</v>
      </c>
      <c r="H227" s="111">
        <f>H228+H229</f>
        <v>0</v>
      </c>
      <c r="I227" s="111">
        <f>I228</f>
        <v>9290.5</v>
      </c>
      <c r="J227" s="114">
        <f>J228</f>
        <v>0</v>
      </c>
      <c r="K227" s="111">
        <f>K228+K229</f>
        <v>0</v>
      </c>
      <c r="L227" s="114">
        <f>L228</f>
        <v>0</v>
      </c>
      <c r="M227" s="111">
        <f>M228</f>
        <v>9290.5</v>
      </c>
      <c r="N227" s="111">
        <f>N228</f>
        <v>0</v>
      </c>
      <c r="O227" s="111">
        <f>O228</f>
        <v>9290.5</v>
      </c>
      <c r="P227" s="97">
        <f t="shared" si="47"/>
        <v>9290.5</v>
      </c>
      <c r="Q227" s="97">
        <f t="shared" si="48"/>
        <v>0</v>
      </c>
    </row>
    <row r="228" spans="1:17" ht="31.5" x14ac:dyDescent="0.2">
      <c r="A228" s="40"/>
      <c r="B228" s="113" t="s">
        <v>134</v>
      </c>
      <c r="C228" s="113" t="s">
        <v>51</v>
      </c>
      <c r="D228" s="133" t="s">
        <v>262</v>
      </c>
      <c r="E228" s="133" t="s">
        <v>274</v>
      </c>
      <c r="F228" s="134" t="s">
        <v>11</v>
      </c>
      <c r="G228" s="111">
        <f>G229+G230</f>
        <v>9290.5</v>
      </c>
      <c r="H228" s="111">
        <f>SUM(H230)</f>
        <v>0</v>
      </c>
      <c r="I228" s="111">
        <f>I229+I230</f>
        <v>9290.5</v>
      </c>
      <c r="J228" s="114">
        <f>J229+J230</f>
        <v>0</v>
      </c>
      <c r="K228" s="111"/>
      <c r="L228" s="114">
        <f>L229+L230</f>
        <v>0</v>
      </c>
      <c r="M228" s="111">
        <f>M229+M230</f>
        <v>9290.5</v>
      </c>
      <c r="N228" s="111">
        <f>N229+N230</f>
        <v>0</v>
      </c>
      <c r="O228" s="111">
        <f>O229+O230</f>
        <v>9290.5</v>
      </c>
      <c r="P228" s="97">
        <f t="shared" si="47"/>
        <v>9290.5</v>
      </c>
      <c r="Q228" s="97">
        <f t="shared" si="48"/>
        <v>0</v>
      </c>
    </row>
    <row r="229" spans="1:17" ht="25.9" customHeight="1" x14ac:dyDescent="0.2">
      <c r="A229" s="40"/>
      <c r="B229" s="113" t="s">
        <v>61</v>
      </c>
      <c r="C229" s="113" t="s">
        <v>51</v>
      </c>
      <c r="D229" s="133" t="s">
        <v>262</v>
      </c>
      <c r="E229" s="133" t="s">
        <v>274</v>
      </c>
      <c r="F229" s="134" t="s">
        <v>62</v>
      </c>
      <c r="G229" s="111">
        <v>8871.2000000000007</v>
      </c>
      <c r="H229" s="111"/>
      <c r="I229" s="111">
        <f>SUM(G229)</f>
        <v>8871.2000000000007</v>
      </c>
      <c r="J229" s="115">
        <v>0</v>
      </c>
      <c r="K229" s="111"/>
      <c r="L229" s="115">
        <v>0</v>
      </c>
      <c r="M229" s="111">
        <f>SUM(G229)</f>
        <v>8871.2000000000007</v>
      </c>
      <c r="N229" s="111">
        <f>SUM(H229)</f>
        <v>0</v>
      </c>
      <c r="O229" s="111">
        <f>SUM(M229)</f>
        <v>8871.2000000000007</v>
      </c>
      <c r="P229" s="97">
        <f t="shared" si="47"/>
        <v>8871.2000000000007</v>
      </c>
      <c r="Q229" s="97">
        <f t="shared" si="48"/>
        <v>0</v>
      </c>
    </row>
    <row r="230" spans="1:17" ht="31.5" x14ac:dyDescent="0.2">
      <c r="A230" s="40"/>
      <c r="B230" s="113" t="s">
        <v>40</v>
      </c>
      <c r="C230" s="113" t="s">
        <v>51</v>
      </c>
      <c r="D230" s="133" t="s">
        <v>262</v>
      </c>
      <c r="E230" s="133" t="s">
        <v>274</v>
      </c>
      <c r="F230" s="134" t="s">
        <v>41</v>
      </c>
      <c r="G230" s="111">
        <v>419.3</v>
      </c>
      <c r="H230" s="111"/>
      <c r="I230" s="111">
        <f>SUM(G230)+H230</f>
        <v>419.3</v>
      </c>
      <c r="J230" s="115">
        <v>0</v>
      </c>
      <c r="K230" s="111"/>
      <c r="L230" s="115">
        <v>0</v>
      </c>
      <c r="M230" s="111">
        <f t="shared" ref="M230:N233" si="50">SUM(G230)</f>
        <v>419.3</v>
      </c>
      <c r="N230" s="111">
        <f t="shared" si="50"/>
        <v>0</v>
      </c>
      <c r="O230" s="111">
        <f>SUM(M230)+N230</f>
        <v>419.3</v>
      </c>
      <c r="P230" s="97">
        <f t="shared" si="47"/>
        <v>419.3</v>
      </c>
      <c r="Q230" s="97">
        <f t="shared" si="48"/>
        <v>0</v>
      </c>
    </row>
    <row r="231" spans="1:17" ht="15.75" x14ac:dyDescent="0.2">
      <c r="A231" s="40"/>
      <c r="B231" s="113" t="s">
        <v>275</v>
      </c>
      <c r="C231" s="113">
        <v>992</v>
      </c>
      <c r="D231" s="133" t="s">
        <v>262</v>
      </c>
      <c r="E231" s="136" t="s">
        <v>276</v>
      </c>
      <c r="F231" s="134"/>
      <c r="G231" s="111">
        <f>SUM(G233)</f>
        <v>896.4</v>
      </c>
      <c r="H231" s="111">
        <f>SUM(H232)</f>
        <v>18.5</v>
      </c>
      <c r="I231" s="111">
        <f>SUM(H231)+G231</f>
        <v>914.9</v>
      </c>
      <c r="J231" s="115"/>
      <c r="K231" s="111"/>
      <c r="L231" s="115"/>
      <c r="M231" s="111">
        <f t="shared" si="50"/>
        <v>896.4</v>
      </c>
      <c r="N231" s="111">
        <f t="shared" si="50"/>
        <v>18.5</v>
      </c>
      <c r="O231" s="111">
        <f>SUM(I231)</f>
        <v>914.9</v>
      </c>
      <c r="P231" s="97">
        <f t="shared" si="47"/>
        <v>914.9</v>
      </c>
      <c r="Q231" s="97">
        <f t="shared" si="48"/>
        <v>0</v>
      </c>
    </row>
    <row r="232" spans="1:17" ht="15.75" x14ac:dyDescent="0.2">
      <c r="A232" s="40"/>
      <c r="B232" s="113" t="s">
        <v>277</v>
      </c>
      <c r="C232" s="113">
        <v>992</v>
      </c>
      <c r="D232" s="133" t="s">
        <v>262</v>
      </c>
      <c r="E232" s="136" t="s">
        <v>276</v>
      </c>
      <c r="F232" s="134"/>
      <c r="G232" s="111">
        <f>SUM(F232)+G233</f>
        <v>896.4</v>
      </c>
      <c r="H232" s="111">
        <f>-96.5+H234</f>
        <v>18.5</v>
      </c>
      <c r="I232" s="111">
        <f>SUM(H232)+G232</f>
        <v>914.9</v>
      </c>
      <c r="J232" s="115"/>
      <c r="K232" s="111"/>
      <c r="L232" s="115"/>
      <c r="M232" s="111">
        <f t="shared" si="50"/>
        <v>896.4</v>
      </c>
      <c r="N232" s="111">
        <f t="shared" si="50"/>
        <v>18.5</v>
      </c>
      <c r="O232" s="111">
        <f>SUM(I232)</f>
        <v>914.9</v>
      </c>
      <c r="P232" s="97">
        <f t="shared" si="47"/>
        <v>914.9</v>
      </c>
      <c r="Q232" s="97">
        <f t="shared" si="48"/>
        <v>0</v>
      </c>
    </row>
    <row r="233" spans="1:17" ht="31.5" x14ac:dyDescent="0.2">
      <c r="A233" s="40"/>
      <c r="B233" s="113" t="s">
        <v>40</v>
      </c>
      <c r="C233" s="113">
        <v>992</v>
      </c>
      <c r="D233" s="133" t="s">
        <v>262</v>
      </c>
      <c r="E233" s="136" t="s">
        <v>278</v>
      </c>
      <c r="F233" s="134">
        <v>200</v>
      </c>
      <c r="G233" s="111">
        <v>896.4</v>
      </c>
      <c r="H233" s="111">
        <v>-96.5</v>
      </c>
      <c r="I233" s="111">
        <f>SUM(H233)+G233</f>
        <v>799.9</v>
      </c>
      <c r="J233" s="115"/>
      <c r="K233" s="111"/>
      <c r="L233" s="115"/>
      <c r="M233" s="111">
        <f t="shared" si="50"/>
        <v>896.4</v>
      </c>
      <c r="N233" s="111">
        <f t="shared" si="50"/>
        <v>-96.5</v>
      </c>
      <c r="O233" s="111">
        <f>SUM(I233)</f>
        <v>799.9</v>
      </c>
      <c r="P233" s="97">
        <f t="shared" si="47"/>
        <v>799.9</v>
      </c>
      <c r="Q233" s="97">
        <f t="shared" si="48"/>
        <v>0</v>
      </c>
    </row>
    <row r="234" spans="1:17" ht="15.75" x14ac:dyDescent="0.2">
      <c r="A234" s="40"/>
      <c r="B234" s="113" t="s">
        <v>70</v>
      </c>
      <c r="C234" s="113">
        <v>992</v>
      </c>
      <c r="D234" s="133" t="s">
        <v>262</v>
      </c>
      <c r="E234" s="136" t="s">
        <v>278</v>
      </c>
      <c r="F234" s="134">
        <v>800</v>
      </c>
      <c r="G234" s="111"/>
      <c r="H234" s="111">
        <v>115</v>
      </c>
      <c r="I234" s="111">
        <f>SUM(H234)</f>
        <v>115</v>
      </c>
      <c r="J234" s="115"/>
      <c r="K234" s="111"/>
      <c r="L234" s="115"/>
      <c r="M234" s="111"/>
      <c r="N234" s="111">
        <f>SUM(H234)</f>
        <v>115</v>
      </c>
      <c r="O234" s="111">
        <f>SUM(I234)</f>
        <v>115</v>
      </c>
      <c r="P234" s="97"/>
      <c r="Q234" s="97"/>
    </row>
    <row r="235" spans="1:17" ht="52.15" customHeight="1" x14ac:dyDescent="0.2">
      <c r="A235" s="40"/>
      <c r="B235" s="113" t="s">
        <v>279</v>
      </c>
      <c r="C235" s="113" t="s">
        <v>51</v>
      </c>
      <c r="D235" s="133" t="s">
        <v>262</v>
      </c>
      <c r="E235" s="133" t="s">
        <v>280</v>
      </c>
      <c r="F235" s="134" t="s">
        <v>11</v>
      </c>
      <c r="G235" s="111">
        <f t="shared" ref="G235:O236" si="51">G236</f>
        <v>7530.9</v>
      </c>
      <c r="H235" s="111">
        <f t="shared" si="51"/>
        <v>0</v>
      </c>
      <c r="I235" s="111">
        <f t="shared" si="51"/>
        <v>7530.9</v>
      </c>
      <c r="J235" s="114">
        <f t="shared" si="51"/>
        <v>0</v>
      </c>
      <c r="K235" s="111">
        <f t="shared" si="51"/>
        <v>0</v>
      </c>
      <c r="L235" s="114">
        <f t="shared" si="51"/>
        <v>0</v>
      </c>
      <c r="M235" s="111">
        <f t="shared" si="51"/>
        <v>7530.9</v>
      </c>
      <c r="N235" s="111">
        <f t="shared" si="51"/>
        <v>0</v>
      </c>
      <c r="O235" s="111">
        <f t="shared" si="51"/>
        <v>7530.9</v>
      </c>
      <c r="P235" s="97">
        <f t="shared" si="47"/>
        <v>7530.9</v>
      </c>
      <c r="Q235" s="97">
        <f t="shared" si="48"/>
        <v>0</v>
      </c>
    </row>
    <row r="236" spans="1:17" ht="31.5" x14ac:dyDescent="0.2">
      <c r="A236" s="40"/>
      <c r="B236" s="113" t="s">
        <v>134</v>
      </c>
      <c r="C236" s="113" t="s">
        <v>51</v>
      </c>
      <c r="D236" s="133" t="s">
        <v>262</v>
      </c>
      <c r="E236" s="133" t="s">
        <v>281</v>
      </c>
      <c r="F236" s="134" t="s">
        <v>11</v>
      </c>
      <c r="G236" s="111">
        <f t="shared" si="51"/>
        <v>7530.9</v>
      </c>
      <c r="H236" s="111">
        <f>SUM(H237)</f>
        <v>0</v>
      </c>
      <c r="I236" s="111">
        <f t="shared" si="51"/>
        <v>7530.9</v>
      </c>
      <c r="J236" s="114">
        <f t="shared" si="51"/>
        <v>0</v>
      </c>
      <c r="K236" s="111"/>
      <c r="L236" s="114">
        <f t="shared" si="51"/>
        <v>0</v>
      </c>
      <c r="M236" s="111">
        <f t="shared" si="51"/>
        <v>7530.9</v>
      </c>
      <c r="N236" s="111">
        <f t="shared" si="51"/>
        <v>0</v>
      </c>
      <c r="O236" s="111">
        <f t="shared" si="51"/>
        <v>7530.9</v>
      </c>
      <c r="P236" s="97">
        <f t="shared" si="47"/>
        <v>7530.9</v>
      </c>
      <c r="Q236" s="97">
        <f t="shared" si="48"/>
        <v>0</v>
      </c>
    </row>
    <row r="237" spans="1:17" ht="37.9" customHeight="1" x14ac:dyDescent="0.2">
      <c r="A237" s="40"/>
      <c r="B237" s="113" t="s">
        <v>95</v>
      </c>
      <c r="C237" s="113" t="s">
        <v>51</v>
      </c>
      <c r="D237" s="133" t="s">
        <v>262</v>
      </c>
      <c r="E237" s="133" t="s">
        <v>281</v>
      </c>
      <c r="F237" s="134" t="s">
        <v>96</v>
      </c>
      <c r="G237" s="111">
        <v>7530.9</v>
      </c>
      <c r="H237" s="111"/>
      <c r="I237" s="111">
        <f>SUM(G237)</f>
        <v>7530.9</v>
      </c>
      <c r="J237" s="115">
        <v>0</v>
      </c>
      <c r="K237" s="111"/>
      <c r="L237" s="115">
        <v>0</v>
      </c>
      <c r="M237" s="111">
        <f>SUM(G237)</f>
        <v>7530.9</v>
      </c>
      <c r="N237" s="111">
        <f>SUM(H237)</f>
        <v>0</v>
      </c>
      <c r="O237" s="111">
        <f>SUM(M237)</f>
        <v>7530.9</v>
      </c>
      <c r="P237" s="97">
        <f t="shared" si="47"/>
        <v>7530.9</v>
      </c>
      <c r="Q237" s="97">
        <f t="shared" si="48"/>
        <v>0</v>
      </c>
    </row>
    <row r="238" spans="1:17" ht="37.9" customHeight="1" x14ac:dyDescent="0.2">
      <c r="A238" s="40"/>
      <c r="B238" s="118" t="s">
        <v>245</v>
      </c>
      <c r="C238" s="118">
        <v>992</v>
      </c>
      <c r="D238" s="136" t="s">
        <v>262</v>
      </c>
      <c r="E238" s="136" t="s">
        <v>246</v>
      </c>
      <c r="F238" s="141"/>
      <c r="G238" s="111">
        <f t="shared" ref="G238:O238" si="52">G239</f>
        <v>6256.7</v>
      </c>
      <c r="H238" s="111">
        <f t="shared" si="52"/>
        <v>0</v>
      </c>
      <c r="I238" s="111">
        <f t="shared" si="52"/>
        <v>6256.7</v>
      </c>
      <c r="J238" s="115">
        <f t="shared" si="52"/>
        <v>0</v>
      </c>
      <c r="K238" s="111">
        <f t="shared" si="52"/>
        <v>0</v>
      </c>
      <c r="L238" s="115">
        <f t="shared" si="52"/>
        <v>0</v>
      </c>
      <c r="M238" s="111">
        <f t="shared" si="52"/>
        <v>6256.7</v>
      </c>
      <c r="N238" s="111">
        <f t="shared" si="52"/>
        <v>0</v>
      </c>
      <c r="O238" s="111">
        <f t="shared" si="52"/>
        <v>6256.7</v>
      </c>
      <c r="P238" s="97">
        <f t="shared" si="47"/>
        <v>6256.7</v>
      </c>
      <c r="Q238" s="97">
        <f t="shared" si="48"/>
        <v>0</v>
      </c>
    </row>
    <row r="239" spans="1:17" ht="37.9" customHeight="1" x14ac:dyDescent="0.2">
      <c r="A239" s="40"/>
      <c r="B239" s="96" t="s">
        <v>282</v>
      </c>
      <c r="C239" s="113">
        <v>992</v>
      </c>
      <c r="D239" s="133" t="s">
        <v>262</v>
      </c>
      <c r="E239" s="136" t="s">
        <v>248</v>
      </c>
      <c r="F239" s="134"/>
      <c r="G239" s="111">
        <f>SUM(G242)+G240</f>
        <v>6256.7</v>
      </c>
      <c r="H239" s="111">
        <f>SUM(H242)+H240</f>
        <v>0</v>
      </c>
      <c r="I239" s="111">
        <f>SUM(G239)+H239</f>
        <v>6256.7</v>
      </c>
      <c r="J239" s="115"/>
      <c r="K239" s="111"/>
      <c r="L239" s="115"/>
      <c r="M239" s="111">
        <f>SUM(G239)</f>
        <v>6256.7</v>
      </c>
      <c r="N239" s="111">
        <f t="shared" ref="N239:O243" si="53">SUM(H239)</f>
        <v>0</v>
      </c>
      <c r="O239" s="111">
        <f t="shared" si="53"/>
        <v>6256.7</v>
      </c>
      <c r="P239" s="97">
        <f t="shared" si="47"/>
        <v>6256.7</v>
      </c>
      <c r="Q239" s="97">
        <f t="shared" si="48"/>
        <v>0</v>
      </c>
    </row>
    <row r="240" spans="1:17" ht="43.5" customHeight="1" x14ac:dyDescent="0.2">
      <c r="A240" s="40"/>
      <c r="B240" s="135" t="s">
        <v>134</v>
      </c>
      <c r="C240" s="113">
        <v>992</v>
      </c>
      <c r="D240" s="133" t="s">
        <v>262</v>
      </c>
      <c r="E240" s="136" t="s">
        <v>251</v>
      </c>
      <c r="F240" s="134"/>
      <c r="G240" s="111">
        <f>SUM(G241)</f>
        <v>5097.7</v>
      </c>
      <c r="H240" s="111">
        <f>SUM(H241)</f>
        <v>0</v>
      </c>
      <c r="I240" s="111">
        <f>SUM(I241)</f>
        <v>5097.7</v>
      </c>
      <c r="J240" s="115"/>
      <c r="K240" s="111"/>
      <c r="L240" s="115"/>
      <c r="M240" s="111">
        <f>SUM(G240)</f>
        <v>5097.7</v>
      </c>
      <c r="N240" s="111">
        <f>SUM(H240)</f>
        <v>0</v>
      </c>
      <c r="O240" s="111">
        <f>SUM(I240)</f>
        <v>5097.7</v>
      </c>
      <c r="P240" s="97">
        <f t="shared" si="47"/>
        <v>5097.7</v>
      </c>
      <c r="Q240" s="97">
        <f t="shared" si="48"/>
        <v>0</v>
      </c>
    </row>
    <row r="241" spans="1:17" ht="46.5" customHeight="1" x14ac:dyDescent="0.2">
      <c r="A241" s="40"/>
      <c r="B241" s="113" t="s">
        <v>95</v>
      </c>
      <c r="C241" s="113">
        <v>992</v>
      </c>
      <c r="D241" s="133" t="s">
        <v>262</v>
      </c>
      <c r="E241" s="136" t="s">
        <v>251</v>
      </c>
      <c r="F241" s="134">
        <v>600</v>
      </c>
      <c r="G241" s="111">
        <v>5097.7</v>
      </c>
      <c r="H241" s="111"/>
      <c r="I241" s="111">
        <v>5097.7</v>
      </c>
      <c r="J241" s="115"/>
      <c r="K241" s="111"/>
      <c r="L241" s="115"/>
      <c r="M241" s="111">
        <f>SUM(G241)</f>
        <v>5097.7</v>
      </c>
      <c r="N241" s="111">
        <f>SUM(H241)</f>
        <v>0</v>
      </c>
      <c r="O241" s="111">
        <f>SUM(I241)</f>
        <v>5097.7</v>
      </c>
      <c r="P241" s="97">
        <f t="shared" si="47"/>
        <v>5097.7</v>
      </c>
      <c r="Q241" s="97">
        <f t="shared" si="48"/>
        <v>0</v>
      </c>
    </row>
    <row r="242" spans="1:17" ht="54" customHeight="1" x14ac:dyDescent="0.2">
      <c r="A242" s="40"/>
      <c r="B242" s="142" t="s">
        <v>283</v>
      </c>
      <c r="C242" s="113">
        <v>992</v>
      </c>
      <c r="D242" s="133" t="s">
        <v>262</v>
      </c>
      <c r="E242" s="136" t="s">
        <v>284</v>
      </c>
      <c r="F242" s="134"/>
      <c r="G242" s="111">
        <f>SUM(G243)</f>
        <v>1159</v>
      </c>
      <c r="H242" s="111">
        <f>SUM(H243)</f>
        <v>0</v>
      </c>
      <c r="I242" s="111">
        <f>SUM(G242)+H242</f>
        <v>1159</v>
      </c>
      <c r="J242" s="115"/>
      <c r="K242" s="111"/>
      <c r="L242" s="115"/>
      <c r="M242" s="111">
        <f>SUM(G243)</f>
        <v>1159</v>
      </c>
      <c r="N242" s="111">
        <f t="shared" si="53"/>
        <v>0</v>
      </c>
      <c r="O242" s="111">
        <f t="shared" si="53"/>
        <v>1159</v>
      </c>
      <c r="P242" s="97">
        <f t="shared" si="47"/>
        <v>1159</v>
      </c>
      <c r="Q242" s="97">
        <f t="shared" si="48"/>
        <v>0</v>
      </c>
    </row>
    <row r="243" spans="1:17" ht="37.9" customHeight="1" x14ac:dyDescent="0.2">
      <c r="A243" s="40"/>
      <c r="B243" s="113" t="s">
        <v>95</v>
      </c>
      <c r="C243" s="113">
        <v>992</v>
      </c>
      <c r="D243" s="133" t="s">
        <v>262</v>
      </c>
      <c r="E243" s="136" t="s">
        <v>284</v>
      </c>
      <c r="F243" s="134">
        <v>600</v>
      </c>
      <c r="G243" s="111">
        <v>1159</v>
      </c>
      <c r="H243" s="111"/>
      <c r="I243" s="111">
        <f>SUM(G243)+H243</f>
        <v>1159</v>
      </c>
      <c r="J243" s="115"/>
      <c r="K243" s="111"/>
      <c r="L243" s="115"/>
      <c r="M243" s="111">
        <f>SUM(G243)</f>
        <v>1159</v>
      </c>
      <c r="N243" s="111">
        <f t="shared" si="53"/>
        <v>0</v>
      </c>
      <c r="O243" s="111">
        <f t="shared" si="53"/>
        <v>1159</v>
      </c>
      <c r="P243" s="97">
        <f t="shared" si="47"/>
        <v>1159</v>
      </c>
      <c r="Q243" s="97">
        <f t="shared" si="48"/>
        <v>0</v>
      </c>
    </row>
    <row r="244" spans="1:17" ht="31.5" x14ac:dyDescent="0.2">
      <c r="A244" s="40"/>
      <c r="B244" s="113" t="s">
        <v>218</v>
      </c>
      <c r="C244" s="113" t="s">
        <v>51</v>
      </c>
      <c r="D244" s="133" t="s">
        <v>262</v>
      </c>
      <c r="E244" s="133" t="s">
        <v>219</v>
      </c>
      <c r="F244" s="134" t="s">
        <v>11</v>
      </c>
      <c r="G244" s="111">
        <f>G245+G250+G257</f>
        <v>5326.1</v>
      </c>
      <c r="H244" s="111">
        <f>H245+H250</f>
        <v>0</v>
      </c>
      <c r="I244" s="111">
        <f>I245+I250+I257</f>
        <v>5326.1</v>
      </c>
      <c r="J244" s="114">
        <f>J245+J250+J257</f>
        <v>0</v>
      </c>
      <c r="K244" s="111">
        <f>K245</f>
        <v>0</v>
      </c>
      <c r="L244" s="114">
        <f>L245+L250+L257</f>
        <v>0</v>
      </c>
      <c r="M244" s="111">
        <f>M245+M250+M257</f>
        <v>5326.1</v>
      </c>
      <c r="N244" s="111">
        <f>N245+N250+N257</f>
        <v>0</v>
      </c>
      <c r="O244" s="111">
        <f>O245+O250+O257</f>
        <v>5326.1</v>
      </c>
      <c r="P244" s="97">
        <f t="shared" si="47"/>
        <v>5326.1</v>
      </c>
      <c r="Q244" s="97">
        <f t="shared" si="48"/>
        <v>0</v>
      </c>
    </row>
    <row r="245" spans="1:17" ht="31.5" x14ac:dyDescent="0.2">
      <c r="A245" s="40"/>
      <c r="B245" s="113" t="s">
        <v>285</v>
      </c>
      <c r="C245" s="113" t="s">
        <v>51</v>
      </c>
      <c r="D245" s="133" t="s">
        <v>262</v>
      </c>
      <c r="E245" s="133" t="s">
        <v>286</v>
      </c>
      <c r="F245" s="134" t="s">
        <v>11</v>
      </c>
      <c r="G245" s="111">
        <f>G246</f>
        <v>330</v>
      </c>
      <c r="H245" s="111">
        <f>H246</f>
        <v>0</v>
      </c>
      <c r="I245" s="111">
        <f>I246</f>
        <v>330</v>
      </c>
      <c r="J245" s="114">
        <f t="shared" ref="J245:O246" si="54">J246</f>
        <v>0</v>
      </c>
      <c r="K245" s="111">
        <f>K246</f>
        <v>0</v>
      </c>
      <c r="L245" s="114">
        <f t="shared" si="54"/>
        <v>0</v>
      </c>
      <c r="M245" s="111">
        <f t="shared" si="54"/>
        <v>330</v>
      </c>
      <c r="N245" s="111">
        <f t="shared" si="54"/>
        <v>0</v>
      </c>
      <c r="O245" s="111">
        <f t="shared" si="54"/>
        <v>330</v>
      </c>
      <c r="P245" s="97">
        <f t="shared" si="47"/>
        <v>330</v>
      </c>
      <c r="Q245" s="97">
        <f t="shared" si="48"/>
        <v>0</v>
      </c>
    </row>
    <row r="246" spans="1:17" ht="31.5" x14ac:dyDescent="0.2">
      <c r="A246" s="40"/>
      <c r="B246" s="113" t="s">
        <v>287</v>
      </c>
      <c r="C246" s="113" t="s">
        <v>51</v>
      </c>
      <c r="D246" s="133" t="s">
        <v>262</v>
      </c>
      <c r="E246" s="133" t="s">
        <v>288</v>
      </c>
      <c r="F246" s="134" t="s">
        <v>11</v>
      </c>
      <c r="G246" s="111">
        <f>G247</f>
        <v>330</v>
      </c>
      <c r="H246" s="111">
        <f>H248+H247</f>
        <v>0</v>
      </c>
      <c r="I246" s="111">
        <f>I247</f>
        <v>330</v>
      </c>
      <c r="J246" s="114">
        <f t="shared" si="54"/>
        <v>0</v>
      </c>
      <c r="K246" s="111">
        <f>K248+K247</f>
        <v>0</v>
      </c>
      <c r="L246" s="114">
        <f t="shared" si="54"/>
        <v>0</v>
      </c>
      <c r="M246" s="111">
        <f t="shared" si="54"/>
        <v>330</v>
      </c>
      <c r="N246" s="111">
        <f t="shared" si="54"/>
        <v>0</v>
      </c>
      <c r="O246" s="111">
        <f t="shared" si="54"/>
        <v>330</v>
      </c>
      <c r="P246" s="97">
        <f t="shared" si="47"/>
        <v>330</v>
      </c>
      <c r="Q246" s="97">
        <f t="shared" si="48"/>
        <v>0</v>
      </c>
    </row>
    <row r="247" spans="1:17" ht="31.5" x14ac:dyDescent="0.2">
      <c r="A247" s="40"/>
      <c r="B247" s="113" t="s">
        <v>285</v>
      </c>
      <c r="C247" s="113" t="s">
        <v>51</v>
      </c>
      <c r="D247" s="133" t="s">
        <v>262</v>
      </c>
      <c r="E247" s="133" t="s">
        <v>289</v>
      </c>
      <c r="F247" s="134" t="s">
        <v>11</v>
      </c>
      <c r="G247" s="111">
        <f>G249+G248</f>
        <v>330</v>
      </c>
      <c r="H247" s="111"/>
      <c r="I247" s="111">
        <f>I249+I248</f>
        <v>330</v>
      </c>
      <c r="J247" s="114">
        <f>J249+J248</f>
        <v>0</v>
      </c>
      <c r="K247" s="111"/>
      <c r="L247" s="114">
        <f>L249+L248</f>
        <v>0</v>
      </c>
      <c r="M247" s="111">
        <f>M249+M248</f>
        <v>330</v>
      </c>
      <c r="N247" s="111">
        <f>N249+N248</f>
        <v>0</v>
      </c>
      <c r="O247" s="111">
        <f>O249+O248</f>
        <v>330</v>
      </c>
      <c r="P247" s="97">
        <f t="shared" si="47"/>
        <v>330</v>
      </c>
      <c r="Q247" s="97">
        <f t="shared" si="48"/>
        <v>0</v>
      </c>
    </row>
    <row r="248" spans="1:17" ht="31.5" x14ac:dyDescent="0.2">
      <c r="A248" s="40"/>
      <c r="B248" s="113" t="s">
        <v>40</v>
      </c>
      <c r="C248" s="113" t="s">
        <v>51</v>
      </c>
      <c r="D248" s="133" t="s">
        <v>262</v>
      </c>
      <c r="E248" s="133" t="s">
        <v>289</v>
      </c>
      <c r="F248" s="134">
        <v>200</v>
      </c>
      <c r="G248" s="111">
        <v>200</v>
      </c>
      <c r="H248" s="111"/>
      <c r="I248" s="111">
        <v>200</v>
      </c>
      <c r="J248" s="114">
        <v>0</v>
      </c>
      <c r="K248" s="111"/>
      <c r="L248" s="114">
        <v>0</v>
      </c>
      <c r="M248" s="111">
        <v>200</v>
      </c>
      <c r="N248" s="111"/>
      <c r="O248" s="111">
        <v>200</v>
      </c>
      <c r="P248" s="97">
        <f t="shared" si="47"/>
        <v>200</v>
      </c>
      <c r="Q248" s="97">
        <f t="shared" si="48"/>
        <v>0</v>
      </c>
    </row>
    <row r="249" spans="1:17" ht="15.75" x14ac:dyDescent="0.2">
      <c r="A249" s="40"/>
      <c r="B249" s="113" t="s">
        <v>70</v>
      </c>
      <c r="C249" s="113" t="s">
        <v>51</v>
      </c>
      <c r="D249" s="133" t="s">
        <v>262</v>
      </c>
      <c r="E249" s="133" t="s">
        <v>289</v>
      </c>
      <c r="F249" s="134" t="s">
        <v>71</v>
      </c>
      <c r="G249" s="111">
        <v>130</v>
      </c>
      <c r="H249" s="111"/>
      <c r="I249" s="111">
        <v>130</v>
      </c>
      <c r="J249" s="115">
        <v>0</v>
      </c>
      <c r="K249" s="111"/>
      <c r="L249" s="115">
        <v>0</v>
      </c>
      <c r="M249" s="111">
        <v>130</v>
      </c>
      <c r="N249" s="111"/>
      <c r="O249" s="111">
        <v>130</v>
      </c>
      <c r="P249" s="97">
        <f t="shared" si="47"/>
        <v>130</v>
      </c>
      <c r="Q249" s="97">
        <f t="shared" si="48"/>
        <v>0</v>
      </c>
    </row>
    <row r="250" spans="1:17" ht="31.5" x14ac:dyDescent="0.2">
      <c r="A250" s="40"/>
      <c r="B250" s="113" t="s">
        <v>290</v>
      </c>
      <c r="C250" s="113" t="s">
        <v>51</v>
      </c>
      <c r="D250" s="133" t="s">
        <v>262</v>
      </c>
      <c r="E250" s="133" t="s">
        <v>291</v>
      </c>
      <c r="F250" s="134" t="s">
        <v>11</v>
      </c>
      <c r="G250" s="111">
        <f t="shared" ref="G250:O251" si="55">G251</f>
        <v>4396.1000000000004</v>
      </c>
      <c r="H250" s="111">
        <f t="shared" si="55"/>
        <v>0</v>
      </c>
      <c r="I250" s="111">
        <f t="shared" si="55"/>
        <v>4396.1000000000004</v>
      </c>
      <c r="J250" s="114">
        <f t="shared" si="55"/>
        <v>0</v>
      </c>
      <c r="K250" s="111">
        <f t="shared" si="55"/>
        <v>0</v>
      </c>
      <c r="L250" s="114">
        <f t="shared" si="55"/>
        <v>0</v>
      </c>
      <c r="M250" s="111">
        <f t="shared" si="55"/>
        <v>4396.1000000000004</v>
      </c>
      <c r="N250" s="111">
        <f t="shared" si="55"/>
        <v>0</v>
      </c>
      <c r="O250" s="111">
        <f t="shared" si="55"/>
        <v>4396.1000000000004</v>
      </c>
      <c r="P250" s="97">
        <f t="shared" si="47"/>
        <v>4396.1000000000004</v>
      </c>
      <c r="Q250" s="97">
        <f t="shared" si="48"/>
        <v>0</v>
      </c>
    </row>
    <row r="251" spans="1:17" ht="47.25" x14ac:dyDescent="0.2">
      <c r="A251" s="40"/>
      <c r="B251" s="113" t="s">
        <v>292</v>
      </c>
      <c r="C251" s="113" t="s">
        <v>51</v>
      </c>
      <c r="D251" s="133" t="s">
        <v>262</v>
      </c>
      <c r="E251" s="133" t="s">
        <v>293</v>
      </c>
      <c r="F251" s="134" t="s">
        <v>11</v>
      </c>
      <c r="G251" s="111">
        <f t="shared" si="55"/>
        <v>4396.1000000000004</v>
      </c>
      <c r="H251" s="111">
        <f t="shared" si="55"/>
        <v>0</v>
      </c>
      <c r="I251" s="111">
        <f t="shared" si="55"/>
        <v>4396.1000000000004</v>
      </c>
      <c r="J251" s="114">
        <f t="shared" si="55"/>
        <v>0</v>
      </c>
      <c r="K251" s="111">
        <f>K252+K253</f>
        <v>0</v>
      </c>
      <c r="L251" s="114">
        <f t="shared" si="55"/>
        <v>0</v>
      </c>
      <c r="M251" s="111">
        <f t="shared" si="55"/>
        <v>4396.1000000000004</v>
      </c>
      <c r="N251" s="111">
        <f>SUM(H251)</f>
        <v>0</v>
      </c>
      <c r="O251" s="111">
        <f t="shared" si="55"/>
        <v>4396.1000000000004</v>
      </c>
      <c r="P251" s="97">
        <f t="shared" si="47"/>
        <v>4396.1000000000004</v>
      </c>
      <c r="Q251" s="97">
        <f t="shared" si="48"/>
        <v>0</v>
      </c>
    </row>
    <row r="252" spans="1:17" ht="31.5" x14ac:dyDescent="0.2">
      <c r="A252" s="40"/>
      <c r="B252" s="113" t="s">
        <v>134</v>
      </c>
      <c r="C252" s="113" t="s">
        <v>51</v>
      </c>
      <c r="D252" s="133" t="s">
        <v>262</v>
      </c>
      <c r="E252" s="133" t="s">
        <v>294</v>
      </c>
      <c r="F252" s="134" t="s">
        <v>11</v>
      </c>
      <c r="G252" s="111">
        <f>G253+G254</f>
        <v>4396.1000000000004</v>
      </c>
      <c r="H252" s="111"/>
      <c r="I252" s="111">
        <f>I253+I254</f>
        <v>4396.1000000000004</v>
      </c>
      <c r="J252" s="114">
        <f>J253+J254</f>
        <v>0</v>
      </c>
      <c r="K252" s="111"/>
      <c r="L252" s="114">
        <f>L253+L254</f>
        <v>0</v>
      </c>
      <c r="M252" s="111">
        <f>M253+M254</f>
        <v>4396.1000000000004</v>
      </c>
      <c r="N252" s="111">
        <f>N253+N254</f>
        <v>0</v>
      </c>
      <c r="O252" s="111">
        <f>O253+O254</f>
        <v>4396.1000000000004</v>
      </c>
      <c r="P252" s="97">
        <f t="shared" si="47"/>
        <v>4396.1000000000004</v>
      </c>
      <c r="Q252" s="97">
        <f t="shared" si="48"/>
        <v>0</v>
      </c>
    </row>
    <row r="253" spans="1:17" ht="31.9" customHeight="1" x14ac:dyDescent="0.2">
      <c r="A253" s="40"/>
      <c r="B253" s="113" t="s">
        <v>61</v>
      </c>
      <c r="C253" s="113" t="s">
        <v>51</v>
      </c>
      <c r="D253" s="133" t="s">
        <v>262</v>
      </c>
      <c r="E253" s="133" t="s">
        <v>294</v>
      </c>
      <c r="F253" s="134" t="s">
        <v>62</v>
      </c>
      <c r="G253" s="111">
        <v>4250.6000000000004</v>
      </c>
      <c r="H253" s="111"/>
      <c r="I253" s="111">
        <f>SUM(G253)</f>
        <v>4250.6000000000004</v>
      </c>
      <c r="J253" s="115">
        <v>0</v>
      </c>
      <c r="K253" s="111"/>
      <c r="L253" s="115">
        <v>0</v>
      </c>
      <c r="M253" s="111">
        <f>SUM(G253)</f>
        <v>4250.6000000000004</v>
      </c>
      <c r="N253" s="111">
        <f>SUM(H253)</f>
        <v>0</v>
      </c>
      <c r="O253" s="111">
        <f>SUM(I253)</f>
        <v>4250.6000000000004</v>
      </c>
      <c r="P253" s="97">
        <f t="shared" si="47"/>
        <v>4250.6000000000004</v>
      </c>
      <c r="Q253" s="97">
        <f t="shared" si="48"/>
        <v>0</v>
      </c>
    </row>
    <row r="254" spans="1:17" ht="31.5" x14ac:dyDescent="0.2">
      <c r="A254" s="40"/>
      <c r="B254" s="113" t="s">
        <v>40</v>
      </c>
      <c r="C254" s="113" t="s">
        <v>51</v>
      </c>
      <c r="D254" s="133" t="s">
        <v>262</v>
      </c>
      <c r="E254" s="133" t="s">
        <v>294</v>
      </c>
      <c r="F254" s="134" t="s">
        <v>41</v>
      </c>
      <c r="G254" s="111">
        <v>145.5</v>
      </c>
      <c r="H254" s="111"/>
      <c r="I254" s="111">
        <v>145.5</v>
      </c>
      <c r="J254" s="115">
        <v>0</v>
      </c>
      <c r="K254" s="111"/>
      <c r="L254" s="115">
        <v>0</v>
      </c>
      <c r="M254" s="111">
        <v>145.5</v>
      </c>
      <c r="N254" s="111"/>
      <c r="O254" s="111">
        <v>145.5</v>
      </c>
      <c r="P254" s="97">
        <f t="shared" si="47"/>
        <v>145.5</v>
      </c>
      <c r="Q254" s="97">
        <f t="shared" si="48"/>
        <v>0</v>
      </c>
    </row>
    <row r="255" spans="1:17" ht="63" hidden="1" x14ac:dyDescent="0.2">
      <c r="A255" s="40"/>
      <c r="B255" s="135" t="s">
        <v>560</v>
      </c>
      <c r="C255" s="113">
        <v>992</v>
      </c>
      <c r="D255" s="133" t="s">
        <v>262</v>
      </c>
      <c r="E255" s="133" t="s">
        <v>559</v>
      </c>
      <c r="F255" s="134"/>
      <c r="G255" s="111"/>
      <c r="H255" s="111"/>
      <c r="I255" s="111">
        <f>SUM(H255)</f>
        <v>0</v>
      </c>
      <c r="J255" s="115"/>
      <c r="K255" s="111"/>
      <c r="L255" s="115"/>
      <c r="M255" s="111"/>
      <c r="N255" s="111">
        <f>SUM(H255)</f>
        <v>0</v>
      </c>
      <c r="O255" s="111">
        <f>SUM(H255)</f>
        <v>0</v>
      </c>
      <c r="P255" s="97">
        <f t="shared" si="47"/>
        <v>0</v>
      </c>
      <c r="Q255" s="97">
        <f t="shared" si="48"/>
        <v>0</v>
      </c>
    </row>
    <row r="256" spans="1:17" ht="15.75" hidden="1" x14ac:dyDescent="0.2">
      <c r="A256" s="40"/>
      <c r="B256" s="113" t="s">
        <v>47</v>
      </c>
      <c r="C256" s="113">
        <v>992</v>
      </c>
      <c r="D256" s="133" t="s">
        <v>262</v>
      </c>
      <c r="E256" s="133" t="s">
        <v>559</v>
      </c>
      <c r="F256" s="134">
        <v>500</v>
      </c>
      <c r="G256" s="111"/>
      <c r="H256" s="111"/>
      <c r="I256" s="111">
        <f>SUM(H256)</f>
        <v>0</v>
      </c>
      <c r="J256" s="115"/>
      <c r="K256" s="111"/>
      <c r="L256" s="115"/>
      <c r="M256" s="111"/>
      <c r="N256" s="111">
        <f>SUM(H256)</f>
        <v>0</v>
      </c>
      <c r="O256" s="111">
        <f>SUM(H256)</f>
        <v>0</v>
      </c>
      <c r="P256" s="97">
        <f t="shared" si="47"/>
        <v>0</v>
      </c>
      <c r="Q256" s="97">
        <f t="shared" si="48"/>
        <v>0</v>
      </c>
    </row>
    <row r="257" spans="1:17" ht="63" x14ac:dyDescent="0.2">
      <c r="A257" s="40"/>
      <c r="B257" s="113" t="s">
        <v>295</v>
      </c>
      <c r="C257" s="113" t="s">
        <v>51</v>
      </c>
      <c r="D257" s="133" t="s">
        <v>262</v>
      </c>
      <c r="E257" s="133" t="s">
        <v>296</v>
      </c>
      <c r="F257" s="134" t="s">
        <v>11</v>
      </c>
      <c r="G257" s="111">
        <f t="shared" ref="G257:O259" si="56">G258</f>
        <v>600</v>
      </c>
      <c r="H257" s="111">
        <f t="shared" si="56"/>
        <v>0</v>
      </c>
      <c r="I257" s="111">
        <f t="shared" si="56"/>
        <v>600</v>
      </c>
      <c r="J257" s="114">
        <f t="shared" si="56"/>
        <v>0</v>
      </c>
      <c r="K257" s="111">
        <f>K258</f>
        <v>0</v>
      </c>
      <c r="L257" s="114">
        <f t="shared" si="56"/>
        <v>0</v>
      </c>
      <c r="M257" s="111">
        <f t="shared" si="56"/>
        <v>600</v>
      </c>
      <c r="N257" s="111">
        <f t="shared" si="56"/>
        <v>0</v>
      </c>
      <c r="O257" s="111">
        <f t="shared" si="56"/>
        <v>600</v>
      </c>
      <c r="P257" s="97">
        <f t="shared" si="47"/>
        <v>600</v>
      </c>
      <c r="Q257" s="97">
        <f t="shared" si="48"/>
        <v>0</v>
      </c>
    </row>
    <row r="258" spans="1:17" ht="47.25" x14ac:dyDescent="0.2">
      <c r="A258" s="40"/>
      <c r="B258" s="113" t="s">
        <v>297</v>
      </c>
      <c r="C258" s="113" t="s">
        <v>51</v>
      </c>
      <c r="D258" s="133" t="s">
        <v>262</v>
      </c>
      <c r="E258" s="133" t="s">
        <v>298</v>
      </c>
      <c r="F258" s="134" t="s">
        <v>11</v>
      </c>
      <c r="G258" s="111">
        <f t="shared" si="56"/>
        <v>600</v>
      </c>
      <c r="H258" s="111">
        <f>H259</f>
        <v>0</v>
      </c>
      <c r="I258" s="111">
        <f t="shared" si="56"/>
        <v>600</v>
      </c>
      <c r="J258" s="114">
        <f t="shared" si="56"/>
        <v>0</v>
      </c>
      <c r="K258" s="111">
        <f>K259</f>
        <v>0</v>
      </c>
      <c r="L258" s="114">
        <f t="shared" si="56"/>
        <v>0</v>
      </c>
      <c r="M258" s="111">
        <f t="shared" si="56"/>
        <v>600</v>
      </c>
      <c r="N258" s="111">
        <f t="shared" si="56"/>
        <v>0</v>
      </c>
      <c r="O258" s="111">
        <f t="shared" si="56"/>
        <v>600</v>
      </c>
      <c r="P258" s="97">
        <f t="shared" si="47"/>
        <v>600</v>
      </c>
      <c r="Q258" s="97">
        <f t="shared" si="48"/>
        <v>0</v>
      </c>
    </row>
    <row r="259" spans="1:17" ht="31.5" x14ac:dyDescent="0.2">
      <c r="A259" s="40"/>
      <c r="B259" s="113" t="s">
        <v>299</v>
      </c>
      <c r="C259" s="113" t="s">
        <v>51</v>
      </c>
      <c r="D259" s="133" t="s">
        <v>262</v>
      </c>
      <c r="E259" s="133" t="s">
        <v>300</v>
      </c>
      <c r="F259" s="134" t="s">
        <v>11</v>
      </c>
      <c r="G259" s="111">
        <f>G260</f>
        <v>600</v>
      </c>
      <c r="H259" s="111">
        <f>H260</f>
        <v>0</v>
      </c>
      <c r="I259" s="111">
        <f>I260</f>
        <v>600</v>
      </c>
      <c r="J259" s="114">
        <f t="shared" si="56"/>
        <v>0</v>
      </c>
      <c r="K259" s="111"/>
      <c r="L259" s="114">
        <f t="shared" si="56"/>
        <v>0</v>
      </c>
      <c r="M259" s="111">
        <f t="shared" si="56"/>
        <v>600</v>
      </c>
      <c r="N259" s="111">
        <f t="shared" si="56"/>
        <v>0</v>
      </c>
      <c r="O259" s="111">
        <f t="shared" si="56"/>
        <v>600</v>
      </c>
      <c r="P259" s="97">
        <f t="shared" si="47"/>
        <v>600</v>
      </c>
      <c r="Q259" s="97">
        <f t="shared" si="48"/>
        <v>0</v>
      </c>
    </row>
    <row r="260" spans="1:17" ht="31.5" x14ac:dyDescent="0.2">
      <c r="A260" s="40"/>
      <c r="B260" s="113" t="s">
        <v>40</v>
      </c>
      <c r="C260" s="113" t="s">
        <v>51</v>
      </c>
      <c r="D260" s="133" t="s">
        <v>262</v>
      </c>
      <c r="E260" s="133" t="s">
        <v>300</v>
      </c>
      <c r="F260" s="134" t="s">
        <v>41</v>
      </c>
      <c r="G260" s="111">
        <v>600</v>
      </c>
      <c r="H260" s="111"/>
      <c r="I260" s="111">
        <f>G260+H260</f>
        <v>600</v>
      </c>
      <c r="J260" s="115"/>
      <c r="K260" s="106"/>
      <c r="L260" s="115"/>
      <c r="M260" s="111">
        <f>SUM(G260)</f>
        <v>600</v>
      </c>
      <c r="N260" s="111">
        <f>SUM(H260)</f>
        <v>0</v>
      </c>
      <c r="O260" s="111">
        <f>SUM(I260)</f>
        <v>600</v>
      </c>
      <c r="P260" s="97">
        <f t="shared" si="47"/>
        <v>600</v>
      </c>
      <c r="Q260" s="97">
        <f t="shared" si="48"/>
        <v>0</v>
      </c>
    </row>
    <row r="261" spans="1:17" ht="15.75" x14ac:dyDescent="0.2">
      <c r="A261" s="20" t="s">
        <v>301</v>
      </c>
      <c r="B261" s="107" t="s">
        <v>302</v>
      </c>
      <c r="C261" s="107" t="s">
        <v>51</v>
      </c>
      <c r="D261" s="129" t="s">
        <v>303</v>
      </c>
      <c r="E261" s="129" t="s">
        <v>11</v>
      </c>
      <c r="F261" s="134" t="s">
        <v>11</v>
      </c>
      <c r="G261" s="106">
        <f>G262+G288+G331+G392</f>
        <v>259665.40000000002</v>
      </c>
      <c r="H261" s="106">
        <f>H262+H288+H331+H392</f>
        <v>-131.09999999999911</v>
      </c>
      <c r="I261" s="106">
        <f>I262+I288+I331+I392</f>
        <v>259534.30000000002</v>
      </c>
      <c r="J261" s="108">
        <f>J262+J288+J331+J392</f>
        <v>1697766.4999999998</v>
      </c>
      <c r="K261" s="109">
        <f>K262+K288+K331</f>
        <v>72000</v>
      </c>
      <c r="L261" s="108">
        <f>L262+L288+L331+L392</f>
        <v>1769766.4999999998</v>
      </c>
      <c r="M261" s="106">
        <f>M262+M288+M331+M392</f>
        <v>1957431.9000000001</v>
      </c>
      <c r="N261" s="106">
        <f>N262+N288+N331+N392</f>
        <v>71868.900000000009</v>
      </c>
      <c r="O261" s="106">
        <f>O262+O288+O331+O392</f>
        <v>2029300.8</v>
      </c>
      <c r="P261" s="97">
        <f t="shared" si="47"/>
        <v>259534.30000000002</v>
      </c>
      <c r="Q261" s="97">
        <f t="shared" si="48"/>
        <v>0</v>
      </c>
    </row>
    <row r="262" spans="1:17" ht="15.75" x14ac:dyDescent="0.2">
      <c r="A262" s="33" t="s">
        <v>304</v>
      </c>
      <c r="B262" s="110" t="s">
        <v>305</v>
      </c>
      <c r="C262" s="110" t="s">
        <v>51</v>
      </c>
      <c r="D262" s="131" t="s">
        <v>306</v>
      </c>
      <c r="E262" s="137" t="s">
        <v>231</v>
      </c>
      <c r="F262" s="134" t="s">
        <v>11</v>
      </c>
      <c r="G262" s="109">
        <f>G277+G268</f>
        <v>8166.1</v>
      </c>
      <c r="H262" s="109">
        <f>H277+H273+H263</f>
        <v>-633.4</v>
      </c>
      <c r="I262" s="109">
        <f>I277+I268</f>
        <v>7532.7</v>
      </c>
      <c r="J262" s="112">
        <f>J277</f>
        <v>0</v>
      </c>
      <c r="K262" s="111">
        <f>K277</f>
        <v>0</v>
      </c>
      <c r="L262" s="112">
        <f>L277</f>
        <v>0</v>
      </c>
      <c r="M262" s="109">
        <f>M277+M268</f>
        <v>8166.1</v>
      </c>
      <c r="N262" s="111">
        <f>SUM(H262)</f>
        <v>-633.4</v>
      </c>
      <c r="O262" s="109">
        <f>O277+O268</f>
        <v>7532.7</v>
      </c>
      <c r="P262" s="97">
        <f t="shared" si="47"/>
        <v>7532.7000000000007</v>
      </c>
      <c r="Q262" s="97">
        <f t="shared" si="48"/>
        <v>0</v>
      </c>
    </row>
    <row r="263" spans="1:17" ht="30.75" customHeight="1" x14ac:dyDescent="0.2">
      <c r="A263" s="33"/>
      <c r="B263" s="113" t="s">
        <v>185</v>
      </c>
      <c r="C263" s="118">
        <v>992</v>
      </c>
      <c r="D263" s="136" t="s">
        <v>306</v>
      </c>
      <c r="E263" s="136" t="s">
        <v>271</v>
      </c>
      <c r="F263" s="134"/>
      <c r="G263" s="111">
        <f>G268</f>
        <v>451.3</v>
      </c>
      <c r="H263" s="111">
        <f>H268+H264</f>
        <v>-131.1</v>
      </c>
      <c r="I263" s="111">
        <f>SUM(G263:H263)</f>
        <v>320.20000000000005</v>
      </c>
      <c r="J263" s="112"/>
      <c r="K263" s="111"/>
      <c r="L263" s="112"/>
      <c r="M263" s="111">
        <f>M268</f>
        <v>451.3</v>
      </c>
      <c r="N263" s="111">
        <f>SUM(N265)</f>
        <v>0</v>
      </c>
      <c r="O263" s="111">
        <f>O268+N263</f>
        <v>320.20000000000005</v>
      </c>
      <c r="P263" s="97">
        <f t="shared" si="47"/>
        <v>320.20000000000005</v>
      </c>
      <c r="Q263" s="97">
        <f t="shared" si="48"/>
        <v>0</v>
      </c>
    </row>
    <row r="264" spans="1:17" ht="47.25" hidden="1" x14ac:dyDescent="0.2">
      <c r="A264" s="33"/>
      <c r="B264" s="113" t="s">
        <v>591</v>
      </c>
      <c r="C264" s="118" t="s">
        <v>51</v>
      </c>
      <c r="D264" s="136" t="s">
        <v>306</v>
      </c>
      <c r="E264" s="136" t="s">
        <v>276</v>
      </c>
      <c r="F264" s="134"/>
      <c r="G264" s="111"/>
      <c r="H264" s="111"/>
      <c r="I264" s="111">
        <f>SUM(H264)</f>
        <v>0</v>
      </c>
      <c r="J264" s="112"/>
      <c r="K264" s="111"/>
      <c r="L264" s="112"/>
      <c r="M264" s="111"/>
      <c r="N264" s="111">
        <f t="shared" ref="N264:O266" si="57">SUM(H264)</f>
        <v>0</v>
      </c>
      <c r="O264" s="111">
        <f t="shared" si="57"/>
        <v>0</v>
      </c>
      <c r="P264" s="97">
        <f t="shared" si="47"/>
        <v>0</v>
      </c>
      <c r="Q264" s="97">
        <f t="shared" si="48"/>
        <v>0</v>
      </c>
    </row>
    <row r="265" spans="1:17" ht="31.5" hidden="1" x14ac:dyDescent="0.2">
      <c r="A265" s="33"/>
      <c r="B265" s="113" t="s">
        <v>592</v>
      </c>
      <c r="C265" s="118" t="s">
        <v>51</v>
      </c>
      <c r="D265" s="136" t="s">
        <v>306</v>
      </c>
      <c r="E265" s="136" t="s">
        <v>590</v>
      </c>
      <c r="F265" s="134"/>
      <c r="G265" s="111"/>
      <c r="H265" s="111"/>
      <c r="I265" s="111">
        <f>SUM(H265)</f>
        <v>0</v>
      </c>
      <c r="J265" s="112"/>
      <c r="K265" s="111"/>
      <c r="L265" s="112"/>
      <c r="M265" s="111"/>
      <c r="N265" s="111">
        <f t="shared" si="57"/>
        <v>0</v>
      </c>
      <c r="O265" s="111">
        <f t="shared" si="57"/>
        <v>0</v>
      </c>
      <c r="P265" s="97">
        <f t="shared" si="47"/>
        <v>0</v>
      </c>
      <c r="Q265" s="97">
        <f t="shared" si="48"/>
        <v>0</v>
      </c>
    </row>
    <row r="266" spans="1:17" ht="31.5" hidden="1" x14ac:dyDescent="0.2">
      <c r="A266" s="33"/>
      <c r="B266" s="113" t="s">
        <v>225</v>
      </c>
      <c r="C266" s="118" t="s">
        <v>51</v>
      </c>
      <c r="D266" s="136" t="s">
        <v>306</v>
      </c>
      <c r="E266" s="136" t="s">
        <v>590</v>
      </c>
      <c r="F266" s="134">
        <v>400</v>
      </c>
      <c r="G266" s="111"/>
      <c r="H266" s="111"/>
      <c r="I266" s="111">
        <f>SUM(H266)</f>
        <v>0</v>
      </c>
      <c r="J266" s="112"/>
      <c r="K266" s="111"/>
      <c r="L266" s="112"/>
      <c r="M266" s="111"/>
      <c r="N266" s="111">
        <f t="shared" si="57"/>
        <v>0</v>
      </c>
      <c r="O266" s="111">
        <f t="shared" si="57"/>
        <v>0</v>
      </c>
      <c r="P266" s="97">
        <f t="shared" si="47"/>
        <v>0</v>
      </c>
      <c r="Q266" s="97">
        <f t="shared" si="48"/>
        <v>0</v>
      </c>
    </row>
    <row r="267" spans="1:17" ht="0.75" customHeight="1" x14ac:dyDescent="0.2">
      <c r="A267" s="33"/>
      <c r="B267" s="113"/>
      <c r="C267" s="118"/>
      <c r="D267" s="136"/>
      <c r="E267" s="136"/>
      <c r="F267" s="134"/>
      <c r="G267" s="111"/>
      <c r="H267" s="111"/>
      <c r="I267" s="111"/>
      <c r="J267" s="112"/>
      <c r="K267" s="111"/>
      <c r="L267" s="112"/>
      <c r="M267" s="111"/>
      <c r="N267" s="111"/>
      <c r="O267" s="111"/>
      <c r="P267" s="97">
        <f t="shared" si="47"/>
        <v>0</v>
      </c>
      <c r="Q267" s="97">
        <f t="shared" si="48"/>
        <v>0</v>
      </c>
    </row>
    <row r="268" spans="1:17" ht="31.5" x14ac:dyDescent="0.2">
      <c r="A268" s="33"/>
      <c r="B268" s="113" t="s">
        <v>307</v>
      </c>
      <c r="C268" s="113">
        <v>992</v>
      </c>
      <c r="D268" s="133" t="s">
        <v>306</v>
      </c>
      <c r="E268" s="136" t="s">
        <v>308</v>
      </c>
      <c r="F268" s="134"/>
      <c r="G268" s="111">
        <f>SUM(G269)</f>
        <v>451.3</v>
      </c>
      <c r="H268" s="111">
        <f>SUM(H269)</f>
        <v>-131.1</v>
      </c>
      <c r="I268" s="111">
        <f>SUM(G268:H268)</f>
        <v>320.20000000000005</v>
      </c>
      <c r="J268" s="112"/>
      <c r="K268" s="111"/>
      <c r="L268" s="112"/>
      <c r="M268" s="111">
        <f t="shared" ref="M268:O271" si="58">SUM(G268)</f>
        <v>451.3</v>
      </c>
      <c r="N268" s="111">
        <f t="shared" si="58"/>
        <v>-131.1</v>
      </c>
      <c r="O268" s="111">
        <f t="shared" si="58"/>
        <v>320.20000000000005</v>
      </c>
      <c r="P268" s="97">
        <f t="shared" si="47"/>
        <v>320.20000000000005</v>
      </c>
      <c r="Q268" s="97">
        <f t="shared" si="48"/>
        <v>0</v>
      </c>
    </row>
    <row r="269" spans="1:17" ht="31.5" x14ac:dyDescent="0.2">
      <c r="A269" s="33"/>
      <c r="B269" s="135" t="s">
        <v>309</v>
      </c>
      <c r="C269" s="113">
        <v>992</v>
      </c>
      <c r="D269" s="133" t="s">
        <v>306</v>
      </c>
      <c r="E269" s="136" t="s">
        <v>310</v>
      </c>
      <c r="F269" s="134"/>
      <c r="G269" s="111">
        <f>SUM(G271)+G270</f>
        <v>451.3</v>
      </c>
      <c r="H269" s="111">
        <f>SUM(H271)+H270</f>
        <v>-131.1</v>
      </c>
      <c r="I269" s="111">
        <f>SUM(G269:H269)</f>
        <v>320.20000000000005</v>
      </c>
      <c r="J269" s="112"/>
      <c r="K269" s="111"/>
      <c r="L269" s="112"/>
      <c r="M269" s="111">
        <f>SUM(G269)</f>
        <v>451.3</v>
      </c>
      <c r="N269" s="111">
        <f t="shared" si="58"/>
        <v>-131.1</v>
      </c>
      <c r="O269" s="111">
        <f>SUM(I269)</f>
        <v>320.20000000000005</v>
      </c>
      <c r="P269" s="97">
        <f t="shared" si="47"/>
        <v>320.20000000000005</v>
      </c>
      <c r="Q269" s="97">
        <f t="shared" si="48"/>
        <v>0</v>
      </c>
    </row>
    <row r="270" spans="1:17" ht="31.5" x14ac:dyDescent="0.2">
      <c r="A270" s="33"/>
      <c r="B270" s="113" t="s">
        <v>40</v>
      </c>
      <c r="C270" s="113">
        <v>992</v>
      </c>
      <c r="D270" s="133" t="s">
        <v>306</v>
      </c>
      <c r="E270" s="136" t="s">
        <v>310</v>
      </c>
      <c r="F270" s="134">
        <v>200</v>
      </c>
      <c r="G270" s="111">
        <v>451.3</v>
      </c>
      <c r="H270" s="111">
        <v>-131.1</v>
      </c>
      <c r="I270" s="111">
        <f>SUM(G270)+H270</f>
        <v>320.20000000000005</v>
      </c>
      <c r="J270" s="112"/>
      <c r="K270" s="111"/>
      <c r="L270" s="112"/>
      <c r="M270" s="111">
        <f>SUM(G270)</f>
        <v>451.3</v>
      </c>
      <c r="N270" s="111">
        <f>SUM(H270)</f>
        <v>-131.1</v>
      </c>
      <c r="O270" s="111">
        <f t="shared" si="58"/>
        <v>320.20000000000005</v>
      </c>
      <c r="P270" s="97">
        <f t="shared" si="47"/>
        <v>320.20000000000005</v>
      </c>
      <c r="Q270" s="97">
        <f t="shared" si="48"/>
        <v>0</v>
      </c>
    </row>
    <row r="271" spans="1:17" ht="28.5" customHeight="1" x14ac:dyDescent="0.2">
      <c r="A271" s="33"/>
      <c r="B271" s="113" t="s">
        <v>225</v>
      </c>
      <c r="C271" s="113">
        <v>992</v>
      </c>
      <c r="D271" s="133" t="s">
        <v>306</v>
      </c>
      <c r="E271" s="136" t="s">
        <v>310</v>
      </c>
      <c r="F271" s="134">
        <v>400</v>
      </c>
      <c r="G271" s="111">
        <v>0</v>
      </c>
      <c r="H271" s="111"/>
      <c r="I271" s="111">
        <f>SUM(G271)+H271</f>
        <v>0</v>
      </c>
      <c r="J271" s="112"/>
      <c r="K271" s="111"/>
      <c r="L271" s="112"/>
      <c r="M271" s="111">
        <f>SUM(G271)</f>
        <v>0</v>
      </c>
      <c r="N271" s="111">
        <f t="shared" si="58"/>
        <v>0</v>
      </c>
      <c r="O271" s="111">
        <f t="shared" si="58"/>
        <v>0</v>
      </c>
      <c r="P271" s="97">
        <f t="shared" si="47"/>
        <v>0</v>
      </c>
      <c r="Q271" s="97">
        <f t="shared" si="48"/>
        <v>0</v>
      </c>
    </row>
    <row r="272" spans="1:17" ht="15.75" hidden="1" x14ac:dyDescent="0.2">
      <c r="A272" s="33"/>
      <c r="B272" s="110"/>
      <c r="C272" s="110"/>
      <c r="D272" s="131"/>
      <c r="E272" s="131"/>
      <c r="F272" s="132"/>
      <c r="G272" s="111"/>
      <c r="H272" s="111"/>
      <c r="I272" s="111"/>
      <c r="J272" s="112"/>
      <c r="K272" s="111"/>
      <c r="L272" s="112"/>
      <c r="M272" s="109"/>
      <c r="N272" s="109"/>
      <c r="O272" s="109"/>
      <c r="P272" s="97">
        <f t="shared" si="47"/>
        <v>0</v>
      </c>
      <c r="Q272" s="97">
        <f t="shared" si="48"/>
        <v>0</v>
      </c>
    </row>
    <row r="273" spans="1:17" ht="15.75" hidden="1" x14ac:dyDescent="0.2">
      <c r="A273" s="33"/>
      <c r="B273" s="110"/>
      <c r="C273" s="152">
        <v>992</v>
      </c>
      <c r="D273" s="133" t="s">
        <v>306</v>
      </c>
      <c r="E273" s="131"/>
      <c r="F273" s="132"/>
      <c r="G273" s="111"/>
      <c r="H273" s="111"/>
      <c r="I273" s="111">
        <f>SUM(H273)</f>
        <v>0</v>
      </c>
      <c r="J273" s="112"/>
      <c r="K273" s="111"/>
      <c r="L273" s="112"/>
      <c r="M273" s="109"/>
      <c r="N273" s="109"/>
      <c r="O273" s="109">
        <f>SUM(I273)</f>
        <v>0</v>
      </c>
      <c r="P273" s="97">
        <f t="shared" si="47"/>
        <v>0</v>
      </c>
      <c r="Q273" s="97">
        <f t="shared" si="48"/>
        <v>0</v>
      </c>
    </row>
    <row r="274" spans="1:17" ht="15.75" hidden="1" x14ac:dyDescent="0.2">
      <c r="A274" s="33"/>
      <c r="B274" s="110"/>
      <c r="C274" s="110"/>
      <c r="D274" s="131"/>
      <c r="E274" s="131"/>
      <c r="F274" s="132"/>
      <c r="G274" s="111"/>
      <c r="H274" s="111"/>
      <c r="I274" s="111">
        <f>SUM(H274)</f>
        <v>0</v>
      </c>
      <c r="J274" s="112"/>
      <c r="K274" s="111"/>
      <c r="L274" s="112"/>
      <c r="M274" s="109"/>
      <c r="N274" s="109"/>
      <c r="O274" s="109">
        <f>SUM(I274)</f>
        <v>0</v>
      </c>
      <c r="P274" s="97">
        <f t="shared" si="47"/>
        <v>0</v>
      </c>
      <c r="Q274" s="97">
        <f t="shared" si="48"/>
        <v>0</v>
      </c>
    </row>
    <row r="275" spans="1:17" ht="15.75" hidden="1" x14ac:dyDescent="0.2">
      <c r="A275" s="33"/>
      <c r="B275" s="110"/>
      <c r="C275" s="110"/>
      <c r="D275" s="131"/>
      <c r="E275" s="131"/>
      <c r="F275" s="132"/>
      <c r="G275" s="111"/>
      <c r="H275" s="111"/>
      <c r="I275" s="111">
        <f>SUM(H275)</f>
        <v>0</v>
      </c>
      <c r="J275" s="112"/>
      <c r="K275" s="111"/>
      <c r="L275" s="112"/>
      <c r="M275" s="109"/>
      <c r="N275" s="109">
        <f>SUM(H275)</f>
        <v>0</v>
      </c>
      <c r="O275" s="109">
        <f>SUM(I275)</f>
        <v>0</v>
      </c>
      <c r="P275" s="97">
        <f t="shared" si="47"/>
        <v>0</v>
      </c>
      <c r="Q275" s="97">
        <f t="shared" si="48"/>
        <v>0</v>
      </c>
    </row>
    <row r="276" spans="1:17" ht="31.5" hidden="1" x14ac:dyDescent="0.2">
      <c r="A276" s="33"/>
      <c r="B276" s="113" t="s">
        <v>225</v>
      </c>
      <c r="C276" s="110"/>
      <c r="D276" s="131"/>
      <c r="E276" s="131"/>
      <c r="F276" s="132">
        <v>400</v>
      </c>
      <c r="G276" s="111"/>
      <c r="H276" s="111"/>
      <c r="I276" s="111">
        <f>SUM(H276)</f>
        <v>0</v>
      </c>
      <c r="J276" s="112"/>
      <c r="K276" s="111"/>
      <c r="L276" s="112"/>
      <c r="M276" s="109"/>
      <c r="N276" s="109">
        <f>SUM(H276)</f>
        <v>0</v>
      </c>
      <c r="O276" s="109">
        <f>SUM(I276)</f>
        <v>0</v>
      </c>
      <c r="P276" s="97">
        <f t="shared" si="47"/>
        <v>0</v>
      </c>
      <c r="Q276" s="97">
        <f t="shared" si="48"/>
        <v>0</v>
      </c>
    </row>
    <row r="277" spans="1:17" ht="31.5" x14ac:dyDescent="0.2">
      <c r="A277" s="40"/>
      <c r="B277" s="113" t="s">
        <v>245</v>
      </c>
      <c r="C277" s="113" t="s">
        <v>51</v>
      </c>
      <c r="D277" s="133" t="s">
        <v>306</v>
      </c>
      <c r="E277" s="133" t="s">
        <v>246</v>
      </c>
      <c r="F277" s="134" t="s">
        <v>11</v>
      </c>
      <c r="G277" s="111">
        <f>G282</f>
        <v>7714.8</v>
      </c>
      <c r="H277" s="111">
        <f>H282+H278</f>
        <v>-502.3</v>
      </c>
      <c r="I277" s="111">
        <f>I282+I278</f>
        <v>7212.5</v>
      </c>
      <c r="J277" s="114">
        <f>J282</f>
        <v>0</v>
      </c>
      <c r="K277" s="111">
        <f>K282</f>
        <v>0</v>
      </c>
      <c r="L277" s="114">
        <f>L282</f>
        <v>0</v>
      </c>
      <c r="M277" s="111">
        <f>M282</f>
        <v>7714.8</v>
      </c>
      <c r="N277" s="111">
        <f>N282+N278</f>
        <v>-502.3</v>
      </c>
      <c r="O277" s="111">
        <f>O282+O278</f>
        <v>7212.5</v>
      </c>
      <c r="P277" s="97">
        <f t="shared" si="47"/>
        <v>7212.5</v>
      </c>
      <c r="Q277" s="97">
        <f t="shared" si="48"/>
        <v>0</v>
      </c>
    </row>
    <row r="278" spans="1:17" ht="31.5" hidden="1" x14ac:dyDescent="0.2">
      <c r="A278" s="40"/>
      <c r="B278" s="113" t="s">
        <v>595</v>
      </c>
      <c r="C278" s="113">
        <v>992</v>
      </c>
      <c r="D278" s="133" t="s">
        <v>306</v>
      </c>
      <c r="E278" s="136" t="s">
        <v>439</v>
      </c>
      <c r="F278" s="134"/>
      <c r="G278" s="111"/>
      <c r="H278" s="111">
        <f>SUM(H279)</f>
        <v>0</v>
      </c>
      <c r="I278" s="111">
        <f>SUM(H278)</f>
        <v>0</v>
      </c>
      <c r="J278" s="114"/>
      <c r="K278" s="111"/>
      <c r="L278" s="114"/>
      <c r="M278" s="111"/>
      <c r="N278" s="111">
        <f t="shared" ref="N278:O281" si="59">SUM(H278)</f>
        <v>0</v>
      </c>
      <c r="O278" s="111">
        <f t="shared" si="59"/>
        <v>0</v>
      </c>
      <c r="P278" s="97">
        <f t="shared" si="47"/>
        <v>0</v>
      </c>
      <c r="Q278" s="97">
        <f t="shared" si="48"/>
        <v>0</v>
      </c>
    </row>
    <row r="279" spans="1:17" ht="15.75" hidden="1" x14ac:dyDescent="0.2">
      <c r="A279" s="40"/>
      <c r="B279" s="113" t="s">
        <v>596</v>
      </c>
      <c r="C279" s="113">
        <v>992</v>
      </c>
      <c r="D279" s="133" t="s">
        <v>306</v>
      </c>
      <c r="E279" s="136" t="s">
        <v>593</v>
      </c>
      <c r="F279" s="134"/>
      <c r="G279" s="111"/>
      <c r="H279" s="111">
        <f>SUM(H280)</f>
        <v>0</v>
      </c>
      <c r="I279" s="111">
        <f>SUM(H279)</f>
        <v>0</v>
      </c>
      <c r="J279" s="114"/>
      <c r="K279" s="111"/>
      <c r="L279" s="114"/>
      <c r="M279" s="111"/>
      <c r="N279" s="111">
        <f t="shared" si="59"/>
        <v>0</v>
      </c>
      <c r="O279" s="111">
        <f t="shared" si="59"/>
        <v>0</v>
      </c>
      <c r="P279" s="97">
        <f t="shared" si="47"/>
        <v>0</v>
      </c>
      <c r="Q279" s="97">
        <f t="shared" si="48"/>
        <v>0</v>
      </c>
    </row>
    <row r="280" spans="1:17" ht="47.25" hidden="1" x14ac:dyDescent="0.2">
      <c r="A280" s="40"/>
      <c r="B280" s="113" t="s">
        <v>597</v>
      </c>
      <c r="C280" s="113">
        <v>992</v>
      </c>
      <c r="D280" s="133" t="s">
        <v>306</v>
      </c>
      <c r="E280" s="136" t="s">
        <v>594</v>
      </c>
      <c r="F280" s="134"/>
      <c r="G280" s="111"/>
      <c r="H280" s="111">
        <f>SUM(H281)</f>
        <v>0</v>
      </c>
      <c r="I280" s="111">
        <f>SUM(H280)</f>
        <v>0</v>
      </c>
      <c r="J280" s="114"/>
      <c r="K280" s="111"/>
      <c r="L280" s="114"/>
      <c r="M280" s="111"/>
      <c r="N280" s="111">
        <f t="shared" si="59"/>
        <v>0</v>
      </c>
      <c r="O280" s="111">
        <f t="shared" si="59"/>
        <v>0</v>
      </c>
      <c r="P280" s="97">
        <f t="shared" si="47"/>
        <v>0</v>
      </c>
      <c r="Q280" s="97">
        <f t="shared" si="48"/>
        <v>0</v>
      </c>
    </row>
    <row r="281" spans="1:17" ht="31.5" hidden="1" x14ac:dyDescent="0.2">
      <c r="A281" s="40"/>
      <c r="B281" s="113" t="s">
        <v>225</v>
      </c>
      <c r="C281" s="113">
        <v>992</v>
      </c>
      <c r="D281" s="133" t="s">
        <v>306</v>
      </c>
      <c r="E281" s="136" t="s">
        <v>594</v>
      </c>
      <c r="F281" s="134">
        <v>400</v>
      </c>
      <c r="G281" s="111"/>
      <c r="H281" s="111"/>
      <c r="I281" s="111">
        <f>SUM(H281)</f>
        <v>0</v>
      </c>
      <c r="J281" s="114"/>
      <c r="K281" s="111"/>
      <c r="L281" s="114"/>
      <c r="M281" s="111"/>
      <c r="N281" s="111">
        <f t="shared" si="59"/>
        <v>0</v>
      </c>
      <c r="O281" s="111">
        <f t="shared" si="59"/>
        <v>0</v>
      </c>
      <c r="P281" s="97">
        <f t="shared" si="47"/>
        <v>0</v>
      </c>
      <c r="Q281" s="97">
        <f t="shared" si="48"/>
        <v>0</v>
      </c>
    </row>
    <row r="282" spans="1:17" ht="31.5" x14ac:dyDescent="0.2">
      <c r="A282" s="40"/>
      <c r="B282" s="113" t="s">
        <v>311</v>
      </c>
      <c r="C282" s="113" t="s">
        <v>51</v>
      </c>
      <c r="D282" s="133" t="s">
        <v>306</v>
      </c>
      <c r="E282" s="133" t="s">
        <v>312</v>
      </c>
      <c r="F282" s="134" t="s">
        <v>11</v>
      </c>
      <c r="G282" s="111">
        <f>G283</f>
        <v>7714.8</v>
      </c>
      <c r="H282" s="111">
        <f>H283</f>
        <v>-502.3</v>
      </c>
      <c r="I282" s="111">
        <f>I283</f>
        <v>7212.5</v>
      </c>
      <c r="J282" s="114">
        <f t="shared" ref="J282:O282" si="60">J283</f>
        <v>0</v>
      </c>
      <c r="K282" s="111">
        <f>K283+K285</f>
        <v>0</v>
      </c>
      <c r="L282" s="114">
        <f t="shared" si="60"/>
        <v>0</v>
      </c>
      <c r="M282" s="111">
        <f t="shared" si="60"/>
        <v>7714.8</v>
      </c>
      <c r="N282" s="111">
        <f t="shared" si="60"/>
        <v>-502.3</v>
      </c>
      <c r="O282" s="111">
        <f t="shared" si="60"/>
        <v>7212.5</v>
      </c>
      <c r="P282" s="97">
        <f t="shared" si="47"/>
        <v>7212.5</v>
      </c>
      <c r="Q282" s="97">
        <f t="shared" si="48"/>
        <v>0</v>
      </c>
    </row>
    <row r="283" spans="1:17" ht="31.5" x14ac:dyDescent="0.2">
      <c r="A283" s="40"/>
      <c r="B283" s="113" t="s">
        <v>313</v>
      </c>
      <c r="C283" s="113" t="s">
        <v>51</v>
      </c>
      <c r="D283" s="133" t="s">
        <v>306</v>
      </c>
      <c r="E283" s="133" t="s">
        <v>314</v>
      </c>
      <c r="F283" s="134" t="s">
        <v>11</v>
      </c>
      <c r="G283" s="111">
        <f>G284+G286</f>
        <v>7714.8</v>
      </c>
      <c r="H283" s="111">
        <f>H284+H286</f>
        <v>-502.3</v>
      </c>
      <c r="I283" s="111">
        <f>I284+I286</f>
        <v>7212.5</v>
      </c>
      <c r="J283" s="114">
        <f>J284+J286</f>
        <v>0</v>
      </c>
      <c r="K283" s="111">
        <f>K284</f>
        <v>0</v>
      </c>
      <c r="L283" s="114">
        <f>L284+L286</f>
        <v>0</v>
      </c>
      <c r="M283" s="111">
        <f>M284+M286</f>
        <v>7714.8</v>
      </c>
      <c r="N283" s="111">
        <f>N284+N286</f>
        <v>-502.3</v>
      </c>
      <c r="O283" s="111">
        <f>O284+O286</f>
        <v>7212.5</v>
      </c>
      <c r="P283" s="97">
        <f t="shared" si="47"/>
        <v>7212.5</v>
      </c>
      <c r="Q283" s="97">
        <f t="shared" si="48"/>
        <v>0</v>
      </c>
    </row>
    <row r="284" spans="1:17" ht="47.25" x14ac:dyDescent="0.2">
      <c r="A284" s="40"/>
      <c r="B284" s="113" t="s">
        <v>315</v>
      </c>
      <c r="C284" s="113" t="s">
        <v>51</v>
      </c>
      <c r="D284" s="133" t="s">
        <v>306</v>
      </c>
      <c r="E284" s="133" t="s">
        <v>316</v>
      </c>
      <c r="F284" s="134" t="s">
        <v>11</v>
      </c>
      <c r="G284" s="111">
        <f>G285</f>
        <v>3111.7</v>
      </c>
      <c r="H284" s="111">
        <f>H285</f>
        <v>0</v>
      </c>
      <c r="I284" s="111">
        <f>I285</f>
        <v>3111.7</v>
      </c>
      <c r="J284" s="114">
        <f>J285</f>
        <v>0</v>
      </c>
      <c r="K284" s="111"/>
      <c r="L284" s="114">
        <f>L285</f>
        <v>0</v>
      </c>
      <c r="M284" s="111">
        <f>M285</f>
        <v>3111.7</v>
      </c>
      <c r="N284" s="111">
        <f>N285</f>
        <v>0</v>
      </c>
      <c r="O284" s="111">
        <f>O285</f>
        <v>3111.7</v>
      </c>
      <c r="P284" s="97">
        <f t="shared" si="47"/>
        <v>3111.7</v>
      </c>
      <c r="Q284" s="97">
        <f t="shared" si="48"/>
        <v>0</v>
      </c>
    </row>
    <row r="285" spans="1:17" ht="31.5" x14ac:dyDescent="0.2">
      <c r="A285" s="40"/>
      <c r="B285" s="113" t="s">
        <v>40</v>
      </c>
      <c r="C285" s="113" t="s">
        <v>51</v>
      </c>
      <c r="D285" s="133" t="s">
        <v>306</v>
      </c>
      <c r="E285" s="133" t="s">
        <v>316</v>
      </c>
      <c r="F285" s="134" t="s">
        <v>41</v>
      </c>
      <c r="G285" s="111">
        <v>3111.7</v>
      </c>
      <c r="H285" s="111"/>
      <c r="I285" s="111">
        <f>G285+H285</f>
        <v>3111.7</v>
      </c>
      <c r="J285" s="115"/>
      <c r="K285" s="111"/>
      <c r="L285" s="115"/>
      <c r="M285" s="111">
        <f>G285+J285</f>
        <v>3111.7</v>
      </c>
      <c r="N285" s="111">
        <f>H285+K285</f>
        <v>0</v>
      </c>
      <c r="O285" s="111">
        <f>I285+L285</f>
        <v>3111.7</v>
      </c>
      <c r="P285" s="97">
        <f t="shared" ref="P285:P353" si="61">G285+H285</f>
        <v>3111.7</v>
      </c>
      <c r="Q285" s="97">
        <f t="shared" ref="Q285:Q353" si="62">I285-P285</f>
        <v>0</v>
      </c>
    </row>
    <row r="286" spans="1:17" ht="47.25" x14ac:dyDescent="0.2">
      <c r="A286" s="40"/>
      <c r="B286" s="113" t="s">
        <v>317</v>
      </c>
      <c r="C286" s="113" t="s">
        <v>51</v>
      </c>
      <c r="D286" s="133" t="s">
        <v>306</v>
      </c>
      <c r="E286" s="133" t="s">
        <v>318</v>
      </c>
      <c r="F286" s="134" t="s">
        <v>11</v>
      </c>
      <c r="G286" s="111">
        <f>G287</f>
        <v>4603.1000000000004</v>
      </c>
      <c r="H286" s="111">
        <f>H287</f>
        <v>-502.3</v>
      </c>
      <c r="I286" s="111">
        <f>I287</f>
        <v>4100.8</v>
      </c>
      <c r="J286" s="114">
        <f>J287</f>
        <v>0</v>
      </c>
      <c r="K286" s="111"/>
      <c r="L286" s="114">
        <f>L287</f>
        <v>0</v>
      </c>
      <c r="M286" s="111">
        <f>M287</f>
        <v>4603.1000000000004</v>
      </c>
      <c r="N286" s="111">
        <f>N287</f>
        <v>-502.3</v>
      </c>
      <c r="O286" s="111">
        <f>O287</f>
        <v>4100.8</v>
      </c>
      <c r="P286" s="97">
        <f t="shared" si="61"/>
        <v>4100.8</v>
      </c>
      <c r="Q286" s="97">
        <f t="shared" si="62"/>
        <v>0</v>
      </c>
    </row>
    <row r="287" spans="1:17" ht="31.5" x14ac:dyDescent="0.2">
      <c r="A287" s="40"/>
      <c r="B287" s="113" t="s">
        <v>40</v>
      </c>
      <c r="C287" s="113" t="s">
        <v>51</v>
      </c>
      <c r="D287" s="133" t="s">
        <v>306</v>
      </c>
      <c r="E287" s="133" t="s">
        <v>318</v>
      </c>
      <c r="F287" s="134" t="s">
        <v>41</v>
      </c>
      <c r="G287" s="111">
        <v>4603.1000000000004</v>
      </c>
      <c r="H287" s="117">
        <v>-502.3</v>
      </c>
      <c r="I287" s="111">
        <f>SUM(G287)+H287</f>
        <v>4100.8</v>
      </c>
      <c r="J287" s="115"/>
      <c r="K287" s="109"/>
      <c r="L287" s="115"/>
      <c r="M287" s="111">
        <f>SUM(G287)</f>
        <v>4603.1000000000004</v>
      </c>
      <c r="N287" s="111">
        <f>SUM(H287)</f>
        <v>-502.3</v>
      </c>
      <c r="O287" s="111">
        <f>SUM(M287)+N287</f>
        <v>4100.8</v>
      </c>
      <c r="P287" s="97">
        <f t="shared" si="61"/>
        <v>4100.8</v>
      </c>
      <c r="Q287" s="97">
        <f t="shared" si="62"/>
        <v>0</v>
      </c>
    </row>
    <row r="288" spans="1:17" ht="15.75" x14ac:dyDescent="0.2">
      <c r="A288" s="33" t="s">
        <v>319</v>
      </c>
      <c r="B288" s="110" t="s">
        <v>320</v>
      </c>
      <c r="C288" s="110" t="s">
        <v>51</v>
      </c>
      <c r="D288" s="131" t="s">
        <v>321</v>
      </c>
      <c r="E288" s="131" t="s">
        <v>11</v>
      </c>
      <c r="F288" s="132" t="s">
        <v>11</v>
      </c>
      <c r="G288" s="109">
        <f t="shared" ref="G288:O288" si="63">G289+G311</f>
        <v>62723.700000000004</v>
      </c>
      <c r="H288" s="111">
        <f t="shared" si="63"/>
        <v>567.29999999999995</v>
      </c>
      <c r="I288" s="109">
        <f t="shared" si="63"/>
        <v>63291</v>
      </c>
      <c r="J288" s="112">
        <f t="shared" si="63"/>
        <v>1682709.2999999998</v>
      </c>
      <c r="K288" s="111">
        <f t="shared" si="63"/>
        <v>72000</v>
      </c>
      <c r="L288" s="112">
        <f t="shared" si="63"/>
        <v>1754709.2999999998</v>
      </c>
      <c r="M288" s="109">
        <f t="shared" si="63"/>
        <v>1745433</v>
      </c>
      <c r="N288" s="111">
        <f t="shared" si="63"/>
        <v>72567.3</v>
      </c>
      <c r="O288" s="109">
        <f t="shared" si="63"/>
        <v>1818000.3</v>
      </c>
      <c r="P288" s="97">
        <f t="shared" si="61"/>
        <v>63291.000000000007</v>
      </c>
      <c r="Q288" s="97">
        <f t="shared" si="62"/>
        <v>0</v>
      </c>
    </row>
    <row r="289" spans="1:17" ht="31.5" x14ac:dyDescent="0.2">
      <c r="A289" s="40"/>
      <c r="B289" s="113" t="s">
        <v>245</v>
      </c>
      <c r="C289" s="113" t="s">
        <v>51</v>
      </c>
      <c r="D289" s="133" t="s">
        <v>321</v>
      </c>
      <c r="E289" s="133" t="s">
        <v>246</v>
      </c>
      <c r="F289" s="134" t="s">
        <v>11</v>
      </c>
      <c r="G289" s="111">
        <f>G290+G306</f>
        <v>19054.900000000001</v>
      </c>
      <c r="H289" s="111">
        <f>H290+H306+H301</f>
        <v>567.29999999999995</v>
      </c>
      <c r="I289" s="111">
        <f>I290+I306+H289</f>
        <v>19622.2</v>
      </c>
      <c r="J289" s="114">
        <f t="shared" ref="G289:O290" si="64">J290</f>
        <v>1576707.7999999998</v>
      </c>
      <c r="K289" s="111">
        <f>K290+K301</f>
        <v>72000</v>
      </c>
      <c r="L289" s="114">
        <f>L290+K289</f>
        <v>1648707.7999999998</v>
      </c>
      <c r="M289" s="111">
        <f>M290+M306</f>
        <v>1595762.7</v>
      </c>
      <c r="N289" s="111">
        <f>SUM(N306)+N290+H289+K289</f>
        <v>72567.3</v>
      </c>
      <c r="O289" s="111">
        <f>O290+O306+N289</f>
        <v>1668330</v>
      </c>
      <c r="P289" s="97">
        <f t="shared" si="61"/>
        <v>19622.2</v>
      </c>
      <c r="Q289" s="97">
        <f t="shared" si="62"/>
        <v>0</v>
      </c>
    </row>
    <row r="290" spans="1:17" ht="31.5" x14ac:dyDescent="0.2">
      <c r="A290" s="40"/>
      <c r="B290" s="113" t="s">
        <v>322</v>
      </c>
      <c r="C290" s="113" t="s">
        <v>51</v>
      </c>
      <c r="D290" s="133" t="s">
        <v>321</v>
      </c>
      <c r="E290" s="133" t="s">
        <v>323</v>
      </c>
      <c r="F290" s="134" t="s">
        <v>11</v>
      </c>
      <c r="G290" s="111">
        <f t="shared" si="64"/>
        <v>9123.2000000000007</v>
      </c>
      <c r="H290" s="111">
        <f>SUM(H291)</f>
        <v>0</v>
      </c>
      <c r="I290" s="111">
        <f t="shared" si="64"/>
        <v>9123.2000000000007</v>
      </c>
      <c r="J290" s="114">
        <f t="shared" si="64"/>
        <v>1576707.7999999998</v>
      </c>
      <c r="K290" s="111">
        <f>SUM(K291)</f>
        <v>0</v>
      </c>
      <c r="L290" s="114">
        <f t="shared" si="64"/>
        <v>1576707.7999999998</v>
      </c>
      <c r="M290" s="111">
        <f t="shared" si="64"/>
        <v>1585831</v>
      </c>
      <c r="N290" s="111">
        <f t="shared" si="64"/>
        <v>0</v>
      </c>
      <c r="O290" s="111">
        <f t="shared" si="64"/>
        <v>1585831</v>
      </c>
      <c r="P290" s="97">
        <f t="shared" si="61"/>
        <v>9123.2000000000007</v>
      </c>
      <c r="Q290" s="97">
        <f t="shared" si="62"/>
        <v>0</v>
      </c>
    </row>
    <row r="291" spans="1:17" ht="47.25" x14ac:dyDescent="0.2">
      <c r="A291" s="40"/>
      <c r="B291" s="113" t="s">
        <v>324</v>
      </c>
      <c r="C291" s="113" t="s">
        <v>51</v>
      </c>
      <c r="D291" s="133" t="s">
        <v>321</v>
      </c>
      <c r="E291" s="133" t="s">
        <v>325</v>
      </c>
      <c r="F291" s="134" t="s">
        <v>11</v>
      </c>
      <c r="G291" s="111">
        <f>G292+G295+G297+G299</f>
        <v>9123.2000000000007</v>
      </c>
      <c r="H291" s="111">
        <f>H292+H297+H299+H295</f>
        <v>0</v>
      </c>
      <c r="I291" s="111">
        <f>I292+I295+I297+I299</f>
        <v>9123.2000000000007</v>
      </c>
      <c r="J291" s="114">
        <f>J292+J295+J297+J299</f>
        <v>1576707.7999999998</v>
      </c>
      <c r="K291" s="111">
        <f>K292+K295+K299</f>
        <v>0</v>
      </c>
      <c r="L291" s="114">
        <f>L292+L295+L297+L299</f>
        <v>1576707.7999999998</v>
      </c>
      <c r="M291" s="111">
        <f>M292+M295+M297+M299</f>
        <v>1585831</v>
      </c>
      <c r="N291" s="111">
        <f>N292+N295+N297+N299</f>
        <v>0</v>
      </c>
      <c r="O291" s="111">
        <f>O292+O295+O297+O299</f>
        <v>1585831</v>
      </c>
      <c r="P291" s="97">
        <f t="shared" si="61"/>
        <v>9123.2000000000007</v>
      </c>
      <c r="Q291" s="97">
        <f t="shared" si="62"/>
        <v>0</v>
      </c>
    </row>
    <row r="292" spans="1:17" ht="15.75" x14ac:dyDescent="0.2">
      <c r="A292" s="40"/>
      <c r="B292" s="113" t="s">
        <v>326</v>
      </c>
      <c r="C292" s="113" t="s">
        <v>51</v>
      </c>
      <c r="D292" s="133" t="s">
        <v>321</v>
      </c>
      <c r="E292" s="133" t="s">
        <v>327</v>
      </c>
      <c r="F292" s="134" t="s">
        <v>11</v>
      </c>
      <c r="G292" s="111">
        <f>G293+G294</f>
        <v>183</v>
      </c>
      <c r="H292" s="111">
        <f>SUM(H293)+H294</f>
        <v>0</v>
      </c>
      <c r="I292" s="111">
        <f>I293+I294</f>
        <v>183</v>
      </c>
      <c r="J292" s="114">
        <f>J293</f>
        <v>1529.5</v>
      </c>
      <c r="K292" s="111">
        <f>SUM(K293)</f>
        <v>0</v>
      </c>
      <c r="L292" s="114">
        <f>L293</f>
        <v>1529.5</v>
      </c>
      <c r="M292" s="111">
        <f>M293+M294</f>
        <v>1712.5</v>
      </c>
      <c r="N292" s="111">
        <f>N293+N294</f>
        <v>0</v>
      </c>
      <c r="O292" s="111">
        <f>O293+O294</f>
        <v>1712.5</v>
      </c>
      <c r="P292" s="97">
        <f t="shared" si="61"/>
        <v>183</v>
      </c>
      <c r="Q292" s="97">
        <f t="shared" si="62"/>
        <v>0</v>
      </c>
    </row>
    <row r="293" spans="1:17" ht="31.5" x14ac:dyDescent="0.2">
      <c r="A293" s="40"/>
      <c r="B293" s="113" t="s">
        <v>40</v>
      </c>
      <c r="C293" s="113" t="s">
        <v>51</v>
      </c>
      <c r="D293" s="133" t="s">
        <v>321</v>
      </c>
      <c r="E293" s="133" t="s">
        <v>327</v>
      </c>
      <c r="F293" s="134" t="s">
        <v>41</v>
      </c>
      <c r="G293" s="111">
        <v>152.19999999999999</v>
      </c>
      <c r="H293" s="111"/>
      <c r="I293" s="111">
        <f>G293+H293</f>
        <v>152.19999999999999</v>
      </c>
      <c r="J293" s="115">
        <v>1529.5</v>
      </c>
      <c r="K293" s="111"/>
      <c r="L293" s="111">
        <f>SUM(J293)</f>
        <v>1529.5</v>
      </c>
      <c r="M293" s="111">
        <f>G293+J293</f>
        <v>1681.7</v>
      </c>
      <c r="N293" s="111">
        <f>SUM(H293+K293)</f>
        <v>0</v>
      </c>
      <c r="O293" s="111">
        <f>I293+L293</f>
        <v>1681.7</v>
      </c>
      <c r="P293" s="97">
        <f t="shared" si="61"/>
        <v>152.19999999999999</v>
      </c>
      <c r="Q293" s="97">
        <f t="shared" si="62"/>
        <v>0</v>
      </c>
    </row>
    <row r="294" spans="1:17" ht="31.5" x14ac:dyDescent="0.2">
      <c r="A294" s="40"/>
      <c r="B294" s="113" t="s">
        <v>225</v>
      </c>
      <c r="C294" s="113">
        <v>992</v>
      </c>
      <c r="D294" s="133" t="s">
        <v>321</v>
      </c>
      <c r="E294" s="133" t="s">
        <v>327</v>
      </c>
      <c r="F294" s="134">
        <v>400</v>
      </c>
      <c r="G294" s="111">
        <v>30.8</v>
      </c>
      <c r="H294" s="111"/>
      <c r="I294" s="111">
        <f>SUM(G294)+H294</f>
        <v>30.8</v>
      </c>
      <c r="J294" s="115"/>
      <c r="K294" s="111"/>
      <c r="L294" s="119"/>
      <c r="M294" s="111">
        <f>SUM(G294)</f>
        <v>30.8</v>
      </c>
      <c r="N294" s="111">
        <f>SUM(H294)</f>
        <v>0</v>
      </c>
      <c r="O294" s="111">
        <f>SUM(M294)+N294</f>
        <v>30.8</v>
      </c>
      <c r="P294" s="97">
        <f t="shared" si="61"/>
        <v>30.8</v>
      </c>
      <c r="Q294" s="97">
        <f t="shared" si="62"/>
        <v>0</v>
      </c>
    </row>
    <row r="295" spans="1:17" ht="31.5" x14ac:dyDescent="0.2">
      <c r="A295" s="40"/>
      <c r="B295" s="113" t="s">
        <v>328</v>
      </c>
      <c r="C295" s="113" t="s">
        <v>51</v>
      </c>
      <c r="D295" s="133" t="s">
        <v>321</v>
      </c>
      <c r="E295" s="133" t="s">
        <v>329</v>
      </c>
      <c r="F295" s="134" t="s">
        <v>11</v>
      </c>
      <c r="G295" s="111">
        <f t="shared" ref="G295:O295" si="65">G296</f>
        <v>7807.5</v>
      </c>
      <c r="H295" s="111">
        <f t="shared" si="65"/>
        <v>0</v>
      </c>
      <c r="I295" s="111">
        <f t="shared" si="65"/>
        <v>7807.5</v>
      </c>
      <c r="J295" s="114">
        <f t="shared" si="65"/>
        <v>1553657.4</v>
      </c>
      <c r="K295" s="111">
        <f t="shared" si="65"/>
        <v>0</v>
      </c>
      <c r="L295" s="114">
        <f t="shared" si="65"/>
        <v>1553657.4</v>
      </c>
      <c r="M295" s="111">
        <f t="shared" si="65"/>
        <v>1561464.9</v>
      </c>
      <c r="N295" s="111">
        <f t="shared" si="65"/>
        <v>0</v>
      </c>
      <c r="O295" s="111">
        <f t="shared" si="65"/>
        <v>1561464.9</v>
      </c>
      <c r="P295" s="97">
        <f t="shared" si="61"/>
        <v>7807.5</v>
      </c>
      <c r="Q295" s="97">
        <f t="shared" si="62"/>
        <v>0</v>
      </c>
    </row>
    <row r="296" spans="1:17" ht="31.5" x14ac:dyDescent="0.2">
      <c r="A296" s="40"/>
      <c r="B296" s="113" t="s">
        <v>225</v>
      </c>
      <c r="C296" s="113" t="s">
        <v>51</v>
      </c>
      <c r="D296" s="133" t="s">
        <v>321</v>
      </c>
      <c r="E296" s="133" t="s">
        <v>329</v>
      </c>
      <c r="F296" s="134" t="s">
        <v>226</v>
      </c>
      <c r="G296" s="111">
        <v>7807.5</v>
      </c>
      <c r="H296" s="111"/>
      <c r="I296" s="111">
        <v>7807.5</v>
      </c>
      <c r="J296" s="115">
        <v>1553657.4</v>
      </c>
      <c r="K296" s="111"/>
      <c r="L296" s="115">
        <v>1553657.4</v>
      </c>
      <c r="M296" s="111">
        <f>SUM(G296+J296)</f>
        <v>1561464.9</v>
      </c>
      <c r="N296" s="111">
        <f>SUM(H296+K296)</f>
        <v>0</v>
      </c>
      <c r="O296" s="111">
        <f>SUM(I296+L296)</f>
        <v>1561464.9</v>
      </c>
      <c r="P296" s="97">
        <f t="shared" si="61"/>
        <v>7807.5</v>
      </c>
      <c r="Q296" s="97">
        <f t="shared" si="62"/>
        <v>0</v>
      </c>
    </row>
    <row r="297" spans="1:17" ht="15.75" x14ac:dyDescent="0.2">
      <c r="A297" s="40"/>
      <c r="B297" s="113" t="s">
        <v>330</v>
      </c>
      <c r="C297" s="113" t="s">
        <v>51</v>
      </c>
      <c r="D297" s="133" t="s">
        <v>321</v>
      </c>
      <c r="E297" s="133" t="s">
        <v>331</v>
      </c>
      <c r="F297" s="134" t="s">
        <v>11</v>
      </c>
      <c r="G297" s="111">
        <f>G298</f>
        <v>386.1</v>
      </c>
      <c r="H297" s="111">
        <f>SUM(H298)</f>
        <v>0</v>
      </c>
      <c r="I297" s="111">
        <f>I298</f>
        <v>386.1</v>
      </c>
      <c r="J297" s="114">
        <f>J298</f>
        <v>7335.5</v>
      </c>
      <c r="K297" s="111">
        <v>0</v>
      </c>
      <c r="L297" s="114">
        <f>L298</f>
        <v>7335.5</v>
      </c>
      <c r="M297" s="111">
        <f>M298</f>
        <v>7721.6</v>
      </c>
      <c r="N297" s="111">
        <f>N298</f>
        <v>0</v>
      </c>
      <c r="O297" s="111">
        <f>O298</f>
        <v>7721.6</v>
      </c>
      <c r="P297" s="97">
        <f t="shared" si="61"/>
        <v>386.1</v>
      </c>
      <c r="Q297" s="97">
        <f t="shared" si="62"/>
        <v>0</v>
      </c>
    </row>
    <row r="298" spans="1:17" ht="31.5" x14ac:dyDescent="0.2">
      <c r="A298" s="40"/>
      <c r="B298" s="113" t="s">
        <v>225</v>
      </c>
      <c r="C298" s="113" t="s">
        <v>51</v>
      </c>
      <c r="D298" s="133" t="s">
        <v>321</v>
      </c>
      <c r="E298" s="133" t="s">
        <v>331</v>
      </c>
      <c r="F298" s="134" t="s">
        <v>226</v>
      </c>
      <c r="G298" s="111">
        <v>386.1</v>
      </c>
      <c r="H298" s="111"/>
      <c r="I298" s="111">
        <f>SUM(G298)</f>
        <v>386.1</v>
      </c>
      <c r="J298" s="115">
        <f>14200-6864.5</f>
        <v>7335.5</v>
      </c>
      <c r="K298" s="111"/>
      <c r="L298" s="115">
        <f>14200-6864.5</f>
        <v>7335.5</v>
      </c>
      <c r="M298" s="111">
        <f>SUM(J298)+G298</f>
        <v>7721.6</v>
      </c>
      <c r="N298" s="111">
        <f>SUM(H298)</f>
        <v>0</v>
      </c>
      <c r="O298" s="111">
        <f>SUM(L298)+N298+I298</f>
        <v>7721.6</v>
      </c>
      <c r="P298" s="97">
        <f t="shared" si="61"/>
        <v>386.1</v>
      </c>
      <c r="Q298" s="97">
        <f t="shared" si="62"/>
        <v>0</v>
      </c>
    </row>
    <row r="299" spans="1:17" ht="15.75" x14ac:dyDescent="0.2">
      <c r="A299" s="40"/>
      <c r="B299" s="113" t="s">
        <v>332</v>
      </c>
      <c r="C299" s="113" t="s">
        <v>51</v>
      </c>
      <c r="D299" s="133" t="s">
        <v>321</v>
      </c>
      <c r="E299" s="133" t="s">
        <v>333</v>
      </c>
      <c r="F299" s="134" t="s">
        <v>11</v>
      </c>
      <c r="G299" s="111">
        <f>G300</f>
        <v>746.6</v>
      </c>
      <c r="H299" s="111"/>
      <c r="I299" s="111">
        <f>I300</f>
        <v>746.6</v>
      </c>
      <c r="J299" s="114">
        <f>J300</f>
        <v>14185.4</v>
      </c>
      <c r="K299" s="111"/>
      <c r="L299" s="114">
        <f>L300</f>
        <v>14185.4</v>
      </c>
      <c r="M299" s="111">
        <f>M300</f>
        <v>14932</v>
      </c>
      <c r="N299" s="111">
        <f>N300</f>
        <v>0</v>
      </c>
      <c r="O299" s="111">
        <f>O300</f>
        <v>14932</v>
      </c>
      <c r="P299" s="97">
        <f t="shared" si="61"/>
        <v>746.6</v>
      </c>
      <c r="Q299" s="97">
        <f t="shared" si="62"/>
        <v>0</v>
      </c>
    </row>
    <row r="300" spans="1:17" ht="31.5" x14ac:dyDescent="0.2">
      <c r="A300" s="40"/>
      <c r="B300" s="113" t="s">
        <v>225</v>
      </c>
      <c r="C300" s="113" t="s">
        <v>51</v>
      </c>
      <c r="D300" s="133" t="s">
        <v>321</v>
      </c>
      <c r="E300" s="133" t="s">
        <v>333</v>
      </c>
      <c r="F300" s="134" t="s">
        <v>226</v>
      </c>
      <c r="G300" s="111">
        <v>746.6</v>
      </c>
      <c r="H300" s="111"/>
      <c r="I300" s="111">
        <f>SUM(G300)+H300</f>
        <v>746.6</v>
      </c>
      <c r="J300" s="115">
        <v>14185.4</v>
      </c>
      <c r="K300" s="111"/>
      <c r="L300" s="115">
        <f>SUM(J300)</f>
        <v>14185.4</v>
      </c>
      <c r="M300" s="111">
        <f>SUM(G300+J300)</f>
        <v>14932</v>
      </c>
      <c r="N300" s="111">
        <f>SUM(K300)+H300</f>
        <v>0</v>
      </c>
      <c r="O300" s="111">
        <f>SUM(I300+L300)</f>
        <v>14932</v>
      </c>
      <c r="P300" s="97">
        <f t="shared" si="61"/>
        <v>746.6</v>
      </c>
      <c r="Q300" s="97">
        <f t="shared" si="62"/>
        <v>0</v>
      </c>
    </row>
    <row r="301" spans="1:17" ht="31.5" x14ac:dyDescent="0.2">
      <c r="A301" s="40"/>
      <c r="B301" s="118" t="s">
        <v>245</v>
      </c>
      <c r="C301" s="118" t="s">
        <v>51</v>
      </c>
      <c r="D301" s="136" t="s">
        <v>321</v>
      </c>
      <c r="E301" s="136" t="s">
        <v>246</v>
      </c>
      <c r="F301" s="141"/>
      <c r="G301" s="114">
        <f>G302</f>
        <v>9931.7000000000007</v>
      </c>
      <c r="H301" s="114">
        <f t="shared" ref="H301:O301" si="66">H302</f>
        <v>567.29999999999995</v>
      </c>
      <c r="I301" s="114">
        <f t="shared" si="66"/>
        <v>10499</v>
      </c>
      <c r="J301" s="114">
        <f t="shared" si="66"/>
        <v>0</v>
      </c>
      <c r="K301" s="114">
        <f t="shared" si="66"/>
        <v>72000</v>
      </c>
      <c r="L301" s="114">
        <f t="shared" si="66"/>
        <v>72000</v>
      </c>
      <c r="M301" s="114">
        <f t="shared" si="66"/>
        <v>9931.7000000000007</v>
      </c>
      <c r="N301" s="114">
        <f t="shared" si="66"/>
        <v>72567.3</v>
      </c>
      <c r="O301" s="114">
        <f t="shared" si="66"/>
        <v>82499</v>
      </c>
      <c r="P301" s="97">
        <f t="shared" si="61"/>
        <v>10499</v>
      </c>
      <c r="Q301" s="97">
        <f t="shared" si="62"/>
        <v>0</v>
      </c>
    </row>
    <row r="302" spans="1:17" ht="15.75" x14ac:dyDescent="0.2">
      <c r="A302" s="40"/>
      <c r="B302" s="118" t="s">
        <v>247</v>
      </c>
      <c r="C302" s="118" t="s">
        <v>51</v>
      </c>
      <c r="D302" s="136" t="s">
        <v>321</v>
      </c>
      <c r="E302" s="136" t="s">
        <v>248</v>
      </c>
      <c r="F302" s="141"/>
      <c r="G302" s="114">
        <f>G306</f>
        <v>9931.7000000000007</v>
      </c>
      <c r="H302" s="114">
        <f>H306+H303</f>
        <v>567.29999999999995</v>
      </c>
      <c r="I302" s="114">
        <f>I306+H302</f>
        <v>10499</v>
      </c>
      <c r="J302" s="114">
        <f>J306</f>
        <v>0</v>
      </c>
      <c r="K302" s="119">
        <v>72000</v>
      </c>
      <c r="L302" s="119">
        <v>72000</v>
      </c>
      <c r="M302" s="114">
        <f>M306</f>
        <v>9931.7000000000007</v>
      </c>
      <c r="N302" s="119">
        <f>SUM(H302)+K302</f>
        <v>72567.3</v>
      </c>
      <c r="O302" s="114">
        <f>O306+N302</f>
        <v>82499</v>
      </c>
      <c r="P302" s="97">
        <f t="shared" si="61"/>
        <v>10499</v>
      </c>
      <c r="Q302" s="97">
        <f t="shared" si="62"/>
        <v>0</v>
      </c>
    </row>
    <row r="303" spans="1:17" ht="63" x14ac:dyDescent="0.2">
      <c r="A303" s="40"/>
      <c r="B303" s="175" t="s">
        <v>569</v>
      </c>
      <c r="C303" s="118" t="s">
        <v>51</v>
      </c>
      <c r="D303" s="136" t="s">
        <v>321</v>
      </c>
      <c r="E303" s="136" t="s">
        <v>567</v>
      </c>
      <c r="F303" s="141"/>
      <c r="G303" s="119"/>
      <c r="H303" s="119">
        <v>567.29999999999995</v>
      </c>
      <c r="I303" s="119">
        <f>SUM(H303)</f>
        <v>567.29999999999995</v>
      </c>
      <c r="J303" s="114"/>
      <c r="K303" s="119">
        <v>72000</v>
      </c>
      <c r="L303" s="119">
        <v>72000</v>
      </c>
      <c r="M303" s="119"/>
      <c r="N303" s="119">
        <f>SUM(H303)+K303</f>
        <v>72567.3</v>
      </c>
      <c r="O303" s="119">
        <f>SUM(I303)+L303</f>
        <v>72567.3</v>
      </c>
      <c r="P303" s="97"/>
      <c r="Q303" s="97"/>
    </row>
    <row r="304" spans="1:17" ht="143.25" customHeight="1" x14ac:dyDescent="0.2">
      <c r="A304" s="40"/>
      <c r="B304" s="175" t="s">
        <v>609</v>
      </c>
      <c r="C304" s="118" t="s">
        <v>51</v>
      </c>
      <c r="D304" s="136" t="s">
        <v>321</v>
      </c>
      <c r="E304" s="136" t="s">
        <v>606</v>
      </c>
      <c r="F304" s="141"/>
      <c r="G304" s="119"/>
      <c r="H304" s="119">
        <v>567.29999999999995</v>
      </c>
      <c r="I304" s="119">
        <f>SUM(H304)</f>
        <v>567.29999999999995</v>
      </c>
      <c r="J304" s="114"/>
      <c r="K304" s="119">
        <v>72000</v>
      </c>
      <c r="L304" s="119">
        <v>72000</v>
      </c>
      <c r="M304" s="119"/>
      <c r="N304" s="119">
        <f>SUM(H304)+K304</f>
        <v>72567.3</v>
      </c>
      <c r="O304" s="119">
        <f>SUM(I304)+L304</f>
        <v>72567.3</v>
      </c>
      <c r="P304" s="97"/>
      <c r="Q304" s="97"/>
    </row>
    <row r="305" spans="1:17" ht="15.75" x14ac:dyDescent="0.2">
      <c r="A305" s="40"/>
      <c r="B305" s="113" t="s">
        <v>338</v>
      </c>
      <c r="C305" s="118" t="s">
        <v>51</v>
      </c>
      <c r="D305" s="136" t="s">
        <v>321</v>
      </c>
      <c r="E305" s="136" t="s">
        <v>606</v>
      </c>
      <c r="F305" s="141" t="s">
        <v>71</v>
      </c>
      <c r="G305" s="119"/>
      <c r="H305" s="119">
        <v>567.29999999999995</v>
      </c>
      <c r="I305" s="119">
        <f>SUM(H305)</f>
        <v>567.29999999999995</v>
      </c>
      <c r="J305" s="114"/>
      <c r="K305" s="119">
        <v>72000</v>
      </c>
      <c r="L305" s="119">
        <v>72000</v>
      </c>
      <c r="M305" s="119"/>
      <c r="N305" s="119">
        <f>SUM(H305)+K305</f>
        <v>72567.3</v>
      </c>
      <c r="O305" s="119">
        <f>SUM(I305)+L305</f>
        <v>72567.3</v>
      </c>
      <c r="P305" s="97"/>
      <c r="Q305" s="97"/>
    </row>
    <row r="306" spans="1:17" ht="47.25" x14ac:dyDescent="0.2">
      <c r="A306" s="40"/>
      <c r="B306" s="143" t="s">
        <v>334</v>
      </c>
      <c r="C306" s="113">
        <v>992</v>
      </c>
      <c r="D306" s="133" t="s">
        <v>321</v>
      </c>
      <c r="E306" s="136" t="s">
        <v>335</v>
      </c>
      <c r="F306" s="134"/>
      <c r="G306" s="111">
        <f t="shared" ref="G306:I307" si="67">SUM(G307)</f>
        <v>9931.7000000000007</v>
      </c>
      <c r="H306" s="111">
        <f t="shared" si="67"/>
        <v>0</v>
      </c>
      <c r="I306" s="111">
        <f t="shared" si="67"/>
        <v>9931.7000000000007</v>
      </c>
      <c r="J306" s="115"/>
      <c r="K306" s="111"/>
      <c r="L306" s="115"/>
      <c r="M306" s="111">
        <f>SUM(G306)</f>
        <v>9931.7000000000007</v>
      </c>
      <c r="N306" s="111">
        <f t="shared" ref="N306:O308" si="68">SUM(H306)</f>
        <v>0</v>
      </c>
      <c r="O306" s="111">
        <f t="shared" si="68"/>
        <v>9931.7000000000007</v>
      </c>
      <c r="P306" s="97">
        <f t="shared" si="61"/>
        <v>9931.7000000000007</v>
      </c>
      <c r="Q306" s="97">
        <f t="shared" si="62"/>
        <v>0</v>
      </c>
    </row>
    <row r="307" spans="1:17" ht="78.75" x14ac:dyDescent="0.2">
      <c r="A307" s="40"/>
      <c r="B307" s="144" t="s">
        <v>336</v>
      </c>
      <c r="C307" s="113">
        <v>992</v>
      </c>
      <c r="D307" s="133" t="s">
        <v>321</v>
      </c>
      <c r="E307" s="136" t="s">
        <v>337</v>
      </c>
      <c r="F307" s="134"/>
      <c r="G307" s="111">
        <f t="shared" si="67"/>
        <v>9931.7000000000007</v>
      </c>
      <c r="H307" s="111">
        <f t="shared" si="67"/>
        <v>0</v>
      </c>
      <c r="I307" s="111">
        <f t="shared" si="67"/>
        <v>9931.7000000000007</v>
      </c>
      <c r="J307" s="115"/>
      <c r="K307" s="111"/>
      <c r="L307" s="115"/>
      <c r="M307" s="111">
        <f>SUM(G307)</f>
        <v>9931.7000000000007</v>
      </c>
      <c r="N307" s="111">
        <f t="shared" si="68"/>
        <v>0</v>
      </c>
      <c r="O307" s="111">
        <f t="shared" si="68"/>
        <v>9931.7000000000007</v>
      </c>
      <c r="P307" s="97">
        <f t="shared" si="61"/>
        <v>9931.7000000000007</v>
      </c>
      <c r="Q307" s="97">
        <f t="shared" si="62"/>
        <v>0</v>
      </c>
    </row>
    <row r="308" spans="1:17" ht="15.75" x14ac:dyDescent="0.2">
      <c r="A308" s="40"/>
      <c r="B308" s="113" t="s">
        <v>338</v>
      </c>
      <c r="C308" s="113">
        <v>992</v>
      </c>
      <c r="D308" s="133" t="s">
        <v>321</v>
      </c>
      <c r="E308" s="136" t="s">
        <v>337</v>
      </c>
      <c r="F308" s="134">
        <v>800</v>
      </c>
      <c r="G308" s="111">
        <v>9931.7000000000007</v>
      </c>
      <c r="H308" s="111"/>
      <c r="I308" s="111">
        <f>SUM(G308)+H308</f>
        <v>9931.7000000000007</v>
      </c>
      <c r="J308" s="115"/>
      <c r="K308" s="111"/>
      <c r="L308" s="115"/>
      <c r="M308" s="111">
        <f>SUM(G308)</f>
        <v>9931.7000000000007</v>
      </c>
      <c r="N308" s="111">
        <f t="shared" si="68"/>
        <v>0</v>
      </c>
      <c r="O308" s="111">
        <f t="shared" si="68"/>
        <v>9931.7000000000007</v>
      </c>
      <c r="P308" s="97">
        <f t="shared" si="61"/>
        <v>9931.7000000000007</v>
      </c>
      <c r="Q308" s="97">
        <f t="shared" si="62"/>
        <v>0</v>
      </c>
    </row>
    <row r="309" spans="1:17" ht="1.5" customHeight="1" x14ac:dyDescent="0.2">
      <c r="A309" s="40"/>
      <c r="B309" s="113"/>
      <c r="C309" s="113">
        <v>992</v>
      </c>
      <c r="D309" s="133" t="s">
        <v>321</v>
      </c>
      <c r="E309" s="136" t="s">
        <v>606</v>
      </c>
      <c r="F309" s="134"/>
      <c r="G309" s="111"/>
      <c r="H309" s="111"/>
      <c r="I309" s="111">
        <f>SUM(H309)</f>
        <v>0</v>
      </c>
      <c r="J309" s="115"/>
      <c r="K309" s="111"/>
      <c r="L309" s="111"/>
      <c r="M309" s="111"/>
      <c r="N309" s="111">
        <f>SUM(H309)+K309</f>
        <v>0</v>
      </c>
      <c r="O309" s="111">
        <f>SUM(L309)+I309</f>
        <v>0</v>
      </c>
      <c r="P309" s="97"/>
      <c r="Q309" s="97"/>
    </row>
    <row r="310" spans="1:17" ht="15.75" hidden="1" x14ac:dyDescent="0.2">
      <c r="A310" s="40"/>
      <c r="C310" s="113">
        <v>992</v>
      </c>
      <c r="D310" s="133" t="s">
        <v>321</v>
      </c>
      <c r="E310" s="136" t="s">
        <v>606</v>
      </c>
      <c r="F310" s="134">
        <v>800</v>
      </c>
      <c r="G310" s="111"/>
      <c r="H310" s="111"/>
      <c r="I310" s="111">
        <f>SUM(H310)</f>
        <v>0</v>
      </c>
      <c r="J310" s="115"/>
      <c r="K310" s="111"/>
      <c r="L310" s="111"/>
      <c r="M310" s="111"/>
      <c r="N310" s="111">
        <f>SUM(H310)+K310</f>
        <v>0</v>
      </c>
      <c r="O310" s="111">
        <f>SUM(L310)+I310</f>
        <v>0</v>
      </c>
      <c r="P310" s="97"/>
      <c r="Q310" s="97"/>
    </row>
    <row r="311" spans="1:17" ht="31.5" x14ac:dyDescent="0.2">
      <c r="A311" s="40"/>
      <c r="B311" s="113" t="s">
        <v>339</v>
      </c>
      <c r="C311" s="113" t="s">
        <v>51</v>
      </c>
      <c r="D311" s="133" t="s">
        <v>321</v>
      </c>
      <c r="E311" s="133" t="s">
        <v>340</v>
      </c>
      <c r="F311" s="134" t="s">
        <v>11</v>
      </c>
      <c r="G311" s="111">
        <f>G312+G324+G321</f>
        <v>43668.800000000003</v>
      </c>
      <c r="H311" s="111">
        <f>H312+H321+H324</f>
        <v>0</v>
      </c>
      <c r="I311" s="111">
        <f>I312+I324+I321</f>
        <v>43668.800000000003</v>
      </c>
      <c r="J311" s="114">
        <f>J312+J324</f>
        <v>106001.5</v>
      </c>
      <c r="K311" s="111">
        <f>K312+K324</f>
        <v>0</v>
      </c>
      <c r="L311" s="114">
        <f>L312+L324</f>
        <v>106001.5</v>
      </c>
      <c r="M311" s="111">
        <f>M312+M324+M321</f>
        <v>149670.29999999999</v>
      </c>
      <c r="N311" s="111">
        <f>N312+N321+N324</f>
        <v>0</v>
      </c>
      <c r="O311" s="111">
        <f>O312+O324+O321</f>
        <v>149670.29999999999</v>
      </c>
      <c r="P311" s="97">
        <f t="shared" si="61"/>
        <v>43668.800000000003</v>
      </c>
      <c r="Q311" s="97">
        <f t="shared" si="62"/>
        <v>0</v>
      </c>
    </row>
    <row r="312" spans="1:17" ht="15.75" x14ac:dyDescent="0.2">
      <c r="A312" s="40"/>
      <c r="B312" s="113" t="s">
        <v>341</v>
      </c>
      <c r="C312" s="113" t="s">
        <v>51</v>
      </c>
      <c r="D312" s="133" t="s">
        <v>321</v>
      </c>
      <c r="E312" s="133" t="s">
        <v>342</v>
      </c>
      <c r="F312" s="134" t="s">
        <v>11</v>
      </c>
      <c r="G312" s="111">
        <f t="shared" ref="G312:O312" si="69">G313</f>
        <v>27725.800000000003</v>
      </c>
      <c r="H312" s="111">
        <f>H313</f>
        <v>-678</v>
      </c>
      <c r="I312" s="111">
        <f t="shared" si="69"/>
        <v>27047.800000000003</v>
      </c>
      <c r="J312" s="114">
        <f t="shared" si="69"/>
        <v>101001.5</v>
      </c>
      <c r="K312" s="111">
        <f>K313+K316</f>
        <v>0</v>
      </c>
      <c r="L312" s="114">
        <f t="shared" si="69"/>
        <v>101001.5</v>
      </c>
      <c r="M312" s="111">
        <f t="shared" si="69"/>
        <v>128727.3</v>
      </c>
      <c r="N312" s="111">
        <f t="shared" si="69"/>
        <v>-678</v>
      </c>
      <c r="O312" s="111">
        <f t="shared" si="69"/>
        <v>128049.3</v>
      </c>
      <c r="P312" s="97">
        <f t="shared" si="61"/>
        <v>27047.800000000003</v>
      </c>
      <c r="Q312" s="97">
        <f t="shared" si="62"/>
        <v>0</v>
      </c>
    </row>
    <row r="313" spans="1:17" ht="47.25" x14ac:dyDescent="0.2">
      <c r="A313" s="40"/>
      <c r="B313" s="113" t="s">
        <v>343</v>
      </c>
      <c r="C313" s="113" t="s">
        <v>51</v>
      </c>
      <c r="D313" s="133" t="s">
        <v>321</v>
      </c>
      <c r="E313" s="133" t="s">
        <v>344</v>
      </c>
      <c r="F313" s="134" t="s">
        <v>11</v>
      </c>
      <c r="G313" s="111">
        <f>G314+G317</f>
        <v>27725.800000000003</v>
      </c>
      <c r="H313" s="111">
        <f>H314+H317</f>
        <v>-678</v>
      </c>
      <c r="I313" s="111">
        <f>I314+I317</f>
        <v>27047.800000000003</v>
      </c>
      <c r="J313" s="114">
        <f>J314+J317</f>
        <v>101001.5</v>
      </c>
      <c r="K313" s="111">
        <f>K314+K317</f>
        <v>0</v>
      </c>
      <c r="L313" s="114">
        <f>L314+L317</f>
        <v>101001.5</v>
      </c>
      <c r="M313" s="111">
        <f>M314+M317</f>
        <v>128727.3</v>
      </c>
      <c r="N313" s="111">
        <f>N314+N317</f>
        <v>-678</v>
      </c>
      <c r="O313" s="111">
        <f>O314+O317</f>
        <v>128049.3</v>
      </c>
      <c r="P313" s="97">
        <f t="shared" si="61"/>
        <v>27047.800000000003</v>
      </c>
      <c r="Q313" s="97">
        <f t="shared" si="62"/>
        <v>0</v>
      </c>
    </row>
    <row r="314" spans="1:17" ht="47.25" x14ac:dyDescent="0.2">
      <c r="A314" s="40"/>
      <c r="B314" s="113" t="s">
        <v>345</v>
      </c>
      <c r="C314" s="113" t="s">
        <v>51</v>
      </c>
      <c r="D314" s="133" t="s">
        <v>321</v>
      </c>
      <c r="E314" s="133" t="s">
        <v>346</v>
      </c>
      <c r="F314" s="134" t="s">
        <v>11</v>
      </c>
      <c r="G314" s="111">
        <f>G315+G316</f>
        <v>11283.6</v>
      </c>
      <c r="H314" s="111">
        <f>SUM(H315+H316)</f>
        <v>-678</v>
      </c>
      <c r="I314" s="111">
        <f>I315+I316</f>
        <v>10605.6</v>
      </c>
      <c r="J314" s="114">
        <f>J315+J316</f>
        <v>0</v>
      </c>
      <c r="K314" s="111"/>
      <c r="L314" s="114">
        <f>L315+L316</f>
        <v>0</v>
      </c>
      <c r="M314" s="111">
        <f>M315+M316</f>
        <v>11283.6</v>
      </c>
      <c r="N314" s="111">
        <f>N315+N316</f>
        <v>-678</v>
      </c>
      <c r="O314" s="111">
        <f>O315+O316</f>
        <v>10605.6</v>
      </c>
      <c r="P314" s="97">
        <f t="shared" si="61"/>
        <v>10605.6</v>
      </c>
      <c r="Q314" s="97">
        <f t="shared" si="62"/>
        <v>0</v>
      </c>
    </row>
    <row r="315" spans="1:17" ht="31.5" x14ac:dyDescent="0.2">
      <c r="A315" s="40"/>
      <c r="B315" s="113" t="s">
        <v>40</v>
      </c>
      <c r="C315" s="113" t="s">
        <v>51</v>
      </c>
      <c r="D315" s="133" t="s">
        <v>321</v>
      </c>
      <c r="E315" s="133" t="s">
        <v>346</v>
      </c>
      <c r="F315" s="134" t="s">
        <v>41</v>
      </c>
      <c r="G315" s="111">
        <v>3240</v>
      </c>
      <c r="H315" s="111"/>
      <c r="I315" s="111">
        <f>SUM(G315)+H315</f>
        <v>3240</v>
      </c>
      <c r="J315" s="115">
        <v>0</v>
      </c>
      <c r="K315" s="111">
        <f>2803.6+840-1820-983.6-840</f>
        <v>0</v>
      </c>
      <c r="L315" s="115">
        <v>0</v>
      </c>
      <c r="M315" s="111">
        <f>SUM(G315)</f>
        <v>3240</v>
      </c>
      <c r="N315" s="111">
        <f>SUM(H315)</f>
        <v>0</v>
      </c>
      <c r="O315" s="111">
        <f>SUM(I315)</f>
        <v>3240</v>
      </c>
      <c r="P315" s="97">
        <f t="shared" si="61"/>
        <v>3240</v>
      </c>
      <c r="Q315" s="97">
        <f t="shared" si="62"/>
        <v>0</v>
      </c>
    </row>
    <row r="316" spans="1:17" ht="31.5" x14ac:dyDescent="0.2">
      <c r="A316" s="40"/>
      <c r="B316" s="113" t="s">
        <v>225</v>
      </c>
      <c r="C316" s="113" t="s">
        <v>51</v>
      </c>
      <c r="D316" s="133" t="s">
        <v>321</v>
      </c>
      <c r="E316" s="133" t="s">
        <v>346</v>
      </c>
      <c r="F316" s="134" t="s">
        <v>226</v>
      </c>
      <c r="G316" s="111">
        <v>8043.6</v>
      </c>
      <c r="H316" s="111">
        <v>-678</v>
      </c>
      <c r="I316" s="111">
        <f>SUM(G316)+R317+H316</f>
        <v>7365.6</v>
      </c>
      <c r="J316" s="115">
        <v>0</v>
      </c>
      <c r="K316" s="111"/>
      <c r="L316" s="115">
        <v>0</v>
      </c>
      <c r="M316" s="111">
        <f>SUM(G316)</f>
        <v>8043.6</v>
      </c>
      <c r="N316" s="111">
        <f>SUM(H316)</f>
        <v>-678</v>
      </c>
      <c r="O316" s="111">
        <f>SUM(M316)+N316</f>
        <v>7365.6</v>
      </c>
      <c r="P316" s="97">
        <f t="shared" si="61"/>
        <v>7365.6</v>
      </c>
      <c r="Q316" s="97">
        <f t="shared" si="62"/>
        <v>0</v>
      </c>
    </row>
    <row r="317" spans="1:17" ht="15.75" x14ac:dyDescent="0.2">
      <c r="A317" s="40"/>
      <c r="B317" s="113" t="s">
        <v>347</v>
      </c>
      <c r="C317" s="113" t="s">
        <v>51</v>
      </c>
      <c r="D317" s="133" t="s">
        <v>321</v>
      </c>
      <c r="E317" s="133" t="s">
        <v>348</v>
      </c>
      <c r="F317" s="134" t="s">
        <v>11</v>
      </c>
      <c r="G317" s="111">
        <f>G318</f>
        <v>16442.2</v>
      </c>
      <c r="H317" s="111">
        <f>SUM(H318)</f>
        <v>0</v>
      </c>
      <c r="I317" s="111">
        <f>I318</f>
        <v>16442.2</v>
      </c>
      <c r="J317" s="114">
        <f>J318</f>
        <v>101001.5</v>
      </c>
      <c r="K317" s="119"/>
      <c r="L317" s="114">
        <f>L318</f>
        <v>101001.5</v>
      </c>
      <c r="M317" s="111">
        <f>M318</f>
        <v>117443.7</v>
      </c>
      <c r="N317" s="111">
        <f>N318</f>
        <v>0</v>
      </c>
      <c r="O317" s="111">
        <f>O318</f>
        <v>117443.7</v>
      </c>
      <c r="P317" s="97">
        <f t="shared" si="61"/>
        <v>16442.2</v>
      </c>
      <c r="Q317" s="97">
        <f t="shared" si="62"/>
        <v>0</v>
      </c>
    </row>
    <row r="318" spans="1:17" ht="31.5" x14ac:dyDescent="0.2">
      <c r="A318" s="40"/>
      <c r="B318" s="113" t="s">
        <v>225</v>
      </c>
      <c r="C318" s="113" t="s">
        <v>51</v>
      </c>
      <c r="D318" s="133" t="s">
        <v>321</v>
      </c>
      <c r="E318" s="133" t="s">
        <v>348</v>
      </c>
      <c r="F318" s="134" t="s">
        <v>226</v>
      </c>
      <c r="G318" s="111">
        <v>16442.2</v>
      </c>
      <c r="H318" s="111"/>
      <c r="I318" s="111">
        <v>16442.2</v>
      </c>
      <c r="J318" s="115">
        <v>101001.5</v>
      </c>
      <c r="K318" s="119"/>
      <c r="L318" s="115">
        <f>SUM(J318)+K318</f>
        <v>101001.5</v>
      </c>
      <c r="M318" s="111">
        <f>SUM(G318+J318)</f>
        <v>117443.7</v>
      </c>
      <c r="N318" s="111">
        <f>SUM(H318+K318)</f>
        <v>0</v>
      </c>
      <c r="O318" s="111">
        <f>SUM(I318+L318)</f>
        <v>117443.7</v>
      </c>
      <c r="P318" s="97">
        <f t="shared" si="61"/>
        <v>16442.2</v>
      </c>
      <c r="Q318" s="97">
        <f t="shared" si="62"/>
        <v>0</v>
      </c>
    </row>
    <row r="319" spans="1:17" ht="15.75" x14ac:dyDescent="0.2">
      <c r="A319" s="40"/>
      <c r="B319" s="118" t="s">
        <v>580</v>
      </c>
      <c r="C319" s="118" t="s">
        <v>51</v>
      </c>
      <c r="D319" s="136" t="s">
        <v>321</v>
      </c>
      <c r="E319" s="136" t="s">
        <v>579</v>
      </c>
      <c r="F319" s="141"/>
      <c r="G319" s="111">
        <f>G320</f>
        <v>0</v>
      </c>
      <c r="H319" s="111">
        <f t="shared" ref="H319:O320" si="70">H320</f>
        <v>0</v>
      </c>
      <c r="I319" s="120">
        <f t="shared" si="70"/>
        <v>0</v>
      </c>
      <c r="J319" s="114">
        <f t="shared" si="70"/>
        <v>0</v>
      </c>
      <c r="K319" s="114">
        <f t="shared" si="70"/>
        <v>0</v>
      </c>
      <c r="L319" s="119">
        <f t="shared" si="70"/>
        <v>0</v>
      </c>
      <c r="M319" s="111">
        <f t="shared" si="70"/>
        <v>0</v>
      </c>
      <c r="N319" s="111">
        <f t="shared" si="70"/>
        <v>0</v>
      </c>
      <c r="O319" s="111">
        <f t="shared" si="70"/>
        <v>0</v>
      </c>
      <c r="P319" s="97">
        <f t="shared" si="61"/>
        <v>0</v>
      </c>
      <c r="Q319" s="97">
        <f t="shared" si="62"/>
        <v>0</v>
      </c>
    </row>
    <row r="320" spans="1:17" ht="31.5" x14ac:dyDescent="0.2">
      <c r="A320" s="40"/>
      <c r="B320" s="118" t="s">
        <v>581</v>
      </c>
      <c r="C320" s="118" t="s">
        <v>51</v>
      </c>
      <c r="D320" s="136" t="s">
        <v>321</v>
      </c>
      <c r="E320" s="136" t="s">
        <v>578</v>
      </c>
      <c r="F320" s="141"/>
      <c r="G320" s="111">
        <f>G321</f>
        <v>0</v>
      </c>
      <c r="H320" s="111">
        <f t="shared" si="70"/>
        <v>0</v>
      </c>
      <c r="I320" s="120">
        <f t="shared" si="70"/>
        <v>0</v>
      </c>
      <c r="J320" s="114">
        <f t="shared" si="70"/>
        <v>0</v>
      </c>
      <c r="K320" s="114">
        <f t="shared" si="70"/>
        <v>0</v>
      </c>
      <c r="L320" s="119">
        <f t="shared" si="70"/>
        <v>0</v>
      </c>
      <c r="M320" s="111">
        <f t="shared" si="70"/>
        <v>0</v>
      </c>
      <c r="N320" s="111">
        <f t="shared" si="70"/>
        <v>0</v>
      </c>
      <c r="O320" s="111">
        <f t="shared" si="70"/>
        <v>0</v>
      </c>
      <c r="P320" s="97">
        <f t="shared" si="61"/>
        <v>0</v>
      </c>
      <c r="Q320" s="97">
        <f t="shared" si="62"/>
        <v>0</v>
      </c>
    </row>
    <row r="321" spans="1:17" ht="15.75" x14ac:dyDescent="0.2">
      <c r="A321" s="40"/>
      <c r="B321" s="113" t="s">
        <v>349</v>
      </c>
      <c r="C321" s="113">
        <v>992</v>
      </c>
      <c r="D321" s="133" t="s">
        <v>321</v>
      </c>
      <c r="E321" s="133">
        <v>1120121140</v>
      </c>
      <c r="F321" s="134"/>
      <c r="G321" s="111">
        <f>SUM(G323)</f>
        <v>0</v>
      </c>
      <c r="H321" s="111">
        <f>SUM(H323)</f>
        <v>0</v>
      </c>
      <c r="I321" s="111">
        <f>SUM(G321:H321)</f>
        <v>0</v>
      </c>
      <c r="J321" s="115"/>
      <c r="K321" s="111"/>
      <c r="L321" s="115"/>
      <c r="M321" s="111">
        <f>SUM(G321)</f>
        <v>0</v>
      </c>
      <c r="N321" s="111">
        <f t="shared" ref="N321:O323" si="71">SUM(H321)</f>
        <v>0</v>
      </c>
      <c r="O321" s="111">
        <f t="shared" si="71"/>
        <v>0</v>
      </c>
      <c r="P321" s="97">
        <f t="shared" si="61"/>
        <v>0</v>
      </c>
      <c r="Q321" s="97">
        <f t="shared" si="62"/>
        <v>0</v>
      </c>
    </row>
    <row r="322" spans="1:17" ht="25.9" hidden="1" customHeight="1" x14ac:dyDescent="0.2">
      <c r="A322" s="40"/>
      <c r="B322" s="113"/>
      <c r="C322" s="113">
        <v>992</v>
      </c>
      <c r="D322" s="133" t="s">
        <v>321</v>
      </c>
      <c r="E322" s="133">
        <v>1120121140</v>
      </c>
      <c r="F322" s="134">
        <v>400</v>
      </c>
      <c r="G322" s="111"/>
      <c r="H322" s="111">
        <f>SUM(H323)</f>
        <v>0</v>
      </c>
      <c r="I322" s="111">
        <f>SUM(H322)</f>
        <v>0</v>
      </c>
      <c r="J322" s="115"/>
      <c r="K322" s="111"/>
      <c r="L322" s="115"/>
      <c r="M322" s="111"/>
      <c r="N322" s="111">
        <f t="shared" si="71"/>
        <v>0</v>
      </c>
      <c r="O322" s="111">
        <f t="shared" si="71"/>
        <v>0</v>
      </c>
      <c r="P322" s="97">
        <f t="shared" si="61"/>
        <v>0</v>
      </c>
      <c r="Q322" s="97">
        <f t="shared" si="62"/>
        <v>0</v>
      </c>
    </row>
    <row r="323" spans="1:17" ht="31.5" x14ac:dyDescent="0.2">
      <c r="A323" s="40"/>
      <c r="B323" s="113" t="s">
        <v>225</v>
      </c>
      <c r="C323" s="113">
        <v>992</v>
      </c>
      <c r="D323" s="133" t="s">
        <v>321</v>
      </c>
      <c r="E323" s="133">
        <v>1120121140</v>
      </c>
      <c r="F323" s="134">
        <v>400</v>
      </c>
      <c r="G323" s="111">
        <v>0</v>
      </c>
      <c r="H323" s="111"/>
      <c r="I323" s="111">
        <f>SUM(G323:H323)</f>
        <v>0</v>
      </c>
      <c r="J323" s="115"/>
      <c r="K323" s="111"/>
      <c r="L323" s="115"/>
      <c r="M323" s="111">
        <f>SUM(G323)</f>
        <v>0</v>
      </c>
      <c r="N323" s="111">
        <f t="shared" si="71"/>
        <v>0</v>
      </c>
      <c r="O323" s="111">
        <f t="shared" si="71"/>
        <v>0</v>
      </c>
      <c r="P323" s="97">
        <f t="shared" si="61"/>
        <v>0</v>
      </c>
      <c r="Q323" s="97">
        <f t="shared" si="62"/>
        <v>0</v>
      </c>
    </row>
    <row r="324" spans="1:17" ht="15.75" x14ac:dyDescent="0.2">
      <c r="A324" s="40"/>
      <c r="B324" s="135" t="s">
        <v>350</v>
      </c>
      <c r="C324" s="113">
        <v>992</v>
      </c>
      <c r="D324" s="133" t="s">
        <v>321</v>
      </c>
      <c r="E324" s="133">
        <v>1130000000</v>
      </c>
      <c r="F324" s="134"/>
      <c r="G324" s="111">
        <f>SUM(G325)</f>
        <v>15943</v>
      </c>
      <c r="H324" s="111">
        <f>H325</f>
        <v>678</v>
      </c>
      <c r="I324" s="111">
        <f>SUM(I325)</f>
        <v>16621</v>
      </c>
      <c r="J324" s="111">
        <f t="shared" ref="J324:M325" si="72">SUM(J325)</f>
        <v>5000</v>
      </c>
      <c r="K324" s="111">
        <f t="shared" si="72"/>
        <v>0</v>
      </c>
      <c r="L324" s="111">
        <f t="shared" si="72"/>
        <v>5000</v>
      </c>
      <c r="M324" s="111">
        <f t="shared" si="72"/>
        <v>20943</v>
      </c>
      <c r="N324" s="111">
        <f>SUM(H324)+K324</f>
        <v>678</v>
      </c>
      <c r="O324" s="111">
        <f>SUM(O325)</f>
        <v>21621</v>
      </c>
      <c r="P324" s="97">
        <f t="shared" si="61"/>
        <v>16621</v>
      </c>
      <c r="Q324" s="97">
        <f t="shared" si="62"/>
        <v>0</v>
      </c>
    </row>
    <row r="325" spans="1:17" ht="47.25" x14ac:dyDescent="0.2">
      <c r="A325" s="40"/>
      <c r="B325" s="135" t="s">
        <v>351</v>
      </c>
      <c r="C325" s="113">
        <v>992</v>
      </c>
      <c r="D325" s="133" t="s">
        <v>321</v>
      </c>
      <c r="E325" s="133">
        <v>1130100000</v>
      </c>
      <c r="F325" s="134"/>
      <c r="G325" s="111">
        <f>SUM(G326)</f>
        <v>15943</v>
      </c>
      <c r="H325" s="111">
        <f>H326</f>
        <v>678</v>
      </c>
      <c r="I325" s="111">
        <f>SUM(I326)</f>
        <v>16621</v>
      </c>
      <c r="J325" s="111">
        <f>SUM(J326)+J329</f>
        <v>5000</v>
      </c>
      <c r="K325" s="111">
        <f t="shared" si="72"/>
        <v>0</v>
      </c>
      <c r="L325" s="111">
        <f>SUM(L326)+L329</f>
        <v>5000</v>
      </c>
      <c r="M325" s="111">
        <f>SUM(M326)+M329</f>
        <v>20943</v>
      </c>
      <c r="N325" s="111">
        <f>SUM(H325)+K325+N329</f>
        <v>678</v>
      </c>
      <c r="O325" s="111">
        <f>SUM(O326)+O329</f>
        <v>21621</v>
      </c>
      <c r="P325" s="97">
        <f t="shared" si="61"/>
        <v>16621</v>
      </c>
      <c r="Q325" s="97">
        <f t="shared" si="62"/>
        <v>0</v>
      </c>
    </row>
    <row r="326" spans="1:17" ht="15.75" x14ac:dyDescent="0.2">
      <c r="A326" s="40"/>
      <c r="B326" s="135" t="s">
        <v>582</v>
      </c>
      <c r="C326" s="113">
        <v>992</v>
      </c>
      <c r="D326" s="133" t="s">
        <v>321</v>
      </c>
      <c r="E326" s="133">
        <v>1130121070</v>
      </c>
      <c r="F326" s="134"/>
      <c r="G326" s="111">
        <f>SUM(G328)+G327</f>
        <v>15943</v>
      </c>
      <c r="H326" s="111">
        <f>H327+H328</f>
        <v>678</v>
      </c>
      <c r="I326" s="111">
        <f>SUM(G326:H326)</f>
        <v>16621</v>
      </c>
      <c r="J326" s="115"/>
      <c r="K326" s="111"/>
      <c r="L326" s="115">
        <f>SUM(J326)</f>
        <v>0</v>
      </c>
      <c r="M326" s="111">
        <f>SUM(G326)+J326</f>
        <v>15943</v>
      </c>
      <c r="N326" s="111">
        <f>N327+N328</f>
        <v>678</v>
      </c>
      <c r="O326" s="111">
        <f>SUM(I326)+L326</f>
        <v>16621</v>
      </c>
      <c r="P326" s="97">
        <f t="shared" si="61"/>
        <v>16621</v>
      </c>
      <c r="Q326" s="97">
        <f t="shared" si="62"/>
        <v>0</v>
      </c>
    </row>
    <row r="327" spans="1:17" ht="31.5" x14ac:dyDescent="0.2">
      <c r="A327" s="40"/>
      <c r="B327" s="113" t="s">
        <v>40</v>
      </c>
      <c r="C327" s="113">
        <v>992</v>
      </c>
      <c r="D327" s="133" t="s">
        <v>321</v>
      </c>
      <c r="E327" s="133">
        <v>1130121070</v>
      </c>
      <c r="F327" s="134">
        <v>200</v>
      </c>
      <c r="G327" s="111">
        <v>14129</v>
      </c>
      <c r="H327" s="111">
        <f>678+283.2</f>
        <v>961.2</v>
      </c>
      <c r="I327" s="111">
        <f>SUM(G327:H327)</f>
        <v>15090.2</v>
      </c>
      <c r="J327" s="115"/>
      <c r="K327" s="111"/>
      <c r="L327" s="115">
        <f>SUM(J327)</f>
        <v>0</v>
      </c>
      <c r="M327" s="111">
        <f>SUM(G327)+J327</f>
        <v>14129</v>
      </c>
      <c r="N327" s="111">
        <f>SUM(H327)+K327</f>
        <v>961.2</v>
      </c>
      <c r="O327" s="111">
        <f>SUM(I327)+L327</f>
        <v>15090.2</v>
      </c>
      <c r="P327" s="97">
        <f t="shared" si="61"/>
        <v>15090.2</v>
      </c>
      <c r="Q327" s="97">
        <f t="shared" si="62"/>
        <v>0</v>
      </c>
    </row>
    <row r="328" spans="1:17" ht="31.5" x14ac:dyDescent="0.2">
      <c r="A328" s="40"/>
      <c r="B328" s="113" t="s">
        <v>225</v>
      </c>
      <c r="C328" s="113">
        <v>992</v>
      </c>
      <c r="D328" s="133" t="s">
        <v>321</v>
      </c>
      <c r="E328" s="136" t="s">
        <v>352</v>
      </c>
      <c r="F328" s="134">
        <v>400</v>
      </c>
      <c r="G328" s="111">
        <v>1814</v>
      </c>
      <c r="H328" s="111">
        <v>-283.2</v>
      </c>
      <c r="I328" s="111">
        <f>1814+H328</f>
        <v>1530.8</v>
      </c>
      <c r="J328" s="115"/>
      <c r="K328" s="109"/>
      <c r="L328" s="115"/>
      <c r="M328" s="111">
        <f>SUM(G328)</f>
        <v>1814</v>
      </c>
      <c r="N328" s="111">
        <f>SUM(H328)</f>
        <v>-283.2</v>
      </c>
      <c r="O328" s="111">
        <f>SUM(I328)</f>
        <v>1530.8</v>
      </c>
      <c r="P328" s="97">
        <f t="shared" si="61"/>
        <v>1530.8</v>
      </c>
      <c r="Q328" s="97">
        <f t="shared" si="62"/>
        <v>0</v>
      </c>
    </row>
    <row r="329" spans="1:17" ht="31.5" x14ac:dyDescent="0.2">
      <c r="A329" s="40"/>
      <c r="B329" s="113" t="s">
        <v>603</v>
      </c>
      <c r="C329" s="113">
        <v>992</v>
      </c>
      <c r="D329" s="133" t="s">
        <v>321</v>
      </c>
      <c r="E329" s="136" t="s">
        <v>602</v>
      </c>
      <c r="F329" s="134"/>
      <c r="G329" s="111"/>
      <c r="H329" s="111"/>
      <c r="I329" s="111"/>
      <c r="J329" s="115">
        <v>5000</v>
      </c>
      <c r="K329" s="109"/>
      <c r="L329" s="121">
        <v>5000</v>
      </c>
      <c r="M329" s="121">
        <v>5000</v>
      </c>
      <c r="N329" s="111"/>
      <c r="O329" s="111">
        <f>SUM(M329)</f>
        <v>5000</v>
      </c>
      <c r="P329" s="97">
        <f t="shared" si="61"/>
        <v>0</v>
      </c>
      <c r="Q329" s="97">
        <f t="shared" si="62"/>
        <v>0</v>
      </c>
    </row>
    <row r="330" spans="1:17" ht="31.5" x14ac:dyDescent="0.2">
      <c r="A330" s="40"/>
      <c r="B330" s="113" t="s">
        <v>40</v>
      </c>
      <c r="C330" s="113">
        <v>992</v>
      </c>
      <c r="D330" s="133" t="s">
        <v>321</v>
      </c>
      <c r="E330" s="136" t="s">
        <v>602</v>
      </c>
      <c r="F330" s="134">
        <v>200</v>
      </c>
      <c r="G330" s="111"/>
      <c r="H330" s="111"/>
      <c r="I330" s="111"/>
      <c r="J330" s="115">
        <v>5000</v>
      </c>
      <c r="K330" s="109"/>
      <c r="L330" s="121">
        <v>5000</v>
      </c>
      <c r="M330" s="121">
        <v>5000</v>
      </c>
      <c r="N330" s="111"/>
      <c r="O330" s="111">
        <f>SUM(M330)</f>
        <v>5000</v>
      </c>
      <c r="P330" s="97">
        <f t="shared" si="61"/>
        <v>0</v>
      </c>
      <c r="Q330" s="97">
        <f t="shared" si="62"/>
        <v>0</v>
      </c>
    </row>
    <row r="331" spans="1:17" ht="15.75" x14ac:dyDescent="0.2">
      <c r="A331" s="33" t="s">
        <v>353</v>
      </c>
      <c r="B331" s="110" t="s">
        <v>354</v>
      </c>
      <c r="C331" s="110" t="s">
        <v>51</v>
      </c>
      <c r="D331" s="131" t="s">
        <v>355</v>
      </c>
      <c r="E331" s="131" t="s">
        <v>11</v>
      </c>
      <c r="F331" s="132" t="s">
        <v>11</v>
      </c>
      <c r="G331" s="109">
        <f>G332+G373+G380+G367+G387</f>
        <v>81051.399999999994</v>
      </c>
      <c r="H331" s="111">
        <f>H332+Z334+H380+H366</f>
        <v>-64.999999999999091</v>
      </c>
      <c r="I331" s="109">
        <f>I332+I373+I380+I367+I387</f>
        <v>80986.400000000009</v>
      </c>
      <c r="J331" s="112">
        <f>J332+J373+J380+J367</f>
        <v>15057.2</v>
      </c>
      <c r="K331" s="111">
        <f>K332+K367+K373+K387+K380</f>
        <v>0</v>
      </c>
      <c r="L331" s="111">
        <f>L332+L367+L373+L387+L380</f>
        <v>15057.2</v>
      </c>
      <c r="M331" s="109">
        <f>M332+M373+M380+M367+M387</f>
        <v>96108.599999999991</v>
      </c>
      <c r="N331" s="111">
        <f>N332+AF334+N380+N373+N366</f>
        <v>-64.999999999999091</v>
      </c>
      <c r="O331" s="109">
        <f>O332+O373+O380+O367+O387</f>
        <v>96043.599999999991</v>
      </c>
      <c r="P331" s="97">
        <f t="shared" si="61"/>
        <v>80986.399999999994</v>
      </c>
      <c r="Q331" s="97">
        <f t="shared" si="62"/>
        <v>0</v>
      </c>
    </row>
    <row r="332" spans="1:17" ht="31.5" x14ac:dyDescent="0.2">
      <c r="A332" s="40"/>
      <c r="B332" s="113" t="s">
        <v>245</v>
      </c>
      <c r="C332" s="113" t="s">
        <v>51</v>
      </c>
      <c r="D332" s="133" t="s">
        <v>355</v>
      </c>
      <c r="E332" s="133" t="s">
        <v>246</v>
      </c>
      <c r="F332" s="134" t="s">
        <v>11</v>
      </c>
      <c r="G332" s="111">
        <f>G333+G361</f>
        <v>72975.099999999991</v>
      </c>
      <c r="H332" s="111">
        <f>H333+H361</f>
        <v>-64.999999999999091</v>
      </c>
      <c r="I332" s="111">
        <f>I333+I361</f>
        <v>72910.100000000006</v>
      </c>
      <c r="J332" s="114">
        <f t="shared" ref="G332:O333" si="73">J333</f>
        <v>11157.2</v>
      </c>
      <c r="K332" s="111">
        <f t="shared" si="73"/>
        <v>0</v>
      </c>
      <c r="L332" s="114">
        <f t="shared" si="73"/>
        <v>11157.2</v>
      </c>
      <c r="M332" s="111">
        <f>SUM(G332+J332)</f>
        <v>84132.299999999988</v>
      </c>
      <c r="N332" s="111">
        <f>N333+N361</f>
        <v>-64.999999999999091</v>
      </c>
      <c r="O332" s="111">
        <f>O333+O361</f>
        <v>84067.299999999988</v>
      </c>
      <c r="P332" s="97">
        <f t="shared" si="61"/>
        <v>72910.099999999991</v>
      </c>
      <c r="Q332" s="97">
        <f t="shared" si="62"/>
        <v>0</v>
      </c>
    </row>
    <row r="333" spans="1:17" ht="15.75" x14ac:dyDescent="0.2">
      <c r="A333" s="40"/>
      <c r="B333" s="113" t="s">
        <v>356</v>
      </c>
      <c r="C333" s="113" t="s">
        <v>51</v>
      </c>
      <c r="D333" s="133" t="s">
        <v>355</v>
      </c>
      <c r="E333" s="133" t="s">
        <v>357</v>
      </c>
      <c r="F333" s="134" t="s">
        <v>11</v>
      </c>
      <c r="G333" s="111">
        <f t="shared" si="73"/>
        <v>69625.099999999991</v>
      </c>
      <c r="H333" s="111">
        <f t="shared" si="73"/>
        <v>-64.999999999999091</v>
      </c>
      <c r="I333" s="111">
        <f t="shared" si="73"/>
        <v>69560.100000000006</v>
      </c>
      <c r="J333" s="114">
        <f t="shared" si="73"/>
        <v>11157.2</v>
      </c>
      <c r="K333" s="111">
        <f>K334+K336+K338+K340+K342+K348</f>
        <v>0</v>
      </c>
      <c r="L333" s="114">
        <f t="shared" si="73"/>
        <v>11157.2</v>
      </c>
      <c r="M333" s="111">
        <f t="shared" si="73"/>
        <v>80782.299999999988</v>
      </c>
      <c r="N333" s="111">
        <f t="shared" si="73"/>
        <v>-64.999999999999091</v>
      </c>
      <c r="O333" s="111">
        <f t="shared" si="73"/>
        <v>80717.299999999988</v>
      </c>
      <c r="P333" s="97">
        <f t="shared" si="61"/>
        <v>69560.099999999991</v>
      </c>
      <c r="Q333" s="97">
        <f t="shared" si="62"/>
        <v>0</v>
      </c>
    </row>
    <row r="334" spans="1:17" ht="47.25" x14ac:dyDescent="0.2">
      <c r="A334" s="40"/>
      <c r="B334" s="113" t="s">
        <v>358</v>
      </c>
      <c r="C334" s="113" t="s">
        <v>51</v>
      </c>
      <c r="D334" s="133" t="s">
        <v>355</v>
      </c>
      <c r="E334" s="133" t="s">
        <v>359</v>
      </c>
      <c r="F334" s="134" t="s">
        <v>11</v>
      </c>
      <c r="G334" s="111">
        <f>G335+G337+G339+G341+G347+G349+G343+G359+G357+G355</f>
        <v>69625.099999999991</v>
      </c>
      <c r="H334" s="111">
        <f>H335+H337+H339+H341+H347+H349+H343+H359+H357+H355+H345</f>
        <v>-64.999999999999091</v>
      </c>
      <c r="I334" s="111">
        <f>I335+I337+I339+I341+I347+I349+I343+I359+I357+I355</f>
        <v>69560.100000000006</v>
      </c>
      <c r="J334" s="114">
        <f>J335+J337+J339+J341+J343+J345+J347+J349+J355+J357+J359</f>
        <v>11157.2</v>
      </c>
      <c r="K334" s="111">
        <f>SUM(K359)+K355+K357+K345</f>
        <v>0</v>
      </c>
      <c r="L334" s="114">
        <f>L335+L337+L339+L341+L343+L345+L347+L349+L355+L357+L359</f>
        <v>11157.2</v>
      </c>
      <c r="M334" s="114">
        <f t="shared" ref="M334:O334" si="74">M335+M337+M339+M341+M343+M345+M347+M349+M355+M357+M359</f>
        <v>80782.299999999988</v>
      </c>
      <c r="N334" s="114">
        <f>N335+N337+N339+N341+N343+N345+N347+N349+N355+N357+N359</f>
        <v>-64.999999999999091</v>
      </c>
      <c r="O334" s="114">
        <f t="shared" si="74"/>
        <v>80717.299999999988</v>
      </c>
      <c r="P334" s="97">
        <f t="shared" si="61"/>
        <v>69560.099999999991</v>
      </c>
      <c r="Q334" s="97">
        <f t="shared" si="62"/>
        <v>0</v>
      </c>
    </row>
    <row r="335" spans="1:17" ht="15.75" x14ac:dyDescent="0.2">
      <c r="A335" s="40"/>
      <c r="B335" s="113" t="s">
        <v>360</v>
      </c>
      <c r="C335" s="113" t="s">
        <v>51</v>
      </c>
      <c r="D335" s="133" t="s">
        <v>355</v>
      </c>
      <c r="E335" s="133" t="s">
        <v>361</v>
      </c>
      <c r="F335" s="134" t="s">
        <v>11</v>
      </c>
      <c r="G335" s="111">
        <f>G336</f>
        <v>23600.3</v>
      </c>
      <c r="H335" s="111">
        <f>H336</f>
        <v>3290.4</v>
      </c>
      <c r="I335" s="111">
        <f>I336</f>
        <v>26890.7</v>
      </c>
      <c r="J335" s="114">
        <f>J336</f>
        <v>0</v>
      </c>
      <c r="K335" s="111"/>
      <c r="L335" s="114">
        <f>L336</f>
        <v>0</v>
      </c>
      <c r="M335" s="111">
        <f>M336</f>
        <v>23600.3</v>
      </c>
      <c r="N335" s="111">
        <f>N336</f>
        <v>3290.4</v>
      </c>
      <c r="O335" s="111">
        <f>O336</f>
        <v>26890.7</v>
      </c>
      <c r="P335" s="97">
        <f t="shared" si="61"/>
        <v>26890.7</v>
      </c>
      <c r="Q335" s="97">
        <f t="shared" si="62"/>
        <v>0</v>
      </c>
    </row>
    <row r="336" spans="1:17" ht="31.5" x14ac:dyDescent="0.2">
      <c r="A336" s="40"/>
      <c r="B336" s="113" t="s">
        <v>40</v>
      </c>
      <c r="C336" s="113" t="s">
        <v>51</v>
      </c>
      <c r="D336" s="133" t="s">
        <v>355</v>
      </c>
      <c r="E336" s="133" t="s">
        <v>361</v>
      </c>
      <c r="F336" s="134" t="s">
        <v>41</v>
      </c>
      <c r="G336" s="111">
        <v>23600.3</v>
      </c>
      <c r="H336" s="111">
        <f>2890.4+400</f>
        <v>3290.4</v>
      </c>
      <c r="I336" s="111">
        <f>SUM(G336)+H336</f>
        <v>26890.7</v>
      </c>
      <c r="J336" s="115"/>
      <c r="K336" s="111"/>
      <c r="L336" s="115"/>
      <c r="M336" s="111">
        <f>SUM(G336)</f>
        <v>23600.3</v>
      </c>
      <c r="N336" s="111">
        <f>SUM(H336)+K336</f>
        <v>3290.4</v>
      </c>
      <c r="O336" s="111">
        <f>SUM(I336)</f>
        <v>26890.7</v>
      </c>
      <c r="P336" s="97">
        <f t="shared" si="61"/>
        <v>26890.7</v>
      </c>
      <c r="Q336" s="97">
        <f t="shared" si="62"/>
        <v>0</v>
      </c>
    </row>
    <row r="337" spans="1:17" ht="15.75" x14ac:dyDescent="0.2">
      <c r="A337" s="40"/>
      <c r="B337" s="113" t="s">
        <v>362</v>
      </c>
      <c r="C337" s="113" t="s">
        <v>51</v>
      </c>
      <c r="D337" s="133" t="s">
        <v>355</v>
      </c>
      <c r="E337" s="133" t="s">
        <v>363</v>
      </c>
      <c r="F337" s="134" t="s">
        <v>11</v>
      </c>
      <c r="G337" s="111">
        <f>G338</f>
        <v>16928.8</v>
      </c>
      <c r="H337" s="111">
        <f>H338</f>
        <v>-125.2</v>
      </c>
      <c r="I337" s="111">
        <f>I338</f>
        <v>16803.599999999999</v>
      </c>
      <c r="J337" s="114">
        <f>J338</f>
        <v>75</v>
      </c>
      <c r="K337" s="111">
        <f>SUM(K338)</f>
        <v>0</v>
      </c>
      <c r="L337" s="114">
        <f>L338</f>
        <v>75</v>
      </c>
      <c r="M337" s="111">
        <f>M338</f>
        <v>17003.8</v>
      </c>
      <c r="N337" s="111">
        <f>N338</f>
        <v>-125.2</v>
      </c>
      <c r="O337" s="111">
        <f>O338</f>
        <v>16878.599999999999</v>
      </c>
      <c r="P337" s="97">
        <f t="shared" si="61"/>
        <v>16803.599999999999</v>
      </c>
      <c r="Q337" s="97">
        <f t="shared" si="62"/>
        <v>0</v>
      </c>
    </row>
    <row r="338" spans="1:17" ht="31.5" x14ac:dyDescent="0.2">
      <c r="A338" s="40"/>
      <c r="B338" s="113" t="s">
        <v>40</v>
      </c>
      <c r="C338" s="113" t="s">
        <v>51</v>
      </c>
      <c r="D338" s="133" t="s">
        <v>355</v>
      </c>
      <c r="E338" s="133" t="s">
        <v>363</v>
      </c>
      <c r="F338" s="134" t="s">
        <v>41</v>
      </c>
      <c r="G338" s="111">
        <v>16928.8</v>
      </c>
      <c r="H338" s="111">
        <v>-125.2</v>
      </c>
      <c r="I338" s="111">
        <f>SUM(G338)+H338</f>
        <v>16803.599999999999</v>
      </c>
      <c r="J338" s="115">
        <v>75</v>
      </c>
      <c r="K338" s="111"/>
      <c r="L338" s="111">
        <f>SUM(J338)</f>
        <v>75</v>
      </c>
      <c r="M338" s="111">
        <f>SUM(G338+J338)</f>
        <v>17003.8</v>
      </c>
      <c r="N338" s="111">
        <f>SUM(H338)+K338</f>
        <v>-125.2</v>
      </c>
      <c r="O338" s="111">
        <f>SUM(I338+L338)</f>
        <v>16878.599999999999</v>
      </c>
      <c r="P338" s="97">
        <f t="shared" si="61"/>
        <v>16803.599999999999</v>
      </c>
      <c r="Q338" s="97">
        <f t="shared" si="62"/>
        <v>0</v>
      </c>
    </row>
    <row r="339" spans="1:17" ht="15.75" x14ac:dyDescent="0.2">
      <c r="A339" s="40"/>
      <c r="B339" s="113" t="s">
        <v>364</v>
      </c>
      <c r="C339" s="113" t="s">
        <v>51</v>
      </c>
      <c r="D339" s="133" t="s">
        <v>355</v>
      </c>
      <c r="E339" s="133" t="s">
        <v>365</v>
      </c>
      <c r="F339" s="134" t="s">
        <v>11</v>
      </c>
      <c r="G339" s="111">
        <f>G340</f>
        <v>3522.9</v>
      </c>
      <c r="H339" s="111">
        <f>H340</f>
        <v>0</v>
      </c>
      <c r="I339" s="111">
        <f>I340</f>
        <v>3522.9</v>
      </c>
      <c r="J339" s="114">
        <f>J340</f>
        <v>0</v>
      </c>
      <c r="K339" s="111"/>
      <c r="L339" s="114">
        <f>L340</f>
        <v>0</v>
      </c>
      <c r="M339" s="111">
        <f>M340</f>
        <v>3522.9</v>
      </c>
      <c r="N339" s="111">
        <f>N340</f>
        <v>0</v>
      </c>
      <c r="O339" s="111">
        <f>O340</f>
        <v>3522.9</v>
      </c>
      <c r="P339" s="97">
        <f t="shared" si="61"/>
        <v>3522.9</v>
      </c>
      <c r="Q339" s="97">
        <f t="shared" si="62"/>
        <v>0</v>
      </c>
    </row>
    <row r="340" spans="1:17" ht="31.5" x14ac:dyDescent="0.2">
      <c r="A340" s="40"/>
      <c r="B340" s="113" t="s">
        <v>40</v>
      </c>
      <c r="C340" s="113" t="s">
        <v>51</v>
      </c>
      <c r="D340" s="133" t="s">
        <v>355</v>
      </c>
      <c r="E340" s="133" t="s">
        <v>365</v>
      </c>
      <c r="F340" s="134" t="s">
        <v>41</v>
      </c>
      <c r="G340" s="111">
        <v>3522.9</v>
      </c>
      <c r="H340" s="111"/>
      <c r="I340" s="111">
        <f>G340+H340</f>
        <v>3522.9</v>
      </c>
      <c r="J340" s="115"/>
      <c r="K340" s="111"/>
      <c r="L340" s="115"/>
      <c r="M340" s="111">
        <f>SUM(G340)</f>
        <v>3522.9</v>
      </c>
      <c r="N340" s="111">
        <f>SUM(H340)</f>
        <v>0</v>
      </c>
      <c r="O340" s="111">
        <f>SUM(I340)</f>
        <v>3522.9</v>
      </c>
      <c r="P340" s="97">
        <f t="shared" si="61"/>
        <v>3522.9</v>
      </c>
      <c r="Q340" s="97">
        <f t="shared" si="62"/>
        <v>0</v>
      </c>
    </row>
    <row r="341" spans="1:17" ht="15.75" x14ac:dyDescent="0.2">
      <c r="A341" s="40"/>
      <c r="B341" s="113" t="s">
        <v>366</v>
      </c>
      <c r="C341" s="113" t="s">
        <v>51</v>
      </c>
      <c r="D341" s="133" t="s">
        <v>355</v>
      </c>
      <c r="E341" s="133" t="s">
        <v>367</v>
      </c>
      <c r="F341" s="134" t="s">
        <v>11</v>
      </c>
      <c r="G341" s="111">
        <f>G342</f>
        <v>11370</v>
      </c>
      <c r="H341" s="111">
        <f>H342</f>
        <v>-8166</v>
      </c>
      <c r="I341" s="111">
        <f>I342</f>
        <v>3204</v>
      </c>
      <c r="J341" s="114">
        <f>J342</f>
        <v>0</v>
      </c>
      <c r="K341" s="111"/>
      <c r="L341" s="114">
        <f>L342</f>
        <v>0</v>
      </c>
      <c r="M341" s="111">
        <f>M342</f>
        <v>11370</v>
      </c>
      <c r="N341" s="111">
        <f>N342</f>
        <v>-8166</v>
      </c>
      <c r="O341" s="111">
        <f>O342</f>
        <v>3204</v>
      </c>
      <c r="P341" s="97">
        <f t="shared" si="61"/>
        <v>3204</v>
      </c>
      <c r="Q341" s="97">
        <f t="shared" si="62"/>
        <v>0</v>
      </c>
    </row>
    <row r="342" spans="1:17" ht="31.5" x14ac:dyDescent="0.2">
      <c r="A342" s="40"/>
      <c r="B342" s="113" t="s">
        <v>40</v>
      </c>
      <c r="C342" s="113" t="s">
        <v>51</v>
      </c>
      <c r="D342" s="133" t="s">
        <v>355</v>
      </c>
      <c r="E342" s="133" t="s">
        <v>367</v>
      </c>
      <c r="F342" s="134" t="s">
        <v>41</v>
      </c>
      <c r="G342" s="111">
        <v>11370</v>
      </c>
      <c r="H342" s="111">
        <f>-7598.7-567.3</f>
        <v>-8166</v>
      </c>
      <c r="I342" s="111">
        <f>SUM(G342)+H342</f>
        <v>3204</v>
      </c>
      <c r="J342" s="115"/>
      <c r="K342" s="111"/>
      <c r="L342" s="115"/>
      <c r="M342" s="111">
        <f t="shared" ref="M342:O344" si="75">SUM(G342)</f>
        <v>11370</v>
      </c>
      <c r="N342" s="111">
        <f t="shared" si="75"/>
        <v>-8166</v>
      </c>
      <c r="O342" s="111">
        <f t="shared" si="75"/>
        <v>3204</v>
      </c>
      <c r="P342" s="97">
        <f t="shared" si="61"/>
        <v>3204</v>
      </c>
      <c r="Q342" s="97">
        <f t="shared" si="62"/>
        <v>0</v>
      </c>
    </row>
    <row r="343" spans="1:17" ht="31.5" x14ac:dyDescent="0.2">
      <c r="A343" s="40"/>
      <c r="B343" s="135" t="s">
        <v>368</v>
      </c>
      <c r="C343" s="113">
        <v>992</v>
      </c>
      <c r="D343" s="133" t="s">
        <v>355</v>
      </c>
      <c r="E343" s="136" t="s">
        <v>369</v>
      </c>
      <c r="F343" s="134"/>
      <c r="G343" s="111">
        <v>583.6</v>
      </c>
      <c r="H343" s="111"/>
      <c r="I343" s="111">
        <f>SUM(G343)+H343</f>
        <v>583.6</v>
      </c>
      <c r="J343" s="115"/>
      <c r="K343" s="111"/>
      <c r="L343" s="115"/>
      <c r="M343" s="111">
        <f t="shared" si="75"/>
        <v>583.6</v>
      </c>
      <c r="N343" s="111">
        <f t="shared" si="75"/>
        <v>0</v>
      </c>
      <c r="O343" s="111">
        <f t="shared" si="75"/>
        <v>583.6</v>
      </c>
      <c r="P343" s="97">
        <f t="shared" si="61"/>
        <v>583.6</v>
      </c>
      <c r="Q343" s="97">
        <f t="shared" si="62"/>
        <v>0</v>
      </c>
    </row>
    <row r="344" spans="1:17" ht="31.5" x14ac:dyDescent="0.2">
      <c r="A344" s="40"/>
      <c r="B344" s="113" t="s">
        <v>40</v>
      </c>
      <c r="C344" s="113">
        <v>992</v>
      </c>
      <c r="D344" s="133" t="s">
        <v>355</v>
      </c>
      <c r="E344" s="136" t="s">
        <v>369</v>
      </c>
      <c r="F344" s="134">
        <v>200</v>
      </c>
      <c r="G344" s="111">
        <v>583.6</v>
      </c>
      <c r="H344" s="111"/>
      <c r="I344" s="111">
        <f>SUM(G344)+H344</f>
        <v>583.6</v>
      </c>
      <c r="J344" s="115"/>
      <c r="K344" s="111"/>
      <c r="L344" s="115"/>
      <c r="M344" s="111">
        <f t="shared" si="75"/>
        <v>583.6</v>
      </c>
      <c r="N344" s="111">
        <f t="shared" si="75"/>
        <v>0</v>
      </c>
      <c r="O344" s="111">
        <f t="shared" si="75"/>
        <v>583.6</v>
      </c>
      <c r="P344" s="97">
        <f t="shared" si="61"/>
        <v>583.6</v>
      </c>
      <c r="Q344" s="97">
        <f t="shared" si="62"/>
        <v>0</v>
      </c>
    </row>
    <row r="345" spans="1:17" ht="31.5" x14ac:dyDescent="0.2">
      <c r="A345" s="40"/>
      <c r="B345" s="118" t="s">
        <v>585</v>
      </c>
      <c r="C345" s="118" t="s">
        <v>51</v>
      </c>
      <c r="D345" s="136" t="s">
        <v>355</v>
      </c>
      <c r="E345" s="136" t="s">
        <v>584</v>
      </c>
      <c r="F345" s="141"/>
      <c r="G345" s="111"/>
      <c r="H345" s="111">
        <f t="shared" ref="H345:O345" si="76">H346</f>
        <v>0</v>
      </c>
      <c r="I345" s="111">
        <f t="shared" si="76"/>
        <v>0</v>
      </c>
      <c r="J345" s="115">
        <f t="shared" si="76"/>
        <v>3070</v>
      </c>
      <c r="K345" s="111">
        <f t="shared" si="76"/>
        <v>0</v>
      </c>
      <c r="L345" s="115">
        <f t="shared" si="76"/>
        <v>3070</v>
      </c>
      <c r="M345" s="111">
        <f t="shared" si="76"/>
        <v>3070</v>
      </c>
      <c r="N345" s="111">
        <f t="shared" si="76"/>
        <v>0</v>
      </c>
      <c r="O345" s="111">
        <f t="shared" si="76"/>
        <v>3070</v>
      </c>
      <c r="P345" s="97">
        <f t="shared" si="61"/>
        <v>0</v>
      </c>
      <c r="Q345" s="97">
        <f t="shared" si="62"/>
        <v>0</v>
      </c>
    </row>
    <row r="346" spans="1:17" ht="31.5" x14ac:dyDescent="0.2">
      <c r="A346" s="40"/>
      <c r="B346" s="113" t="s">
        <v>40</v>
      </c>
      <c r="C346" s="118" t="s">
        <v>51</v>
      </c>
      <c r="D346" s="136" t="s">
        <v>355</v>
      </c>
      <c r="E346" s="136" t="s">
        <v>584</v>
      </c>
      <c r="F346" s="141" t="s">
        <v>41</v>
      </c>
      <c r="G346" s="111"/>
      <c r="H346" s="111"/>
      <c r="I346" s="111">
        <f>SUM(G346:H346)</f>
        <v>0</v>
      </c>
      <c r="J346" s="115">
        <v>3070</v>
      </c>
      <c r="K346" s="111"/>
      <c r="L346" s="115">
        <f>SUM(J346:K346)</f>
        <v>3070</v>
      </c>
      <c r="M346" s="111">
        <f>G346+J346</f>
        <v>3070</v>
      </c>
      <c r="N346" s="111">
        <f>H346+K346</f>
        <v>0</v>
      </c>
      <c r="O346" s="111">
        <f>I346+L346</f>
        <v>3070</v>
      </c>
      <c r="P346" s="97">
        <f t="shared" si="61"/>
        <v>0</v>
      </c>
      <c r="Q346" s="97">
        <f t="shared" si="62"/>
        <v>0</v>
      </c>
    </row>
    <row r="347" spans="1:17" ht="31.5" x14ac:dyDescent="0.2">
      <c r="A347" s="40"/>
      <c r="B347" s="113" t="s">
        <v>370</v>
      </c>
      <c r="C347" s="113" t="s">
        <v>51</v>
      </c>
      <c r="D347" s="133" t="s">
        <v>355</v>
      </c>
      <c r="E347" s="133" t="s">
        <v>371</v>
      </c>
      <c r="F347" s="134" t="s">
        <v>11</v>
      </c>
      <c r="G347" s="111">
        <f>G348</f>
        <v>5862.2</v>
      </c>
      <c r="H347" s="111">
        <f>SUM(H348)</f>
        <v>191.3</v>
      </c>
      <c r="I347" s="111">
        <f>I348</f>
        <v>6053.5</v>
      </c>
      <c r="J347" s="114">
        <f>J348</f>
        <v>0</v>
      </c>
      <c r="K347" s="111"/>
      <c r="L347" s="114">
        <f>L348</f>
        <v>0</v>
      </c>
      <c r="M347" s="111">
        <f>M348</f>
        <v>5862.2</v>
      </c>
      <c r="N347" s="111">
        <f>N348</f>
        <v>191.3</v>
      </c>
      <c r="O347" s="111">
        <f>O348</f>
        <v>6053.5</v>
      </c>
      <c r="P347" s="97">
        <f t="shared" si="61"/>
        <v>6053.5</v>
      </c>
      <c r="Q347" s="97">
        <f t="shared" si="62"/>
        <v>0</v>
      </c>
    </row>
    <row r="348" spans="1:17" ht="31.5" x14ac:dyDescent="0.2">
      <c r="A348" s="40"/>
      <c r="B348" s="113" t="s">
        <v>40</v>
      </c>
      <c r="C348" s="113" t="s">
        <v>51</v>
      </c>
      <c r="D348" s="133" t="s">
        <v>355</v>
      </c>
      <c r="E348" s="133" t="s">
        <v>371</v>
      </c>
      <c r="F348" s="134" t="s">
        <v>41</v>
      </c>
      <c r="G348" s="111">
        <v>5862.2</v>
      </c>
      <c r="H348" s="111">
        <v>191.3</v>
      </c>
      <c r="I348" s="111">
        <f>H348+G348</f>
        <v>6053.5</v>
      </c>
      <c r="J348" s="115"/>
      <c r="K348" s="111"/>
      <c r="L348" s="115"/>
      <c r="M348" s="111">
        <f>SUM(G348)</f>
        <v>5862.2</v>
      </c>
      <c r="N348" s="111">
        <f>SUM(H348)</f>
        <v>191.3</v>
      </c>
      <c r="O348" s="111">
        <f>SUM(I348)</f>
        <v>6053.5</v>
      </c>
      <c r="P348" s="97">
        <f t="shared" si="61"/>
        <v>6053.5</v>
      </c>
      <c r="Q348" s="97">
        <f t="shared" si="62"/>
        <v>0</v>
      </c>
    </row>
    <row r="349" spans="1:17" ht="47.25" x14ac:dyDescent="0.2">
      <c r="A349" s="40"/>
      <c r="B349" s="113" t="s">
        <v>372</v>
      </c>
      <c r="C349" s="113" t="s">
        <v>51</v>
      </c>
      <c r="D349" s="133" t="s">
        <v>355</v>
      </c>
      <c r="E349" s="133" t="s">
        <v>373</v>
      </c>
      <c r="F349" s="134" t="s">
        <v>11</v>
      </c>
      <c r="G349" s="111">
        <f>G350</f>
        <v>7690.9</v>
      </c>
      <c r="H349" s="111">
        <f>SUM(H350)</f>
        <v>4744.5</v>
      </c>
      <c r="I349" s="111">
        <f>I350</f>
        <v>12435.4</v>
      </c>
      <c r="J349" s="114">
        <f>J350</f>
        <v>0</v>
      </c>
      <c r="K349" s="111">
        <f>SUM(K350)</f>
        <v>0</v>
      </c>
      <c r="L349" s="114">
        <f>L350</f>
        <v>0</v>
      </c>
      <c r="M349" s="111">
        <f>M350</f>
        <v>7690.9</v>
      </c>
      <c r="N349" s="111">
        <f>N350</f>
        <v>4744.5</v>
      </c>
      <c r="O349" s="111">
        <f>SUM(M349+N349)</f>
        <v>12435.4</v>
      </c>
      <c r="P349" s="97">
        <f t="shared" si="61"/>
        <v>12435.4</v>
      </c>
      <c r="Q349" s="97">
        <f t="shared" si="62"/>
        <v>0</v>
      </c>
    </row>
    <row r="350" spans="1:17" ht="35.25" customHeight="1" x14ac:dyDescent="0.2">
      <c r="A350" s="40"/>
      <c r="B350" s="113" t="s">
        <v>40</v>
      </c>
      <c r="C350" s="113" t="s">
        <v>51</v>
      </c>
      <c r="D350" s="133" t="s">
        <v>355</v>
      </c>
      <c r="E350" s="133" t="s">
        <v>373</v>
      </c>
      <c r="F350" s="134" t="s">
        <v>41</v>
      </c>
      <c r="G350" s="111">
        <v>7690.9</v>
      </c>
      <c r="H350" s="111">
        <f>5144.5-400</f>
        <v>4744.5</v>
      </c>
      <c r="I350" s="111">
        <f>SUM(G350)+H350</f>
        <v>12435.4</v>
      </c>
      <c r="J350" s="115">
        <v>0</v>
      </c>
      <c r="K350" s="111"/>
      <c r="L350" s="115">
        <f>SUM(K350)</f>
        <v>0</v>
      </c>
      <c r="M350" s="111">
        <f>SUM(G350)</f>
        <v>7690.9</v>
      </c>
      <c r="N350" s="111">
        <f>SUM(H350)</f>
        <v>4744.5</v>
      </c>
      <c r="O350" s="111">
        <f>SUM(I350)</f>
        <v>12435.4</v>
      </c>
      <c r="P350" s="97">
        <f t="shared" si="61"/>
        <v>12435.4</v>
      </c>
      <c r="Q350" s="97">
        <f t="shared" si="62"/>
        <v>0</v>
      </c>
    </row>
    <row r="351" spans="1:17" ht="15.75" hidden="1" x14ac:dyDescent="0.2">
      <c r="A351" s="40"/>
      <c r="B351" s="113"/>
      <c r="C351" s="113"/>
      <c r="D351" s="133"/>
      <c r="E351" s="133"/>
      <c r="F351" s="134"/>
      <c r="G351" s="111"/>
      <c r="H351" s="111"/>
      <c r="I351" s="111"/>
      <c r="J351" s="115"/>
      <c r="K351" s="111">
        <v>4251.8</v>
      </c>
      <c r="L351" s="121">
        <f>SUM(K351)</f>
        <v>4251.8</v>
      </c>
      <c r="M351" s="111"/>
      <c r="N351" s="111">
        <f t="shared" ref="N351:O354" si="77">SUM(K351)</f>
        <v>4251.8</v>
      </c>
      <c r="O351" s="111">
        <f t="shared" si="77"/>
        <v>4251.8</v>
      </c>
      <c r="P351" s="97">
        <f t="shared" si="61"/>
        <v>0</v>
      </c>
      <c r="Q351" s="97">
        <f t="shared" si="62"/>
        <v>0</v>
      </c>
    </row>
    <row r="352" spans="1:17" ht="15.75" hidden="1" x14ac:dyDescent="0.2">
      <c r="A352" s="40"/>
      <c r="B352" s="113"/>
      <c r="C352" s="113"/>
      <c r="D352" s="133"/>
      <c r="E352" s="133"/>
      <c r="F352" s="134">
        <v>200</v>
      </c>
      <c r="G352" s="111"/>
      <c r="H352" s="111"/>
      <c r="I352" s="111"/>
      <c r="J352" s="115"/>
      <c r="K352" s="111">
        <v>4251.8</v>
      </c>
      <c r="L352" s="121">
        <f>SUM(K352)</f>
        <v>4251.8</v>
      </c>
      <c r="M352" s="111"/>
      <c r="N352" s="111">
        <f t="shared" si="77"/>
        <v>4251.8</v>
      </c>
      <c r="O352" s="111">
        <f t="shared" si="77"/>
        <v>4251.8</v>
      </c>
      <c r="P352" s="97">
        <f t="shared" si="61"/>
        <v>0</v>
      </c>
      <c r="Q352" s="97">
        <f t="shared" si="62"/>
        <v>0</v>
      </c>
    </row>
    <row r="353" spans="1:17" ht="15.75" hidden="1" x14ac:dyDescent="0.2">
      <c r="A353" s="40"/>
      <c r="B353" s="113"/>
      <c r="C353" s="113"/>
      <c r="D353" s="133"/>
      <c r="E353" s="133"/>
      <c r="F353" s="134"/>
      <c r="G353" s="111"/>
      <c r="H353" s="111"/>
      <c r="I353" s="111"/>
      <c r="J353" s="115"/>
      <c r="K353" s="111">
        <v>5</v>
      </c>
      <c r="L353" s="121">
        <f>SUM(K353)</f>
        <v>5</v>
      </c>
      <c r="M353" s="111"/>
      <c r="N353" s="111">
        <f t="shared" si="77"/>
        <v>5</v>
      </c>
      <c r="O353" s="111">
        <f t="shared" si="77"/>
        <v>5</v>
      </c>
      <c r="P353" s="97">
        <f t="shared" si="61"/>
        <v>0</v>
      </c>
      <c r="Q353" s="97">
        <f t="shared" si="62"/>
        <v>0</v>
      </c>
    </row>
    <row r="354" spans="1:17" ht="15.75" hidden="1" x14ac:dyDescent="0.2">
      <c r="A354" s="40"/>
      <c r="B354" s="113"/>
      <c r="C354" s="113"/>
      <c r="D354" s="133"/>
      <c r="E354" s="133"/>
      <c r="F354" s="134">
        <v>200</v>
      </c>
      <c r="G354" s="111"/>
      <c r="H354" s="111"/>
      <c r="I354" s="111"/>
      <c r="J354" s="115"/>
      <c r="K354" s="111">
        <v>5</v>
      </c>
      <c r="L354" s="121">
        <f>SUM(K354)</f>
        <v>5</v>
      </c>
      <c r="M354" s="111"/>
      <c r="N354" s="111">
        <f t="shared" si="77"/>
        <v>5</v>
      </c>
      <c r="O354" s="111">
        <f t="shared" si="77"/>
        <v>5</v>
      </c>
      <c r="P354" s="97">
        <f t="shared" ref="P354:P417" si="78">G354+H354</f>
        <v>0</v>
      </c>
      <c r="Q354" s="97">
        <f t="shared" ref="Q354:Q417" si="79">I354-P354</f>
        <v>0</v>
      </c>
    </row>
    <row r="355" spans="1:17" ht="63" x14ac:dyDescent="0.2">
      <c r="A355" s="40"/>
      <c r="B355" s="135" t="s">
        <v>572</v>
      </c>
      <c r="C355" s="113">
        <v>992</v>
      </c>
      <c r="D355" s="133" t="s">
        <v>355</v>
      </c>
      <c r="E355" s="136" t="s">
        <v>573</v>
      </c>
      <c r="F355" s="134"/>
      <c r="G355" s="111">
        <v>0</v>
      </c>
      <c r="H355" s="111">
        <f>SUM(H356)</f>
        <v>0</v>
      </c>
      <c r="I355" s="111">
        <f>SUM(G355)</f>
        <v>0</v>
      </c>
      <c r="J355" s="115">
        <v>2500.4</v>
      </c>
      <c r="K355" s="111"/>
      <c r="L355" s="111">
        <f>SUM(L356)</f>
        <v>2500.4</v>
      </c>
      <c r="M355" s="111">
        <f>SUM(G355+J355)</f>
        <v>2500.4</v>
      </c>
      <c r="N355" s="111">
        <f t="shared" ref="N355:O358" si="80">SUM(K355)+H355</f>
        <v>0</v>
      </c>
      <c r="O355" s="111">
        <f t="shared" si="80"/>
        <v>2500.4</v>
      </c>
      <c r="P355" s="97">
        <f t="shared" si="78"/>
        <v>0</v>
      </c>
      <c r="Q355" s="97">
        <f t="shared" si="79"/>
        <v>0</v>
      </c>
    </row>
    <row r="356" spans="1:17" ht="31.5" x14ac:dyDescent="0.2">
      <c r="A356" s="40"/>
      <c r="B356" s="113" t="s">
        <v>40</v>
      </c>
      <c r="C356" s="113">
        <v>992</v>
      </c>
      <c r="D356" s="133" t="s">
        <v>355</v>
      </c>
      <c r="E356" s="136" t="s">
        <v>573</v>
      </c>
      <c r="F356" s="134">
        <v>200</v>
      </c>
      <c r="G356" s="111">
        <v>0</v>
      </c>
      <c r="H356" s="111"/>
      <c r="I356" s="111">
        <f>SUM(G356)</f>
        <v>0</v>
      </c>
      <c r="J356" s="115">
        <v>2500.4</v>
      </c>
      <c r="K356" s="111"/>
      <c r="L356" s="115">
        <v>2500.4</v>
      </c>
      <c r="M356" s="111">
        <f>SUM(G356+J356)</f>
        <v>2500.4</v>
      </c>
      <c r="N356" s="111">
        <f t="shared" si="80"/>
        <v>0</v>
      </c>
      <c r="O356" s="111">
        <f t="shared" si="80"/>
        <v>2500.4</v>
      </c>
      <c r="P356" s="97">
        <f t="shared" si="78"/>
        <v>0</v>
      </c>
      <c r="Q356" s="97">
        <f t="shared" si="79"/>
        <v>0</v>
      </c>
    </row>
    <row r="357" spans="1:17" ht="31.5" x14ac:dyDescent="0.2">
      <c r="A357" s="40"/>
      <c r="B357" s="113" t="s">
        <v>575</v>
      </c>
      <c r="C357" s="113">
        <v>992</v>
      </c>
      <c r="D357" s="133" t="s">
        <v>355</v>
      </c>
      <c r="E357" s="136" t="s">
        <v>574</v>
      </c>
      <c r="F357" s="134"/>
      <c r="G357" s="111"/>
      <c r="H357" s="111"/>
      <c r="I357" s="111">
        <f>SUM(H357)</f>
        <v>0</v>
      </c>
      <c r="J357" s="115">
        <v>4251.8</v>
      </c>
      <c r="K357" s="111"/>
      <c r="L357" s="121">
        <f>SUM(J357)</f>
        <v>4251.8</v>
      </c>
      <c r="M357" s="111">
        <f>SUM(J357)</f>
        <v>4251.8</v>
      </c>
      <c r="N357" s="111">
        <f t="shared" si="80"/>
        <v>0</v>
      </c>
      <c r="O357" s="111">
        <f t="shared" si="80"/>
        <v>4251.8</v>
      </c>
      <c r="P357" s="97">
        <f t="shared" si="78"/>
        <v>0</v>
      </c>
      <c r="Q357" s="97">
        <f t="shared" si="79"/>
        <v>0</v>
      </c>
    </row>
    <row r="358" spans="1:17" ht="31.5" x14ac:dyDescent="0.2">
      <c r="A358" s="40"/>
      <c r="B358" s="113" t="s">
        <v>40</v>
      </c>
      <c r="C358" s="113">
        <v>992</v>
      </c>
      <c r="D358" s="133" t="s">
        <v>355</v>
      </c>
      <c r="E358" s="136" t="s">
        <v>574</v>
      </c>
      <c r="F358" s="134">
        <v>200</v>
      </c>
      <c r="G358" s="111"/>
      <c r="H358" s="111"/>
      <c r="I358" s="111">
        <f>SUM(H358)</f>
        <v>0</v>
      </c>
      <c r="J358" s="115">
        <v>4251.8</v>
      </c>
      <c r="K358" s="111"/>
      <c r="L358" s="121">
        <f>SUM(J358)</f>
        <v>4251.8</v>
      </c>
      <c r="M358" s="111">
        <f>SUM(J358)</f>
        <v>4251.8</v>
      </c>
      <c r="N358" s="111">
        <f t="shared" si="80"/>
        <v>0</v>
      </c>
      <c r="O358" s="111">
        <f t="shared" si="80"/>
        <v>4251.8</v>
      </c>
      <c r="P358" s="97">
        <f t="shared" si="78"/>
        <v>0</v>
      </c>
      <c r="Q358" s="97">
        <f t="shared" si="79"/>
        <v>0</v>
      </c>
    </row>
    <row r="359" spans="1:17" ht="126" customHeight="1" x14ac:dyDescent="0.2">
      <c r="A359" s="40"/>
      <c r="B359" s="135" t="s">
        <v>598</v>
      </c>
      <c r="C359" s="113">
        <v>992</v>
      </c>
      <c r="D359" s="136" t="s">
        <v>355</v>
      </c>
      <c r="E359" s="133" t="s">
        <v>550</v>
      </c>
      <c r="F359" s="134"/>
      <c r="G359" s="111">
        <f>SUM(G360)</f>
        <v>66.400000000000006</v>
      </c>
      <c r="H359" s="111">
        <f>SUM(H360)</f>
        <v>0</v>
      </c>
      <c r="I359" s="111">
        <f>SUM(G359)</f>
        <v>66.400000000000006</v>
      </c>
      <c r="J359" s="115">
        <f>SUM(J360)</f>
        <v>1260</v>
      </c>
      <c r="K359" s="111">
        <f>SUM(K360)</f>
        <v>0</v>
      </c>
      <c r="L359" s="111">
        <f>SUM(L360)</f>
        <v>1260</v>
      </c>
      <c r="M359" s="111">
        <f t="shared" ref="M359:O360" si="81">SUM(G359+J359)</f>
        <v>1326.4</v>
      </c>
      <c r="N359" s="111">
        <f t="shared" si="81"/>
        <v>0</v>
      </c>
      <c r="O359" s="111">
        <f t="shared" si="81"/>
        <v>1326.4</v>
      </c>
      <c r="P359" s="97">
        <f t="shared" si="78"/>
        <v>66.400000000000006</v>
      </c>
      <c r="Q359" s="97">
        <f t="shared" si="79"/>
        <v>0</v>
      </c>
    </row>
    <row r="360" spans="1:17" ht="31.5" x14ac:dyDescent="0.2">
      <c r="A360" s="40"/>
      <c r="B360" s="113" t="s">
        <v>40</v>
      </c>
      <c r="C360" s="113">
        <v>992</v>
      </c>
      <c r="D360" s="133" t="s">
        <v>355</v>
      </c>
      <c r="E360" s="133" t="s">
        <v>550</v>
      </c>
      <c r="F360" s="134">
        <v>200</v>
      </c>
      <c r="G360" s="111">
        <v>66.400000000000006</v>
      </c>
      <c r="H360" s="111">
        <f>SUM(H363)</f>
        <v>0</v>
      </c>
      <c r="I360" s="111">
        <f>SUM(G360)</f>
        <v>66.400000000000006</v>
      </c>
      <c r="J360" s="115">
        <v>1260</v>
      </c>
      <c r="K360" s="111"/>
      <c r="L360" s="115">
        <f>SUM(J360)</f>
        <v>1260</v>
      </c>
      <c r="M360" s="111">
        <f t="shared" si="81"/>
        <v>1326.4</v>
      </c>
      <c r="N360" s="111">
        <f t="shared" si="81"/>
        <v>0</v>
      </c>
      <c r="O360" s="111">
        <f t="shared" si="81"/>
        <v>1326.4</v>
      </c>
      <c r="P360" s="97">
        <f t="shared" si="78"/>
        <v>66.400000000000006</v>
      </c>
      <c r="Q360" s="97">
        <f t="shared" si="79"/>
        <v>0</v>
      </c>
    </row>
    <row r="361" spans="1:17" ht="15.75" x14ac:dyDescent="0.2">
      <c r="A361" s="40"/>
      <c r="B361" s="140" t="s">
        <v>247</v>
      </c>
      <c r="C361" s="113">
        <v>992</v>
      </c>
      <c r="D361" s="133" t="s">
        <v>355</v>
      </c>
      <c r="E361" s="136" t="s">
        <v>248</v>
      </c>
      <c r="F361" s="134"/>
      <c r="G361" s="111">
        <f>SUM(G364)</f>
        <v>3350</v>
      </c>
      <c r="H361" s="111">
        <f>SUM(H362)</f>
        <v>0</v>
      </c>
      <c r="I361" s="111">
        <f>SUM(I364)</f>
        <v>3350</v>
      </c>
      <c r="J361" s="115"/>
      <c r="K361" s="111"/>
      <c r="L361" s="115"/>
      <c r="M361" s="111">
        <f t="shared" ref="M361:O362" si="82">SUM(G361)</f>
        <v>3350</v>
      </c>
      <c r="N361" s="111">
        <f t="shared" si="82"/>
        <v>0</v>
      </c>
      <c r="O361" s="111">
        <f t="shared" si="82"/>
        <v>3350</v>
      </c>
      <c r="P361" s="97">
        <f t="shared" si="78"/>
        <v>3350</v>
      </c>
      <c r="Q361" s="97">
        <f t="shared" si="79"/>
        <v>0</v>
      </c>
    </row>
    <row r="362" spans="1:17" ht="63" x14ac:dyDescent="0.2">
      <c r="A362" s="40"/>
      <c r="B362" s="140" t="s">
        <v>569</v>
      </c>
      <c r="C362" s="113">
        <v>992</v>
      </c>
      <c r="D362" s="133" t="s">
        <v>355</v>
      </c>
      <c r="E362" s="136" t="s">
        <v>567</v>
      </c>
      <c r="F362" s="134"/>
      <c r="G362" s="111">
        <f>SUM(G364)</f>
        <v>3350</v>
      </c>
      <c r="H362" s="111">
        <f>SUM(H364)</f>
        <v>0</v>
      </c>
      <c r="I362" s="111">
        <f>SUM(I364)</f>
        <v>3350</v>
      </c>
      <c r="J362" s="115"/>
      <c r="K362" s="111"/>
      <c r="L362" s="115"/>
      <c r="M362" s="111">
        <f t="shared" si="82"/>
        <v>3350</v>
      </c>
      <c r="N362" s="111">
        <f t="shared" si="82"/>
        <v>0</v>
      </c>
      <c r="O362" s="111">
        <f t="shared" si="82"/>
        <v>3350</v>
      </c>
      <c r="P362" s="97">
        <f t="shared" si="78"/>
        <v>3350</v>
      </c>
      <c r="Q362" s="97">
        <f t="shared" si="79"/>
        <v>0</v>
      </c>
    </row>
    <row r="363" spans="1:17" ht="0.75" customHeight="1" x14ac:dyDescent="0.2">
      <c r="A363" s="40"/>
      <c r="B363" s="140"/>
      <c r="C363" s="113"/>
      <c r="D363" s="133"/>
      <c r="E363" s="136"/>
      <c r="F363" s="134"/>
      <c r="G363" s="111"/>
      <c r="H363" s="111"/>
      <c r="I363" s="111"/>
      <c r="J363" s="115"/>
      <c r="K363" s="111"/>
      <c r="L363" s="115"/>
      <c r="M363" s="111"/>
      <c r="N363" s="111"/>
      <c r="O363" s="111"/>
      <c r="P363" s="97">
        <f t="shared" si="78"/>
        <v>0</v>
      </c>
      <c r="Q363" s="97">
        <f t="shared" si="79"/>
        <v>0</v>
      </c>
    </row>
    <row r="364" spans="1:17" ht="47.25" x14ac:dyDescent="0.2">
      <c r="A364" s="40"/>
      <c r="B364" s="96" t="s">
        <v>570</v>
      </c>
      <c r="C364" s="113">
        <v>992</v>
      </c>
      <c r="D364" s="133" t="s">
        <v>355</v>
      </c>
      <c r="E364" s="136" t="s">
        <v>568</v>
      </c>
      <c r="F364" s="134"/>
      <c r="G364" s="111">
        <f>SUM(G365)</f>
        <v>3350</v>
      </c>
      <c r="H364" s="111">
        <f>SUM(H365)</f>
        <v>0</v>
      </c>
      <c r="I364" s="111">
        <f>SUM(G364)+H364</f>
        <v>3350</v>
      </c>
      <c r="J364" s="115"/>
      <c r="K364" s="111"/>
      <c r="L364" s="115"/>
      <c r="M364" s="111">
        <f t="shared" ref="M364:O365" si="83">SUM(G364)</f>
        <v>3350</v>
      </c>
      <c r="N364" s="111">
        <f t="shared" si="83"/>
        <v>0</v>
      </c>
      <c r="O364" s="111">
        <f t="shared" si="83"/>
        <v>3350</v>
      </c>
      <c r="P364" s="97">
        <f t="shared" si="78"/>
        <v>3350</v>
      </c>
      <c r="Q364" s="97">
        <f t="shared" si="79"/>
        <v>0</v>
      </c>
    </row>
    <row r="365" spans="1:17" ht="27" customHeight="1" x14ac:dyDescent="0.2">
      <c r="A365" s="40"/>
      <c r="B365" s="113" t="s">
        <v>70</v>
      </c>
      <c r="C365" s="113">
        <v>992</v>
      </c>
      <c r="D365" s="133" t="s">
        <v>355</v>
      </c>
      <c r="E365" s="136" t="s">
        <v>568</v>
      </c>
      <c r="F365" s="134">
        <v>800</v>
      </c>
      <c r="G365" s="111">
        <v>3350</v>
      </c>
      <c r="H365" s="111"/>
      <c r="I365" s="111">
        <f>SUM(G365)+H365</f>
        <v>3350</v>
      </c>
      <c r="J365" s="115"/>
      <c r="K365" s="111"/>
      <c r="L365" s="115"/>
      <c r="M365" s="111">
        <f t="shared" si="83"/>
        <v>3350</v>
      </c>
      <c r="N365" s="111">
        <f t="shared" si="83"/>
        <v>0</v>
      </c>
      <c r="O365" s="111">
        <f t="shared" si="83"/>
        <v>3350</v>
      </c>
      <c r="P365" s="97">
        <f t="shared" si="78"/>
        <v>3350</v>
      </c>
      <c r="Q365" s="97">
        <f t="shared" si="79"/>
        <v>0</v>
      </c>
    </row>
    <row r="366" spans="1:17" ht="27" customHeight="1" x14ac:dyDescent="0.2">
      <c r="A366" s="40"/>
      <c r="B366" s="118" t="s">
        <v>218</v>
      </c>
      <c r="C366" s="118" t="s">
        <v>51</v>
      </c>
      <c r="D366" s="136" t="s">
        <v>355</v>
      </c>
      <c r="E366" s="136" t="s">
        <v>219</v>
      </c>
      <c r="F366" s="141"/>
      <c r="G366" s="114">
        <f>G367</f>
        <v>3623</v>
      </c>
      <c r="H366" s="114">
        <f t="shared" ref="H366:O366" si="84">H367</f>
        <v>0</v>
      </c>
      <c r="I366" s="114">
        <f t="shared" si="84"/>
        <v>3623</v>
      </c>
      <c r="J366" s="114">
        <f t="shared" si="84"/>
        <v>3300</v>
      </c>
      <c r="K366" s="114">
        <f t="shared" si="84"/>
        <v>0</v>
      </c>
      <c r="L366" s="114">
        <f t="shared" si="84"/>
        <v>3300</v>
      </c>
      <c r="M366" s="114">
        <f t="shared" si="84"/>
        <v>6923</v>
      </c>
      <c r="N366" s="114">
        <f t="shared" si="84"/>
        <v>0</v>
      </c>
      <c r="O366" s="114">
        <f t="shared" si="84"/>
        <v>6923</v>
      </c>
      <c r="P366" s="97">
        <f t="shared" si="78"/>
        <v>3623</v>
      </c>
      <c r="Q366" s="97">
        <f t="shared" si="79"/>
        <v>0</v>
      </c>
    </row>
    <row r="367" spans="1:17" ht="15.75" x14ac:dyDescent="0.2">
      <c r="A367" s="40"/>
      <c r="B367" s="135" t="s">
        <v>374</v>
      </c>
      <c r="C367" s="113">
        <v>992</v>
      </c>
      <c r="D367" s="133" t="s">
        <v>355</v>
      </c>
      <c r="E367" s="136" t="s">
        <v>375</v>
      </c>
      <c r="F367" s="134"/>
      <c r="G367" s="111">
        <f t="shared" ref="G367:O369" si="85">G368</f>
        <v>3623</v>
      </c>
      <c r="H367" s="111">
        <f t="shared" si="85"/>
        <v>0</v>
      </c>
      <c r="I367" s="111">
        <f t="shared" si="85"/>
        <v>3623</v>
      </c>
      <c r="J367" s="115">
        <f t="shared" si="85"/>
        <v>3300</v>
      </c>
      <c r="K367" s="111">
        <f t="shared" si="85"/>
        <v>0</v>
      </c>
      <c r="L367" s="115">
        <f t="shared" si="85"/>
        <v>3300</v>
      </c>
      <c r="M367" s="111">
        <f t="shared" si="85"/>
        <v>6923</v>
      </c>
      <c r="N367" s="111">
        <f t="shared" si="85"/>
        <v>0</v>
      </c>
      <c r="O367" s="111">
        <f t="shared" si="85"/>
        <v>6923</v>
      </c>
      <c r="P367" s="97">
        <f t="shared" si="78"/>
        <v>3623</v>
      </c>
      <c r="Q367" s="97">
        <f t="shared" si="79"/>
        <v>0</v>
      </c>
    </row>
    <row r="368" spans="1:17" ht="31.5" x14ac:dyDescent="0.2">
      <c r="A368" s="40"/>
      <c r="B368" s="135" t="s">
        <v>376</v>
      </c>
      <c r="C368" s="113">
        <v>992</v>
      </c>
      <c r="D368" s="133" t="s">
        <v>355</v>
      </c>
      <c r="E368" s="136" t="s">
        <v>377</v>
      </c>
      <c r="F368" s="134"/>
      <c r="G368" s="111">
        <f t="shared" ref="G368:M368" si="86">G369+G371</f>
        <v>3623</v>
      </c>
      <c r="H368" s="111">
        <f t="shared" si="86"/>
        <v>0</v>
      </c>
      <c r="I368" s="111">
        <f t="shared" si="86"/>
        <v>3623</v>
      </c>
      <c r="J368" s="115">
        <f t="shared" si="86"/>
        <v>3300</v>
      </c>
      <c r="K368" s="111">
        <f t="shared" si="86"/>
        <v>0</v>
      </c>
      <c r="L368" s="115">
        <f t="shared" si="86"/>
        <v>3300</v>
      </c>
      <c r="M368" s="111">
        <f t="shared" si="86"/>
        <v>6923</v>
      </c>
      <c r="N368" s="111">
        <f>SUM(H368)+K368</f>
        <v>0</v>
      </c>
      <c r="O368" s="111">
        <f>O369+O371</f>
        <v>6923</v>
      </c>
      <c r="P368" s="97">
        <f t="shared" si="78"/>
        <v>3623</v>
      </c>
      <c r="Q368" s="97">
        <f t="shared" si="79"/>
        <v>0</v>
      </c>
    </row>
    <row r="369" spans="1:17" ht="15.75" x14ac:dyDescent="0.2">
      <c r="A369" s="40"/>
      <c r="B369" s="135" t="s">
        <v>378</v>
      </c>
      <c r="C369" s="113">
        <v>992</v>
      </c>
      <c r="D369" s="133" t="s">
        <v>355</v>
      </c>
      <c r="E369" s="136" t="s">
        <v>379</v>
      </c>
      <c r="F369" s="134"/>
      <c r="G369" s="111">
        <f t="shared" si="85"/>
        <v>2059</v>
      </c>
      <c r="H369" s="111">
        <f t="shared" si="85"/>
        <v>0</v>
      </c>
      <c r="I369" s="111">
        <f t="shared" si="85"/>
        <v>2059</v>
      </c>
      <c r="J369" s="115">
        <f t="shared" si="85"/>
        <v>0</v>
      </c>
      <c r="K369" s="111"/>
      <c r="L369" s="115">
        <f t="shared" si="85"/>
        <v>0</v>
      </c>
      <c r="M369" s="111">
        <f t="shared" si="85"/>
        <v>2059</v>
      </c>
      <c r="N369" s="111">
        <f t="shared" si="85"/>
        <v>0</v>
      </c>
      <c r="O369" s="111">
        <f t="shared" si="85"/>
        <v>2059</v>
      </c>
      <c r="P369" s="97">
        <f t="shared" si="78"/>
        <v>2059</v>
      </c>
      <c r="Q369" s="97">
        <f t="shared" si="79"/>
        <v>0</v>
      </c>
    </row>
    <row r="370" spans="1:17" ht="31.5" x14ac:dyDescent="0.2">
      <c r="A370" s="40"/>
      <c r="B370" s="113" t="s">
        <v>40</v>
      </c>
      <c r="C370" s="113">
        <v>992</v>
      </c>
      <c r="D370" s="133" t="s">
        <v>355</v>
      </c>
      <c r="E370" s="136" t="s">
        <v>379</v>
      </c>
      <c r="F370" s="134">
        <v>200</v>
      </c>
      <c r="G370" s="111">
        <v>2059</v>
      </c>
      <c r="H370" s="111"/>
      <c r="I370" s="111">
        <f>SUM(G370)+H370</f>
        <v>2059</v>
      </c>
      <c r="J370" s="115">
        <v>0</v>
      </c>
      <c r="K370" s="111"/>
      <c r="L370" s="115">
        <f>SUM(K370)</f>
        <v>0</v>
      </c>
      <c r="M370" s="111">
        <f>SUM(G370)</f>
        <v>2059</v>
      </c>
      <c r="N370" s="111">
        <f>SUM(H370)+K370</f>
        <v>0</v>
      </c>
      <c r="O370" s="111">
        <f>SUM(I370)+L370</f>
        <v>2059</v>
      </c>
      <c r="P370" s="97">
        <f t="shared" si="78"/>
        <v>2059</v>
      </c>
      <c r="Q370" s="97">
        <f t="shared" si="79"/>
        <v>0</v>
      </c>
    </row>
    <row r="371" spans="1:17" ht="47.25" x14ac:dyDescent="0.2">
      <c r="A371" s="40"/>
      <c r="B371" s="113" t="s">
        <v>372</v>
      </c>
      <c r="C371" s="113">
        <v>992</v>
      </c>
      <c r="D371" s="133" t="s">
        <v>355</v>
      </c>
      <c r="E371" s="136" t="s">
        <v>549</v>
      </c>
      <c r="F371" s="134"/>
      <c r="G371" s="111">
        <f>SUM(G372)</f>
        <v>1564</v>
      </c>
      <c r="H371" s="111">
        <f>SUM(H372)</f>
        <v>0</v>
      </c>
      <c r="I371" s="111">
        <f>SUM(G371)+H371</f>
        <v>1564</v>
      </c>
      <c r="J371" s="115">
        <f>SUM(J372)</f>
        <v>3300</v>
      </c>
      <c r="K371" s="111"/>
      <c r="L371" s="115">
        <v>3300</v>
      </c>
      <c r="M371" s="111">
        <f t="shared" ref="M371:O372" si="87">SUM(G371+J371)</f>
        <v>4864</v>
      </c>
      <c r="N371" s="111">
        <f t="shared" si="87"/>
        <v>0</v>
      </c>
      <c r="O371" s="111">
        <f t="shared" si="87"/>
        <v>4864</v>
      </c>
      <c r="P371" s="97">
        <f t="shared" si="78"/>
        <v>1564</v>
      </c>
      <c r="Q371" s="97">
        <f t="shared" si="79"/>
        <v>0</v>
      </c>
    </row>
    <row r="372" spans="1:17" ht="31.5" x14ac:dyDescent="0.2">
      <c r="A372" s="40"/>
      <c r="B372" s="113" t="s">
        <v>40</v>
      </c>
      <c r="C372" s="113">
        <v>992</v>
      </c>
      <c r="D372" s="133" t="s">
        <v>355</v>
      </c>
      <c r="E372" s="136" t="s">
        <v>549</v>
      </c>
      <c r="F372" s="134">
        <v>200</v>
      </c>
      <c r="G372" s="111">
        <v>1564</v>
      </c>
      <c r="H372" s="111"/>
      <c r="I372" s="111">
        <f>SUM(G372)+H372</f>
        <v>1564</v>
      </c>
      <c r="J372" s="115">
        <v>3300</v>
      </c>
      <c r="K372" s="111"/>
      <c r="L372" s="115">
        <v>3300</v>
      </c>
      <c r="M372" s="111">
        <f t="shared" si="87"/>
        <v>4864</v>
      </c>
      <c r="N372" s="111">
        <f t="shared" si="87"/>
        <v>0</v>
      </c>
      <c r="O372" s="111">
        <f t="shared" si="87"/>
        <v>4864</v>
      </c>
      <c r="P372" s="97">
        <f t="shared" si="78"/>
        <v>1564</v>
      </c>
      <c r="Q372" s="97">
        <f t="shared" si="79"/>
        <v>0</v>
      </c>
    </row>
    <row r="373" spans="1:17" ht="47.25" x14ac:dyDescent="0.2">
      <c r="A373" s="40"/>
      <c r="B373" s="113" t="s">
        <v>105</v>
      </c>
      <c r="C373" s="113" t="s">
        <v>51</v>
      </c>
      <c r="D373" s="133" t="s">
        <v>355</v>
      </c>
      <c r="E373" s="133" t="s">
        <v>106</v>
      </c>
      <c r="F373" s="134" t="s">
        <v>11</v>
      </c>
      <c r="G373" s="111">
        <f>G374</f>
        <v>300</v>
      </c>
      <c r="H373" s="111"/>
      <c r="I373" s="111">
        <f>I374</f>
        <v>300</v>
      </c>
      <c r="J373" s="114">
        <f t="shared" ref="G373:O376" si="88">J374</f>
        <v>600</v>
      </c>
      <c r="K373" s="111">
        <f>K374</f>
        <v>0</v>
      </c>
      <c r="L373" s="114">
        <f t="shared" si="88"/>
        <v>600</v>
      </c>
      <c r="M373" s="111">
        <f t="shared" si="88"/>
        <v>900</v>
      </c>
      <c r="N373" s="111">
        <f>SUM(K373)</f>
        <v>0</v>
      </c>
      <c r="O373" s="111">
        <f t="shared" si="88"/>
        <v>900</v>
      </c>
      <c r="P373" s="97">
        <f t="shared" si="78"/>
        <v>300</v>
      </c>
      <c r="Q373" s="97">
        <f t="shared" si="79"/>
        <v>0</v>
      </c>
    </row>
    <row r="374" spans="1:17" ht="31.5" x14ac:dyDescent="0.2">
      <c r="A374" s="40"/>
      <c r="B374" s="113" t="s">
        <v>107</v>
      </c>
      <c r="C374" s="113" t="s">
        <v>51</v>
      </c>
      <c r="D374" s="133" t="s">
        <v>355</v>
      </c>
      <c r="E374" s="133" t="s">
        <v>108</v>
      </c>
      <c r="F374" s="134" t="s">
        <v>11</v>
      </c>
      <c r="G374" s="111">
        <f t="shared" si="88"/>
        <v>300</v>
      </c>
      <c r="H374" s="111">
        <f t="shared" si="88"/>
        <v>0</v>
      </c>
      <c r="I374" s="111">
        <f t="shared" si="88"/>
        <v>300</v>
      </c>
      <c r="J374" s="114">
        <f t="shared" si="88"/>
        <v>600</v>
      </c>
      <c r="K374" s="111">
        <f>K375</f>
        <v>0</v>
      </c>
      <c r="L374" s="114">
        <f t="shared" si="88"/>
        <v>600</v>
      </c>
      <c r="M374" s="111">
        <f t="shared" si="88"/>
        <v>900</v>
      </c>
      <c r="N374" s="111">
        <f t="shared" si="88"/>
        <v>0</v>
      </c>
      <c r="O374" s="111">
        <f>N374+M374</f>
        <v>900</v>
      </c>
      <c r="P374" s="97">
        <f t="shared" si="78"/>
        <v>300</v>
      </c>
      <c r="Q374" s="97">
        <f t="shared" si="79"/>
        <v>0</v>
      </c>
    </row>
    <row r="375" spans="1:17" ht="31.5" x14ac:dyDescent="0.2">
      <c r="A375" s="40"/>
      <c r="B375" s="113" t="s">
        <v>109</v>
      </c>
      <c r="C375" s="113" t="s">
        <v>51</v>
      </c>
      <c r="D375" s="133" t="s">
        <v>355</v>
      </c>
      <c r="E375" s="133" t="s">
        <v>110</v>
      </c>
      <c r="F375" s="134" t="s">
        <v>11</v>
      </c>
      <c r="G375" s="111">
        <f t="shared" si="88"/>
        <v>300</v>
      </c>
      <c r="H375" s="111">
        <f t="shared" si="88"/>
        <v>0</v>
      </c>
      <c r="I375" s="111">
        <f t="shared" si="88"/>
        <v>300</v>
      </c>
      <c r="J375" s="114">
        <f>J376+J378</f>
        <v>600</v>
      </c>
      <c r="K375" s="111">
        <f>K376+K378</f>
        <v>0</v>
      </c>
      <c r="L375" s="111">
        <f>L376+L378</f>
        <v>600</v>
      </c>
      <c r="M375" s="111">
        <f>M376+J375</f>
        <v>900</v>
      </c>
      <c r="N375" s="111">
        <f>SUM(K375)</f>
        <v>0</v>
      </c>
      <c r="O375" s="111">
        <f>O376+L375</f>
        <v>900</v>
      </c>
      <c r="P375" s="97">
        <f t="shared" si="78"/>
        <v>300</v>
      </c>
      <c r="Q375" s="97">
        <f t="shared" si="79"/>
        <v>0</v>
      </c>
    </row>
    <row r="376" spans="1:17" ht="31.5" x14ac:dyDescent="0.2">
      <c r="A376" s="40"/>
      <c r="B376" s="113" t="s">
        <v>114</v>
      </c>
      <c r="C376" s="113" t="s">
        <v>51</v>
      </c>
      <c r="D376" s="133" t="s">
        <v>355</v>
      </c>
      <c r="E376" s="133" t="s">
        <v>115</v>
      </c>
      <c r="F376" s="134" t="s">
        <v>11</v>
      </c>
      <c r="G376" s="111">
        <f>G377</f>
        <v>300</v>
      </c>
      <c r="H376" s="111"/>
      <c r="I376" s="111">
        <f>I377</f>
        <v>300</v>
      </c>
      <c r="J376" s="114">
        <f t="shared" si="88"/>
        <v>0</v>
      </c>
      <c r="K376" s="111"/>
      <c r="L376" s="114">
        <f t="shared" si="88"/>
        <v>0</v>
      </c>
      <c r="M376" s="111">
        <f t="shared" si="88"/>
        <v>300</v>
      </c>
      <c r="N376" s="111">
        <f t="shared" si="88"/>
        <v>0</v>
      </c>
      <c r="O376" s="111">
        <f t="shared" si="88"/>
        <v>300</v>
      </c>
      <c r="P376" s="97">
        <f t="shared" si="78"/>
        <v>300</v>
      </c>
      <c r="Q376" s="97">
        <f t="shared" si="79"/>
        <v>0</v>
      </c>
    </row>
    <row r="377" spans="1:17" ht="31.5" x14ac:dyDescent="0.2">
      <c r="A377" s="40"/>
      <c r="B377" s="113" t="s">
        <v>40</v>
      </c>
      <c r="C377" s="113" t="s">
        <v>51</v>
      </c>
      <c r="D377" s="133" t="s">
        <v>355</v>
      </c>
      <c r="E377" s="133" t="s">
        <v>115</v>
      </c>
      <c r="F377" s="134" t="s">
        <v>41</v>
      </c>
      <c r="G377" s="111">
        <v>300</v>
      </c>
      <c r="H377" s="111"/>
      <c r="I377" s="111">
        <v>300</v>
      </c>
      <c r="J377" s="115">
        <v>0</v>
      </c>
      <c r="K377" s="111"/>
      <c r="L377" s="115">
        <v>0</v>
      </c>
      <c r="M377" s="111">
        <v>300</v>
      </c>
      <c r="N377" s="111"/>
      <c r="O377" s="111">
        <v>300</v>
      </c>
      <c r="P377" s="97">
        <f t="shared" si="78"/>
        <v>300</v>
      </c>
      <c r="Q377" s="97">
        <f t="shared" si="79"/>
        <v>0</v>
      </c>
    </row>
    <row r="378" spans="1:17" ht="47.25" x14ac:dyDescent="0.2">
      <c r="A378" s="40"/>
      <c r="B378" s="113" t="s">
        <v>566</v>
      </c>
      <c r="C378" s="113">
        <v>992</v>
      </c>
      <c r="D378" s="133" t="s">
        <v>355</v>
      </c>
      <c r="E378" s="133">
        <v>1010160390</v>
      </c>
      <c r="F378" s="134"/>
      <c r="G378" s="111"/>
      <c r="H378" s="111"/>
      <c r="I378" s="111"/>
      <c r="J378" s="115">
        <v>600</v>
      </c>
      <c r="K378" s="111">
        <f>SUM(K379)</f>
        <v>0</v>
      </c>
      <c r="L378" s="111">
        <f>SUM(L379)</f>
        <v>600</v>
      </c>
      <c r="M378" s="111">
        <f t="shared" ref="M378:O379" si="89">SUM(J378)</f>
        <v>600</v>
      </c>
      <c r="N378" s="111">
        <f t="shared" si="89"/>
        <v>0</v>
      </c>
      <c r="O378" s="111">
        <f t="shared" si="89"/>
        <v>600</v>
      </c>
      <c r="P378" s="97">
        <f t="shared" si="78"/>
        <v>0</v>
      </c>
      <c r="Q378" s="97">
        <f t="shared" si="79"/>
        <v>0</v>
      </c>
    </row>
    <row r="379" spans="1:17" ht="31.5" x14ac:dyDescent="0.2">
      <c r="A379" s="40"/>
      <c r="B379" s="113" t="s">
        <v>40</v>
      </c>
      <c r="C379" s="113">
        <v>992</v>
      </c>
      <c r="D379" s="133" t="s">
        <v>355</v>
      </c>
      <c r="E379" s="133">
        <v>1010160390</v>
      </c>
      <c r="F379" s="134">
        <v>200</v>
      </c>
      <c r="G379" s="111"/>
      <c r="H379" s="111"/>
      <c r="I379" s="111"/>
      <c r="J379" s="115">
        <v>600</v>
      </c>
      <c r="K379" s="111"/>
      <c r="L379" s="115">
        <f>SUM(J379)</f>
        <v>600</v>
      </c>
      <c r="M379" s="111">
        <f t="shared" si="89"/>
        <v>600</v>
      </c>
      <c r="N379" s="111">
        <f t="shared" si="89"/>
        <v>0</v>
      </c>
      <c r="O379" s="111">
        <f t="shared" si="89"/>
        <v>600</v>
      </c>
      <c r="P379" s="97">
        <f t="shared" si="78"/>
        <v>0</v>
      </c>
      <c r="Q379" s="97">
        <f t="shared" si="79"/>
        <v>0</v>
      </c>
    </row>
    <row r="380" spans="1:17" ht="63" x14ac:dyDescent="0.2">
      <c r="A380" s="40"/>
      <c r="B380" s="113" t="s">
        <v>380</v>
      </c>
      <c r="C380" s="113" t="s">
        <v>51</v>
      </c>
      <c r="D380" s="133" t="s">
        <v>355</v>
      </c>
      <c r="E380" s="133" t="s">
        <v>381</v>
      </c>
      <c r="F380" s="134" t="s">
        <v>11</v>
      </c>
      <c r="G380" s="111">
        <f t="shared" ref="G380:O380" si="90">G381</f>
        <v>1314.8</v>
      </c>
      <c r="H380" s="111">
        <f t="shared" si="90"/>
        <v>0</v>
      </c>
      <c r="I380" s="111">
        <f t="shared" si="90"/>
        <v>1314.8</v>
      </c>
      <c r="J380" s="114">
        <f t="shared" si="90"/>
        <v>0</v>
      </c>
      <c r="K380" s="111">
        <f t="shared" si="90"/>
        <v>0</v>
      </c>
      <c r="L380" s="114">
        <f t="shared" si="90"/>
        <v>0</v>
      </c>
      <c r="M380" s="111">
        <f t="shared" si="90"/>
        <v>1314.8</v>
      </c>
      <c r="N380" s="111">
        <f t="shared" si="90"/>
        <v>0</v>
      </c>
      <c r="O380" s="111">
        <f t="shared" si="90"/>
        <v>1314.8</v>
      </c>
      <c r="P380" s="97">
        <f t="shared" si="78"/>
        <v>1314.8</v>
      </c>
      <c r="Q380" s="97">
        <f t="shared" si="79"/>
        <v>0</v>
      </c>
    </row>
    <row r="381" spans="1:17" ht="47.25" x14ac:dyDescent="0.2">
      <c r="A381" s="40"/>
      <c r="B381" s="113" t="s">
        <v>382</v>
      </c>
      <c r="C381" s="113" t="s">
        <v>51</v>
      </c>
      <c r="D381" s="133" t="s">
        <v>355</v>
      </c>
      <c r="E381" s="133" t="s">
        <v>383</v>
      </c>
      <c r="F381" s="134" t="s">
        <v>11</v>
      </c>
      <c r="G381" s="111">
        <f>G382+G385</f>
        <v>1314.8</v>
      </c>
      <c r="H381" s="111">
        <f>H382+H385</f>
        <v>0</v>
      </c>
      <c r="I381" s="111">
        <f>I382+I385</f>
        <v>1314.8</v>
      </c>
      <c r="J381" s="114">
        <f>J382</f>
        <v>0</v>
      </c>
      <c r="K381" s="111">
        <f>K382</f>
        <v>0</v>
      </c>
      <c r="L381" s="114">
        <f>L382</f>
        <v>0</v>
      </c>
      <c r="M381" s="111">
        <f>M382+M385</f>
        <v>1314.8</v>
      </c>
      <c r="N381" s="111">
        <f>N382+N385</f>
        <v>0</v>
      </c>
      <c r="O381" s="111">
        <f>O382+O385</f>
        <v>1314.8</v>
      </c>
      <c r="P381" s="97">
        <f t="shared" si="78"/>
        <v>1314.8</v>
      </c>
      <c r="Q381" s="97">
        <f t="shared" si="79"/>
        <v>0</v>
      </c>
    </row>
    <row r="382" spans="1:17" ht="63" x14ac:dyDescent="0.2">
      <c r="A382" s="40"/>
      <c r="B382" s="113" t="s">
        <v>384</v>
      </c>
      <c r="C382" s="113" t="s">
        <v>51</v>
      </c>
      <c r="D382" s="133" t="s">
        <v>355</v>
      </c>
      <c r="E382" s="136" t="s">
        <v>545</v>
      </c>
      <c r="F382" s="134" t="s">
        <v>11</v>
      </c>
      <c r="G382" s="111">
        <f>G383+G384</f>
        <v>549.9</v>
      </c>
      <c r="H382" s="111">
        <f>H383+H384</f>
        <v>0</v>
      </c>
      <c r="I382" s="111">
        <f>I383+I384</f>
        <v>549.9</v>
      </c>
      <c r="J382" s="114">
        <f>J383</f>
        <v>0</v>
      </c>
      <c r="K382" s="111"/>
      <c r="L382" s="114">
        <f>L383</f>
        <v>0</v>
      </c>
      <c r="M382" s="111">
        <f>M383+M384</f>
        <v>549.9</v>
      </c>
      <c r="N382" s="111">
        <f>N383+N384</f>
        <v>0</v>
      </c>
      <c r="O382" s="111">
        <f>O383+O384</f>
        <v>549.9</v>
      </c>
      <c r="P382" s="97">
        <f t="shared" si="78"/>
        <v>549.9</v>
      </c>
      <c r="Q382" s="97">
        <f t="shared" si="79"/>
        <v>0</v>
      </c>
    </row>
    <row r="383" spans="1:17" ht="31.5" x14ac:dyDescent="0.2">
      <c r="A383" s="40"/>
      <c r="B383" s="113" t="s">
        <v>40</v>
      </c>
      <c r="C383" s="113" t="s">
        <v>51</v>
      </c>
      <c r="D383" s="133" t="s">
        <v>355</v>
      </c>
      <c r="E383" s="136" t="s">
        <v>545</v>
      </c>
      <c r="F383" s="134" t="s">
        <v>41</v>
      </c>
      <c r="G383" s="111">
        <v>349.9</v>
      </c>
      <c r="H383" s="117"/>
      <c r="I383" s="111">
        <f>SUM(G383:H383)</f>
        <v>349.9</v>
      </c>
      <c r="J383" s="115">
        <v>0</v>
      </c>
      <c r="K383" s="109"/>
      <c r="L383" s="115">
        <v>0</v>
      </c>
      <c r="M383" s="111">
        <f>SUM(G383)</f>
        <v>349.9</v>
      </c>
      <c r="N383" s="111">
        <f t="shared" ref="N383:O390" si="91">SUM(H383)</f>
        <v>0</v>
      </c>
      <c r="O383" s="111">
        <f>SUM(I383)</f>
        <v>349.9</v>
      </c>
      <c r="P383" s="97">
        <f t="shared" si="78"/>
        <v>349.9</v>
      </c>
      <c r="Q383" s="97">
        <f t="shared" si="79"/>
        <v>0</v>
      </c>
    </row>
    <row r="384" spans="1:17" ht="31.5" x14ac:dyDescent="0.2">
      <c r="A384" s="40"/>
      <c r="B384" s="113" t="s">
        <v>112</v>
      </c>
      <c r="C384" s="113">
        <v>992</v>
      </c>
      <c r="D384" s="133" t="s">
        <v>355</v>
      </c>
      <c r="E384" s="136" t="s">
        <v>545</v>
      </c>
      <c r="F384" s="134">
        <v>300</v>
      </c>
      <c r="G384" s="111">
        <v>200</v>
      </c>
      <c r="H384" s="117"/>
      <c r="I384" s="111">
        <f>SUM(G384)</f>
        <v>200</v>
      </c>
      <c r="J384" s="115"/>
      <c r="K384" s="109"/>
      <c r="L384" s="115"/>
      <c r="M384" s="111">
        <f>SUM(G384)</f>
        <v>200</v>
      </c>
      <c r="N384" s="111">
        <f>SUM(H384)</f>
        <v>0</v>
      </c>
      <c r="O384" s="111">
        <f>SUM(I384)</f>
        <v>200</v>
      </c>
      <c r="P384" s="97">
        <f t="shared" si="78"/>
        <v>200</v>
      </c>
      <c r="Q384" s="97">
        <f t="shared" si="79"/>
        <v>0</v>
      </c>
    </row>
    <row r="385" spans="1:17" ht="31.5" x14ac:dyDescent="0.2">
      <c r="A385" s="40"/>
      <c r="B385" s="113" t="s">
        <v>385</v>
      </c>
      <c r="C385" s="113">
        <v>992</v>
      </c>
      <c r="D385" s="133" t="s">
        <v>355</v>
      </c>
      <c r="E385" s="133">
        <v>1400124240</v>
      </c>
      <c r="F385" s="134"/>
      <c r="G385" s="111">
        <v>764.9</v>
      </c>
      <c r="H385" s="117"/>
      <c r="I385" s="111">
        <f>SUM(G385)+H385</f>
        <v>764.9</v>
      </c>
      <c r="J385" s="115"/>
      <c r="K385" s="109"/>
      <c r="L385" s="115"/>
      <c r="M385" s="111">
        <f>SUM(G385)</f>
        <v>764.9</v>
      </c>
      <c r="N385" s="111">
        <f t="shared" si="91"/>
        <v>0</v>
      </c>
      <c r="O385" s="111">
        <f t="shared" si="91"/>
        <v>764.9</v>
      </c>
      <c r="P385" s="97">
        <f t="shared" si="78"/>
        <v>764.9</v>
      </c>
      <c r="Q385" s="97">
        <f t="shared" si="79"/>
        <v>0</v>
      </c>
    </row>
    <row r="386" spans="1:17" ht="31.5" x14ac:dyDescent="0.2">
      <c r="A386" s="40"/>
      <c r="B386" s="113" t="s">
        <v>40</v>
      </c>
      <c r="C386" s="113">
        <v>992</v>
      </c>
      <c r="D386" s="133" t="s">
        <v>355</v>
      </c>
      <c r="E386" s="133">
        <v>1400124240</v>
      </c>
      <c r="F386" s="134">
        <v>200</v>
      </c>
      <c r="G386" s="111">
        <v>764.9</v>
      </c>
      <c r="H386" s="117"/>
      <c r="I386" s="111">
        <f>SUM(G386)+H386</f>
        <v>764.9</v>
      </c>
      <c r="J386" s="115"/>
      <c r="K386" s="109"/>
      <c r="L386" s="115"/>
      <c r="M386" s="111">
        <f>SUM(G386)</f>
        <v>764.9</v>
      </c>
      <c r="N386" s="111">
        <f t="shared" si="91"/>
        <v>0</v>
      </c>
      <c r="O386" s="163">
        <f t="shared" si="91"/>
        <v>764.9</v>
      </c>
      <c r="P386" s="97">
        <f t="shared" si="78"/>
        <v>764.9</v>
      </c>
      <c r="Q386" s="97">
        <f t="shared" si="79"/>
        <v>0</v>
      </c>
    </row>
    <row r="387" spans="1:17" ht="31.5" x14ac:dyDescent="0.2">
      <c r="A387" s="40"/>
      <c r="B387" s="113" t="s">
        <v>66</v>
      </c>
      <c r="C387" s="113">
        <v>992</v>
      </c>
      <c r="D387" s="133" t="s">
        <v>355</v>
      </c>
      <c r="E387" s="133">
        <v>5200000000</v>
      </c>
      <c r="F387" s="134"/>
      <c r="G387" s="111">
        <v>2838.5</v>
      </c>
      <c r="H387" s="117">
        <f>SUM(H389)</f>
        <v>0</v>
      </c>
      <c r="I387" s="111">
        <f t="shared" ref="I387:I390" si="92">SUM(G387)</f>
        <v>2838.5</v>
      </c>
      <c r="J387" s="115"/>
      <c r="K387" s="109"/>
      <c r="L387" s="115"/>
      <c r="M387" s="111">
        <v>2838.5</v>
      </c>
      <c r="N387" s="111">
        <f t="shared" si="91"/>
        <v>0</v>
      </c>
      <c r="O387" s="111">
        <f t="shared" si="91"/>
        <v>2838.5</v>
      </c>
      <c r="P387" s="97">
        <f t="shared" si="78"/>
        <v>2838.5</v>
      </c>
      <c r="Q387" s="97">
        <f t="shared" si="79"/>
        <v>0</v>
      </c>
    </row>
    <row r="388" spans="1:17" ht="31.5" x14ac:dyDescent="0.2">
      <c r="A388" s="40"/>
      <c r="B388" s="113" t="s">
        <v>80</v>
      </c>
      <c r="C388" s="113">
        <v>992</v>
      </c>
      <c r="D388" s="133" t="s">
        <v>355</v>
      </c>
      <c r="E388" s="133">
        <v>5230000000</v>
      </c>
      <c r="F388" s="134"/>
      <c r="G388" s="111">
        <v>2838.5</v>
      </c>
      <c r="H388" s="117">
        <f>SUM(H390)</f>
        <v>0</v>
      </c>
      <c r="I388" s="111">
        <f t="shared" si="92"/>
        <v>2838.5</v>
      </c>
      <c r="J388" s="115"/>
      <c r="K388" s="109"/>
      <c r="L388" s="115"/>
      <c r="M388" s="111">
        <f>SUM(M390)</f>
        <v>2838.5</v>
      </c>
      <c r="N388" s="111">
        <f t="shared" si="91"/>
        <v>0</v>
      </c>
      <c r="O388" s="111">
        <f t="shared" si="91"/>
        <v>2838.5</v>
      </c>
      <c r="P388" s="97">
        <f t="shared" si="78"/>
        <v>2838.5</v>
      </c>
      <c r="Q388" s="97">
        <f t="shared" si="79"/>
        <v>0</v>
      </c>
    </row>
    <row r="389" spans="1:17" ht="31.5" x14ac:dyDescent="0.2">
      <c r="A389" s="40"/>
      <c r="B389" s="113" t="s">
        <v>82</v>
      </c>
      <c r="C389" s="113">
        <v>992</v>
      </c>
      <c r="D389" s="133" t="s">
        <v>355</v>
      </c>
      <c r="E389" s="133">
        <v>5230010490</v>
      </c>
      <c r="F389" s="134"/>
      <c r="G389" s="111">
        <v>2838.5</v>
      </c>
      <c r="H389" s="117">
        <f>SUM(H390)</f>
        <v>0</v>
      </c>
      <c r="I389" s="111">
        <f t="shared" si="92"/>
        <v>2838.5</v>
      </c>
      <c r="J389" s="115"/>
      <c r="K389" s="109"/>
      <c r="L389" s="115"/>
      <c r="M389" s="111">
        <f>SUM(G389)</f>
        <v>2838.5</v>
      </c>
      <c r="N389" s="111">
        <f t="shared" si="91"/>
        <v>0</v>
      </c>
      <c r="O389" s="111">
        <f t="shared" si="91"/>
        <v>2838.5</v>
      </c>
      <c r="P389" s="97">
        <f t="shared" si="78"/>
        <v>2838.5</v>
      </c>
      <c r="Q389" s="97">
        <f t="shared" si="79"/>
        <v>0</v>
      </c>
    </row>
    <row r="390" spans="1:17" ht="29.25" customHeight="1" x14ac:dyDescent="0.2">
      <c r="A390" s="40"/>
      <c r="B390" s="113" t="s">
        <v>40</v>
      </c>
      <c r="C390" s="113">
        <v>992</v>
      </c>
      <c r="D390" s="133" t="s">
        <v>355</v>
      </c>
      <c r="E390" s="133">
        <v>5230010490</v>
      </c>
      <c r="F390" s="134">
        <v>200</v>
      </c>
      <c r="G390" s="111">
        <v>2838.5</v>
      </c>
      <c r="H390" s="117"/>
      <c r="I390" s="111">
        <f t="shared" si="92"/>
        <v>2838.5</v>
      </c>
      <c r="J390" s="115"/>
      <c r="K390" s="109"/>
      <c r="L390" s="115"/>
      <c r="M390" s="111">
        <f>SUM(G390)</f>
        <v>2838.5</v>
      </c>
      <c r="N390" s="111">
        <f t="shared" si="91"/>
        <v>0</v>
      </c>
      <c r="O390" s="111">
        <f t="shared" si="91"/>
        <v>2838.5</v>
      </c>
      <c r="P390" s="97">
        <f t="shared" si="78"/>
        <v>2838.5</v>
      </c>
      <c r="Q390" s="97">
        <f t="shared" si="79"/>
        <v>0</v>
      </c>
    </row>
    <row r="391" spans="1:17" ht="31.5" hidden="1" x14ac:dyDescent="0.2">
      <c r="A391" s="40"/>
      <c r="B391" s="113" t="s">
        <v>40</v>
      </c>
      <c r="C391" s="113"/>
      <c r="D391" s="133"/>
      <c r="E391" s="133"/>
      <c r="F391" s="134"/>
      <c r="G391" s="111"/>
      <c r="H391" s="109"/>
      <c r="I391" s="111"/>
      <c r="J391" s="115"/>
      <c r="K391" s="109"/>
      <c r="L391" s="115"/>
      <c r="M391" s="111"/>
      <c r="N391" s="111"/>
      <c r="O391" s="111"/>
      <c r="P391" s="97">
        <f t="shared" si="78"/>
        <v>0</v>
      </c>
      <c r="Q391" s="97">
        <f t="shared" si="79"/>
        <v>0</v>
      </c>
    </row>
    <row r="392" spans="1:17" ht="31.5" x14ac:dyDescent="0.2">
      <c r="A392" s="33" t="s">
        <v>386</v>
      </c>
      <c r="B392" s="110" t="s">
        <v>387</v>
      </c>
      <c r="C392" s="110" t="s">
        <v>51</v>
      </c>
      <c r="D392" s="131" t="s">
        <v>388</v>
      </c>
      <c r="E392" s="131" t="s">
        <v>11</v>
      </c>
      <c r="F392" s="132" t="s">
        <v>11</v>
      </c>
      <c r="G392" s="109">
        <f t="shared" ref="G392:O393" si="93">G393</f>
        <v>107724.20000000001</v>
      </c>
      <c r="H392" s="111">
        <f t="shared" si="93"/>
        <v>0</v>
      </c>
      <c r="I392" s="109">
        <f t="shared" si="93"/>
        <v>107724.20000000001</v>
      </c>
      <c r="J392" s="112">
        <f t="shared" si="93"/>
        <v>0</v>
      </c>
      <c r="K392" s="111">
        <f t="shared" si="93"/>
        <v>0</v>
      </c>
      <c r="L392" s="112">
        <f t="shared" si="93"/>
        <v>0</v>
      </c>
      <c r="M392" s="109">
        <f t="shared" si="93"/>
        <v>107724.20000000001</v>
      </c>
      <c r="N392" s="109">
        <f t="shared" si="93"/>
        <v>0</v>
      </c>
      <c r="O392" s="109">
        <f t="shared" si="93"/>
        <v>107724.20000000001</v>
      </c>
      <c r="P392" s="97">
        <f t="shared" si="78"/>
        <v>107724.20000000001</v>
      </c>
      <c r="Q392" s="97">
        <f t="shared" si="79"/>
        <v>0</v>
      </c>
    </row>
    <row r="393" spans="1:17" ht="31.5" x14ac:dyDescent="0.2">
      <c r="A393" s="40"/>
      <c r="B393" s="113" t="s">
        <v>245</v>
      </c>
      <c r="C393" s="113" t="s">
        <v>51</v>
      </c>
      <c r="D393" s="133" t="s">
        <v>388</v>
      </c>
      <c r="E393" s="133" t="s">
        <v>246</v>
      </c>
      <c r="F393" s="134" t="s">
        <v>11</v>
      </c>
      <c r="G393" s="111">
        <f t="shared" si="93"/>
        <v>107724.20000000001</v>
      </c>
      <c r="H393" s="111">
        <f t="shared" si="93"/>
        <v>0</v>
      </c>
      <c r="I393" s="111">
        <f t="shared" si="93"/>
        <v>107724.20000000001</v>
      </c>
      <c r="J393" s="114">
        <f t="shared" si="93"/>
        <v>0</v>
      </c>
      <c r="K393" s="111">
        <f>K394+K397</f>
        <v>0</v>
      </c>
      <c r="L393" s="114">
        <f t="shared" si="93"/>
        <v>0</v>
      </c>
      <c r="M393" s="111">
        <f t="shared" si="93"/>
        <v>107724.20000000001</v>
      </c>
      <c r="N393" s="111">
        <f t="shared" si="93"/>
        <v>0</v>
      </c>
      <c r="O393" s="111">
        <f t="shared" si="93"/>
        <v>107724.20000000001</v>
      </c>
      <c r="P393" s="97">
        <f t="shared" si="78"/>
        <v>107724.20000000001</v>
      </c>
      <c r="Q393" s="97">
        <f t="shared" si="79"/>
        <v>0</v>
      </c>
    </row>
    <row r="394" spans="1:17" ht="15.75" x14ac:dyDescent="0.2">
      <c r="A394" s="40"/>
      <c r="B394" s="113" t="s">
        <v>247</v>
      </c>
      <c r="C394" s="113" t="s">
        <v>51</v>
      </c>
      <c r="D394" s="133" t="s">
        <v>388</v>
      </c>
      <c r="E394" s="133" t="s">
        <v>248</v>
      </c>
      <c r="F394" s="134" t="s">
        <v>11</v>
      </c>
      <c r="G394" s="111">
        <f>G395+G398</f>
        <v>107724.20000000001</v>
      </c>
      <c r="H394" s="111">
        <f>SUM(H398)+H395</f>
        <v>0</v>
      </c>
      <c r="I394" s="111">
        <f>I395+I398</f>
        <v>107724.20000000001</v>
      </c>
      <c r="J394" s="114">
        <f>J395+J398</f>
        <v>0</v>
      </c>
      <c r="K394" s="111">
        <f t="shared" ref="G394:O396" si="94">K395</f>
        <v>0</v>
      </c>
      <c r="L394" s="114">
        <f>L395+L398</f>
        <v>0</v>
      </c>
      <c r="M394" s="111">
        <f>M395+M398</f>
        <v>107724.20000000001</v>
      </c>
      <c r="N394" s="111">
        <f>N395+N398</f>
        <v>0</v>
      </c>
      <c r="O394" s="111">
        <f>O395+O398</f>
        <v>107724.20000000001</v>
      </c>
      <c r="P394" s="97">
        <f t="shared" si="78"/>
        <v>107724.20000000001</v>
      </c>
      <c r="Q394" s="97">
        <f t="shared" si="79"/>
        <v>0</v>
      </c>
    </row>
    <row r="395" spans="1:17" ht="31.5" x14ac:dyDescent="0.2">
      <c r="A395" s="40"/>
      <c r="B395" s="113" t="s">
        <v>389</v>
      </c>
      <c r="C395" s="113" t="s">
        <v>51</v>
      </c>
      <c r="D395" s="133" t="s">
        <v>388</v>
      </c>
      <c r="E395" s="133" t="s">
        <v>390</v>
      </c>
      <c r="F395" s="134" t="s">
        <v>11</v>
      </c>
      <c r="G395" s="111">
        <f t="shared" si="94"/>
        <v>8699.1</v>
      </c>
      <c r="H395" s="111">
        <f t="shared" si="94"/>
        <v>0</v>
      </c>
      <c r="I395" s="111">
        <f t="shared" si="94"/>
        <v>8699.1</v>
      </c>
      <c r="J395" s="114">
        <f t="shared" si="94"/>
        <v>0</v>
      </c>
      <c r="K395" s="111">
        <f t="shared" si="94"/>
        <v>0</v>
      </c>
      <c r="L395" s="114">
        <f t="shared" si="94"/>
        <v>0</v>
      </c>
      <c r="M395" s="111">
        <f t="shared" si="94"/>
        <v>8699.1</v>
      </c>
      <c r="N395" s="111">
        <f t="shared" si="94"/>
        <v>0</v>
      </c>
      <c r="O395" s="111">
        <f t="shared" si="94"/>
        <v>8699.1</v>
      </c>
      <c r="P395" s="97">
        <f t="shared" si="78"/>
        <v>8699.1</v>
      </c>
      <c r="Q395" s="97">
        <f t="shared" si="79"/>
        <v>0</v>
      </c>
    </row>
    <row r="396" spans="1:17" ht="31.5" x14ac:dyDescent="0.2">
      <c r="A396" s="40"/>
      <c r="B396" s="113" t="s">
        <v>134</v>
      </c>
      <c r="C396" s="113" t="s">
        <v>51</v>
      </c>
      <c r="D396" s="133" t="s">
        <v>388</v>
      </c>
      <c r="E396" s="133" t="s">
        <v>391</v>
      </c>
      <c r="F396" s="134" t="s">
        <v>11</v>
      </c>
      <c r="G396" s="111">
        <f t="shared" si="94"/>
        <v>8699.1</v>
      </c>
      <c r="H396" s="111"/>
      <c r="I396" s="111">
        <f t="shared" si="94"/>
        <v>8699.1</v>
      </c>
      <c r="J396" s="114">
        <f t="shared" si="94"/>
        <v>0</v>
      </c>
      <c r="K396" s="111"/>
      <c r="L396" s="114">
        <f t="shared" si="94"/>
        <v>0</v>
      </c>
      <c r="M396" s="111">
        <f t="shared" si="94"/>
        <v>8699.1</v>
      </c>
      <c r="N396" s="111">
        <f t="shared" si="94"/>
        <v>0</v>
      </c>
      <c r="O396" s="111">
        <f t="shared" si="94"/>
        <v>8699.1</v>
      </c>
      <c r="P396" s="97">
        <f t="shared" si="78"/>
        <v>8699.1</v>
      </c>
      <c r="Q396" s="97">
        <f t="shared" si="79"/>
        <v>0</v>
      </c>
    </row>
    <row r="397" spans="1:17" ht="33.6" customHeight="1" x14ac:dyDescent="0.2">
      <c r="A397" s="40"/>
      <c r="B397" s="113" t="s">
        <v>95</v>
      </c>
      <c r="C397" s="113" t="s">
        <v>51</v>
      </c>
      <c r="D397" s="133" t="s">
        <v>388</v>
      </c>
      <c r="E397" s="133" t="s">
        <v>391</v>
      </c>
      <c r="F397" s="134" t="s">
        <v>96</v>
      </c>
      <c r="G397" s="111">
        <v>8699.1</v>
      </c>
      <c r="H397" s="111"/>
      <c r="I397" s="111">
        <f>SUM(G397)</f>
        <v>8699.1</v>
      </c>
      <c r="J397" s="115">
        <v>0</v>
      </c>
      <c r="K397" s="111"/>
      <c r="L397" s="115">
        <v>0</v>
      </c>
      <c r="M397" s="111">
        <f>SUM(G397)</f>
        <v>8699.1</v>
      </c>
      <c r="N397" s="111">
        <f>SUM(H397)</f>
        <v>0</v>
      </c>
      <c r="O397" s="111">
        <f>SUM(I397)</f>
        <v>8699.1</v>
      </c>
      <c r="P397" s="97">
        <f t="shared" si="78"/>
        <v>8699.1</v>
      </c>
      <c r="Q397" s="97">
        <f t="shared" si="79"/>
        <v>0</v>
      </c>
    </row>
    <row r="398" spans="1:17" ht="47.25" x14ac:dyDescent="0.2">
      <c r="A398" s="40"/>
      <c r="B398" s="113" t="s">
        <v>249</v>
      </c>
      <c r="C398" s="113" t="s">
        <v>51</v>
      </c>
      <c r="D398" s="133" t="s">
        <v>388</v>
      </c>
      <c r="E398" s="133" t="s">
        <v>250</v>
      </c>
      <c r="F398" s="134" t="s">
        <v>11</v>
      </c>
      <c r="G398" s="111">
        <f>G399+G401+G403</f>
        <v>99025.1</v>
      </c>
      <c r="H398" s="111">
        <f>H399+H403+H401</f>
        <v>0</v>
      </c>
      <c r="I398" s="111">
        <f>I399+I403+I401</f>
        <v>99025.1</v>
      </c>
      <c r="J398" s="114">
        <f t="shared" ref="G398:O399" si="95">J399</f>
        <v>0</v>
      </c>
      <c r="K398" s="111">
        <f t="shared" si="95"/>
        <v>0</v>
      </c>
      <c r="L398" s="114">
        <f t="shared" si="95"/>
        <v>0</v>
      </c>
      <c r="M398" s="111">
        <f>M399+M401+M403</f>
        <v>99025.1</v>
      </c>
      <c r="N398" s="111">
        <f>N399+N403+N401</f>
        <v>0</v>
      </c>
      <c r="O398" s="111">
        <f>O399+O403+O401</f>
        <v>99025.1</v>
      </c>
      <c r="P398" s="97">
        <f t="shared" si="78"/>
        <v>99025.1</v>
      </c>
      <c r="Q398" s="97">
        <f t="shared" si="79"/>
        <v>0</v>
      </c>
    </row>
    <row r="399" spans="1:17" ht="31.5" x14ac:dyDescent="0.2">
      <c r="A399" s="40"/>
      <c r="B399" s="113" t="s">
        <v>134</v>
      </c>
      <c r="C399" s="113" t="s">
        <v>51</v>
      </c>
      <c r="D399" s="133" t="s">
        <v>388</v>
      </c>
      <c r="E399" s="133" t="s">
        <v>251</v>
      </c>
      <c r="F399" s="134" t="s">
        <v>11</v>
      </c>
      <c r="G399" s="111">
        <f t="shared" si="95"/>
        <v>97105.1</v>
      </c>
      <c r="H399" s="111">
        <f t="shared" si="95"/>
        <v>0</v>
      </c>
      <c r="I399" s="111">
        <f t="shared" si="95"/>
        <v>97105.1</v>
      </c>
      <c r="J399" s="114">
        <f t="shared" si="95"/>
        <v>0</v>
      </c>
      <c r="K399" s="111"/>
      <c r="L399" s="114">
        <f t="shared" si="95"/>
        <v>0</v>
      </c>
      <c r="M399" s="111">
        <f t="shared" si="95"/>
        <v>97105.1</v>
      </c>
      <c r="N399" s="111">
        <f t="shared" si="95"/>
        <v>0</v>
      </c>
      <c r="O399" s="111">
        <f t="shared" si="95"/>
        <v>97105.1</v>
      </c>
      <c r="P399" s="97">
        <f t="shared" si="78"/>
        <v>97105.1</v>
      </c>
      <c r="Q399" s="97">
        <f t="shared" si="79"/>
        <v>0</v>
      </c>
    </row>
    <row r="400" spans="1:17" ht="33.6" customHeight="1" x14ac:dyDescent="0.2">
      <c r="A400" s="40"/>
      <c r="B400" s="113" t="s">
        <v>95</v>
      </c>
      <c r="C400" s="113" t="s">
        <v>51</v>
      </c>
      <c r="D400" s="133" t="s">
        <v>388</v>
      </c>
      <c r="E400" s="133" t="s">
        <v>251</v>
      </c>
      <c r="F400" s="134" t="s">
        <v>96</v>
      </c>
      <c r="G400" s="111">
        <v>97105.1</v>
      </c>
      <c r="H400" s="111"/>
      <c r="I400" s="111">
        <f>SUM(G400)+H400</f>
        <v>97105.1</v>
      </c>
      <c r="J400" s="115">
        <v>0</v>
      </c>
      <c r="K400" s="106"/>
      <c r="L400" s="115">
        <v>0</v>
      </c>
      <c r="M400" s="111">
        <f>SUM(G400)</f>
        <v>97105.1</v>
      </c>
      <c r="N400" s="111">
        <f>SUM(H400)</f>
        <v>0</v>
      </c>
      <c r="O400" s="111">
        <f>SUM(M400)+N400</f>
        <v>97105.1</v>
      </c>
      <c r="P400" s="97">
        <f t="shared" si="78"/>
        <v>97105.1</v>
      </c>
      <c r="Q400" s="97">
        <f t="shared" si="79"/>
        <v>0</v>
      </c>
    </row>
    <row r="401" spans="1:17" ht="33.6" customHeight="1" x14ac:dyDescent="0.2">
      <c r="A401" s="40"/>
      <c r="B401" s="145" t="s">
        <v>392</v>
      </c>
      <c r="C401" s="113">
        <v>992</v>
      </c>
      <c r="D401" s="133" t="s">
        <v>388</v>
      </c>
      <c r="E401" s="136" t="s">
        <v>393</v>
      </c>
      <c r="F401" s="134"/>
      <c r="G401" s="111">
        <f>SUM(G402)</f>
        <v>779</v>
      </c>
      <c r="H401" s="111"/>
      <c r="I401" s="111">
        <f>SUM(G401)</f>
        <v>779</v>
      </c>
      <c r="J401" s="115"/>
      <c r="K401" s="106"/>
      <c r="L401" s="115"/>
      <c r="M401" s="111">
        <f>SUM(G401)</f>
        <v>779</v>
      </c>
      <c r="N401" s="111">
        <f t="shared" ref="N401:O404" si="96">SUM(H401)</f>
        <v>0</v>
      </c>
      <c r="O401" s="111">
        <f t="shared" si="96"/>
        <v>779</v>
      </c>
      <c r="P401" s="97">
        <f t="shared" si="78"/>
        <v>779</v>
      </c>
      <c r="Q401" s="97">
        <f t="shared" si="79"/>
        <v>0</v>
      </c>
    </row>
    <row r="402" spans="1:17" ht="33.6" customHeight="1" x14ac:dyDescent="0.2">
      <c r="A402" s="40"/>
      <c r="B402" s="113" t="s">
        <v>95</v>
      </c>
      <c r="C402" s="113">
        <v>992</v>
      </c>
      <c r="D402" s="133" t="s">
        <v>388</v>
      </c>
      <c r="E402" s="136" t="s">
        <v>393</v>
      </c>
      <c r="F402" s="134">
        <v>600</v>
      </c>
      <c r="G402" s="111">
        <v>779</v>
      </c>
      <c r="H402" s="111"/>
      <c r="I402" s="111">
        <f>SUM(G402)</f>
        <v>779</v>
      </c>
      <c r="J402" s="115"/>
      <c r="K402" s="106"/>
      <c r="L402" s="115"/>
      <c r="M402" s="111">
        <f>SUM(G402)</f>
        <v>779</v>
      </c>
      <c r="N402" s="111">
        <f t="shared" si="96"/>
        <v>0</v>
      </c>
      <c r="O402" s="111">
        <f t="shared" si="96"/>
        <v>779</v>
      </c>
      <c r="P402" s="97">
        <f t="shared" si="78"/>
        <v>779</v>
      </c>
      <c r="Q402" s="97">
        <f t="shared" si="79"/>
        <v>0</v>
      </c>
    </row>
    <row r="403" spans="1:17" ht="51" customHeight="1" x14ac:dyDescent="0.2">
      <c r="A403" s="40"/>
      <c r="B403" s="113" t="s">
        <v>283</v>
      </c>
      <c r="C403" s="113">
        <v>992</v>
      </c>
      <c r="D403" s="133" t="s">
        <v>388</v>
      </c>
      <c r="E403" s="136" t="s">
        <v>284</v>
      </c>
      <c r="F403" s="134"/>
      <c r="G403" s="111">
        <f>SUM(G404)</f>
        <v>1141</v>
      </c>
      <c r="H403" s="111">
        <f>SUM(H404)</f>
        <v>0</v>
      </c>
      <c r="I403" s="111">
        <f>SUM(G403)</f>
        <v>1141</v>
      </c>
      <c r="J403" s="115"/>
      <c r="K403" s="106"/>
      <c r="L403" s="115"/>
      <c r="M403" s="111">
        <f>SUM(G403)</f>
        <v>1141</v>
      </c>
      <c r="N403" s="111">
        <f t="shared" si="96"/>
        <v>0</v>
      </c>
      <c r="O403" s="111">
        <f t="shared" si="96"/>
        <v>1141</v>
      </c>
      <c r="P403" s="97">
        <f t="shared" si="78"/>
        <v>1141</v>
      </c>
      <c r="Q403" s="97">
        <f t="shared" si="79"/>
        <v>0</v>
      </c>
    </row>
    <row r="404" spans="1:17" ht="33.6" customHeight="1" x14ac:dyDescent="0.2">
      <c r="A404" s="40"/>
      <c r="B404" s="113" t="s">
        <v>95</v>
      </c>
      <c r="C404" s="113">
        <v>992</v>
      </c>
      <c r="D404" s="133" t="s">
        <v>388</v>
      </c>
      <c r="E404" s="136" t="s">
        <v>284</v>
      </c>
      <c r="F404" s="134">
        <v>600</v>
      </c>
      <c r="G404" s="111">
        <v>1141</v>
      </c>
      <c r="H404" s="111"/>
      <c r="I404" s="111">
        <f>SUM(G404)</f>
        <v>1141</v>
      </c>
      <c r="J404" s="115"/>
      <c r="K404" s="106"/>
      <c r="L404" s="115"/>
      <c r="M404" s="111">
        <f>SUM(G404)</f>
        <v>1141</v>
      </c>
      <c r="N404" s="111">
        <f t="shared" si="96"/>
        <v>0</v>
      </c>
      <c r="O404" s="111">
        <f t="shared" si="96"/>
        <v>1141</v>
      </c>
      <c r="P404" s="97">
        <f t="shared" si="78"/>
        <v>1141</v>
      </c>
      <c r="Q404" s="97">
        <f t="shared" si="79"/>
        <v>0</v>
      </c>
    </row>
    <row r="405" spans="1:17" ht="15.75" x14ac:dyDescent="0.2">
      <c r="A405" s="20" t="s">
        <v>394</v>
      </c>
      <c r="B405" s="107" t="s">
        <v>395</v>
      </c>
      <c r="C405" s="107" t="s">
        <v>51</v>
      </c>
      <c r="D405" s="129" t="s">
        <v>396</v>
      </c>
      <c r="E405" s="129" t="s">
        <v>11</v>
      </c>
      <c r="F405" s="130" t="s">
        <v>11</v>
      </c>
      <c r="G405" s="106">
        <f>G406</f>
        <v>15416.8</v>
      </c>
      <c r="H405" s="109">
        <f>H406</f>
        <v>0</v>
      </c>
      <c r="I405" s="106">
        <f>I406</f>
        <v>15416.8</v>
      </c>
      <c r="J405" s="108">
        <f>J406</f>
        <v>844.2</v>
      </c>
      <c r="K405" s="109">
        <f>K406+K420</f>
        <v>0</v>
      </c>
      <c r="L405" s="108">
        <f>L406</f>
        <v>844.2</v>
      </c>
      <c r="M405" s="106">
        <f>M406</f>
        <v>15972.8</v>
      </c>
      <c r="N405" s="106">
        <f>N406</f>
        <v>0</v>
      </c>
      <c r="O405" s="106">
        <f>O406</f>
        <v>15972.8</v>
      </c>
      <c r="P405" s="97">
        <f t="shared" si="78"/>
        <v>15416.8</v>
      </c>
      <c r="Q405" s="97">
        <f t="shared" si="79"/>
        <v>0</v>
      </c>
    </row>
    <row r="406" spans="1:17" ht="15.75" x14ac:dyDescent="0.2">
      <c r="A406" s="33" t="s">
        <v>397</v>
      </c>
      <c r="B406" s="110" t="s">
        <v>398</v>
      </c>
      <c r="C406" s="110" t="s">
        <v>51</v>
      </c>
      <c r="D406" s="131" t="s">
        <v>399</v>
      </c>
      <c r="E406" s="131" t="s">
        <v>11</v>
      </c>
      <c r="F406" s="132" t="s">
        <v>11</v>
      </c>
      <c r="G406" s="109">
        <f>G407+G423</f>
        <v>15416.8</v>
      </c>
      <c r="H406" s="111">
        <f>H407</f>
        <v>0</v>
      </c>
      <c r="I406" s="109">
        <f>I407+I423</f>
        <v>15416.8</v>
      </c>
      <c r="J406" s="112">
        <f>J407+J423</f>
        <v>844.2</v>
      </c>
      <c r="K406" s="111">
        <f>K407+K413</f>
        <v>0</v>
      </c>
      <c r="L406" s="112">
        <f>L407+L423</f>
        <v>844.2</v>
      </c>
      <c r="M406" s="109">
        <f>M407+M423</f>
        <v>15972.8</v>
      </c>
      <c r="N406" s="109">
        <f>N407+N423</f>
        <v>0</v>
      </c>
      <c r="O406" s="109">
        <f>O407+O423</f>
        <v>15972.8</v>
      </c>
      <c r="P406" s="97">
        <f t="shared" si="78"/>
        <v>15416.8</v>
      </c>
      <c r="Q406" s="97">
        <f t="shared" si="79"/>
        <v>0</v>
      </c>
    </row>
    <row r="407" spans="1:17" ht="31.5" x14ac:dyDescent="0.2">
      <c r="A407" s="40"/>
      <c r="B407" s="113" t="s">
        <v>400</v>
      </c>
      <c r="C407" s="113" t="s">
        <v>51</v>
      </c>
      <c r="D407" s="133" t="s">
        <v>399</v>
      </c>
      <c r="E407" s="133" t="s">
        <v>401</v>
      </c>
      <c r="F407" s="134" t="s">
        <v>11</v>
      </c>
      <c r="G407" s="111">
        <f>G408+G414</f>
        <v>15336.8</v>
      </c>
      <c r="H407" s="111">
        <f>H408+H414</f>
        <v>0</v>
      </c>
      <c r="I407" s="111">
        <f>I408+I414</f>
        <v>15336.8</v>
      </c>
      <c r="J407" s="111">
        <f>J408+J410+J421</f>
        <v>844.2</v>
      </c>
      <c r="K407" s="111">
        <f>K408+K414+K421</f>
        <v>0</v>
      </c>
      <c r="L407" s="111">
        <f>L408+L410+L421</f>
        <v>844.2</v>
      </c>
      <c r="M407" s="111">
        <f>M408+M414</f>
        <v>15892.8</v>
      </c>
      <c r="N407" s="111">
        <f>N408+N414</f>
        <v>0</v>
      </c>
      <c r="O407" s="111">
        <f>O408+O414</f>
        <v>15892.8</v>
      </c>
      <c r="P407" s="97">
        <f t="shared" si="78"/>
        <v>15336.8</v>
      </c>
      <c r="Q407" s="97">
        <f t="shared" si="79"/>
        <v>0</v>
      </c>
    </row>
    <row r="408" spans="1:17" ht="47.25" x14ac:dyDescent="0.2">
      <c r="A408" s="40"/>
      <c r="B408" s="113" t="s">
        <v>402</v>
      </c>
      <c r="C408" s="113" t="s">
        <v>51</v>
      </c>
      <c r="D408" s="133" t="s">
        <v>399</v>
      </c>
      <c r="E408" s="133" t="s">
        <v>403</v>
      </c>
      <c r="F408" s="134" t="s">
        <v>11</v>
      </c>
      <c r="G408" s="111">
        <f>G409+G412</f>
        <v>2519.6999999999998</v>
      </c>
      <c r="H408" s="111">
        <f>H409+H412</f>
        <v>0</v>
      </c>
      <c r="I408" s="111">
        <f>I409+I412</f>
        <v>2519.6999999999998</v>
      </c>
      <c r="J408" s="114">
        <f>J409+J412</f>
        <v>400</v>
      </c>
      <c r="K408" s="111">
        <f>K409</f>
        <v>0</v>
      </c>
      <c r="L408" s="114">
        <f>L409+L412</f>
        <v>400</v>
      </c>
      <c r="M408" s="111">
        <f>M409+M412</f>
        <v>2919.7</v>
      </c>
      <c r="N408" s="111">
        <f>N409+N412</f>
        <v>0</v>
      </c>
      <c r="O408" s="111">
        <f>O409+O412</f>
        <v>2919.7</v>
      </c>
      <c r="P408" s="97">
        <f t="shared" si="78"/>
        <v>2519.6999999999998</v>
      </c>
      <c r="Q408" s="97">
        <f t="shared" si="79"/>
        <v>0</v>
      </c>
    </row>
    <row r="409" spans="1:17" ht="47.25" x14ac:dyDescent="0.2">
      <c r="A409" s="40"/>
      <c r="B409" s="113" t="s">
        <v>404</v>
      </c>
      <c r="C409" s="113" t="s">
        <v>51</v>
      </c>
      <c r="D409" s="133" t="s">
        <v>399</v>
      </c>
      <c r="E409" s="133" t="s">
        <v>405</v>
      </c>
      <c r="F409" s="134" t="s">
        <v>11</v>
      </c>
      <c r="G409" s="111">
        <f>G410+G411</f>
        <v>1889.1</v>
      </c>
      <c r="H409" s="111">
        <f>SUM(H410:H411)</f>
        <v>0</v>
      </c>
      <c r="I409" s="111">
        <f>I410+I411</f>
        <v>1889.1</v>
      </c>
      <c r="J409" s="114">
        <f>J410+J411</f>
        <v>400</v>
      </c>
      <c r="K409" s="111">
        <f>SUM(K410:K411)</f>
        <v>0</v>
      </c>
      <c r="L409" s="114">
        <f>L410+L411</f>
        <v>400</v>
      </c>
      <c r="M409" s="111">
        <f>M410+M411</f>
        <v>2289.1</v>
      </c>
      <c r="N409" s="111">
        <f>H409+K409</f>
        <v>0</v>
      </c>
      <c r="O409" s="167">
        <f>O410+O411</f>
        <v>2289.1</v>
      </c>
      <c r="P409" s="97">
        <f t="shared" si="78"/>
        <v>1889.1</v>
      </c>
      <c r="Q409" s="97">
        <f t="shared" si="79"/>
        <v>0</v>
      </c>
    </row>
    <row r="410" spans="1:17" ht="78.75" x14ac:dyDescent="0.2">
      <c r="A410" s="40"/>
      <c r="B410" s="113" t="s">
        <v>61</v>
      </c>
      <c r="C410" s="113" t="s">
        <v>51</v>
      </c>
      <c r="D410" s="133" t="s">
        <v>399</v>
      </c>
      <c r="E410" s="133" t="s">
        <v>405</v>
      </c>
      <c r="F410" s="134" t="s">
        <v>62</v>
      </c>
      <c r="G410" s="111">
        <v>1818.1</v>
      </c>
      <c r="H410" s="111"/>
      <c r="I410" s="111">
        <f>SUM(G410:H410)</f>
        <v>1818.1</v>
      </c>
      <c r="J410" s="115">
        <v>288.2</v>
      </c>
      <c r="K410" s="111"/>
      <c r="L410" s="115">
        <f>SUM(J410:K410)</f>
        <v>288.2</v>
      </c>
      <c r="M410" s="111">
        <f>G410+J410</f>
        <v>2106.2999999999997</v>
      </c>
      <c r="N410" s="111">
        <f>H410+K410</f>
        <v>0</v>
      </c>
      <c r="O410" s="167">
        <f>SUM(M410:N410)</f>
        <v>2106.2999999999997</v>
      </c>
      <c r="P410" s="97">
        <f t="shared" si="78"/>
        <v>1818.1</v>
      </c>
      <c r="Q410" s="97">
        <f t="shared" si="79"/>
        <v>0</v>
      </c>
    </row>
    <row r="411" spans="1:17" ht="31.5" x14ac:dyDescent="0.2">
      <c r="A411" s="40"/>
      <c r="B411" s="113" t="s">
        <v>408</v>
      </c>
      <c r="C411" s="113" t="s">
        <v>51</v>
      </c>
      <c r="D411" s="133" t="s">
        <v>399</v>
      </c>
      <c r="E411" s="133" t="s">
        <v>405</v>
      </c>
      <c r="F411" s="134">
        <v>200</v>
      </c>
      <c r="G411" s="111">
        <v>71</v>
      </c>
      <c r="H411" s="111"/>
      <c r="I411" s="111">
        <f>SUM(G411:H411)</f>
        <v>71</v>
      </c>
      <c r="J411" s="115">
        <v>111.8</v>
      </c>
      <c r="K411" s="111"/>
      <c r="L411" s="115">
        <f>SUM(J411:K411)</f>
        <v>111.8</v>
      </c>
      <c r="M411" s="111">
        <f>G411+J411</f>
        <v>182.8</v>
      </c>
      <c r="N411" s="111">
        <f>H411+K411</f>
        <v>0</v>
      </c>
      <c r="O411" s="167">
        <f>SUM(M411:N411)</f>
        <v>182.8</v>
      </c>
      <c r="P411" s="97">
        <f t="shared" si="78"/>
        <v>71</v>
      </c>
      <c r="Q411" s="97">
        <f t="shared" si="79"/>
        <v>0</v>
      </c>
    </row>
    <row r="412" spans="1:17" ht="47.25" x14ac:dyDescent="0.2">
      <c r="A412" s="40"/>
      <c r="B412" s="113" t="s">
        <v>406</v>
      </c>
      <c r="C412" s="113" t="s">
        <v>51</v>
      </c>
      <c r="D412" s="133" t="s">
        <v>399</v>
      </c>
      <c r="E412" s="133" t="s">
        <v>407</v>
      </c>
      <c r="F412" s="134" t="s">
        <v>11</v>
      </c>
      <c r="G412" s="111">
        <f>G413</f>
        <v>630.6</v>
      </c>
      <c r="H412" s="111">
        <f>SUM(H413)</f>
        <v>0</v>
      </c>
      <c r="I412" s="111">
        <f>I413</f>
        <v>630.6</v>
      </c>
      <c r="J412" s="114">
        <f>J413</f>
        <v>0</v>
      </c>
      <c r="K412" s="111"/>
      <c r="L412" s="114">
        <f>L413</f>
        <v>0</v>
      </c>
      <c r="M412" s="111">
        <f>M413</f>
        <v>630.6</v>
      </c>
      <c r="N412" s="111">
        <f>N413</f>
        <v>0</v>
      </c>
      <c r="O412" s="111">
        <f>O413</f>
        <v>630.6</v>
      </c>
      <c r="P412" s="97">
        <f t="shared" si="78"/>
        <v>630.6</v>
      </c>
      <c r="Q412" s="97">
        <f t="shared" si="79"/>
        <v>0</v>
      </c>
    </row>
    <row r="413" spans="1:17" ht="31.5" x14ac:dyDescent="0.2">
      <c r="A413" s="40"/>
      <c r="B413" s="113" t="s">
        <v>408</v>
      </c>
      <c r="C413" s="113" t="s">
        <v>51</v>
      </c>
      <c r="D413" s="133" t="s">
        <v>399</v>
      </c>
      <c r="E413" s="133" t="s">
        <v>407</v>
      </c>
      <c r="F413" s="134" t="s">
        <v>41</v>
      </c>
      <c r="G413" s="111">
        <v>630.6</v>
      </c>
      <c r="H413" s="111"/>
      <c r="I413" s="111">
        <f>SUM(G413)+H413</f>
        <v>630.6</v>
      </c>
      <c r="J413" s="115">
        <v>0</v>
      </c>
      <c r="K413" s="111"/>
      <c r="L413" s="115">
        <v>0</v>
      </c>
      <c r="M413" s="111">
        <f>SUM(G413)</f>
        <v>630.6</v>
      </c>
      <c r="N413" s="111">
        <f>SUM(H413)</f>
        <v>0</v>
      </c>
      <c r="O413" s="111">
        <f>SUM(I413)</f>
        <v>630.6</v>
      </c>
      <c r="P413" s="97">
        <f t="shared" si="78"/>
        <v>630.6</v>
      </c>
      <c r="Q413" s="97">
        <f t="shared" si="79"/>
        <v>0</v>
      </c>
    </row>
    <row r="414" spans="1:17" ht="49.15" customHeight="1" x14ac:dyDescent="0.2">
      <c r="A414" s="40"/>
      <c r="B414" s="113" t="s">
        <v>409</v>
      </c>
      <c r="C414" s="113" t="s">
        <v>51</v>
      </c>
      <c r="D414" s="133" t="s">
        <v>399</v>
      </c>
      <c r="E414" s="133" t="s">
        <v>410</v>
      </c>
      <c r="F414" s="134" t="s">
        <v>11</v>
      </c>
      <c r="G414" s="111">
        <f>G415+G419</f>
        <v>12817.1</v>
      </c>
      <c r="H414" s="111">
        <f>H415</f>
        <v>0</v>
      </c>
      <c r="I414" s="111">
        <f>I415+I419</f>
        <v>12817.1</v>
      </c>
      <c r="J414" s="114">
        <f>J415+J419+J421</f>
        <v>156</v>
      </c>
      <c r="K414" s="111">
        <f>K415+K416+K421</f>
        <v>0</v>
      </c>
      <c r="L414" s="114">
        <f>L415+L419+L421</f>
        <v>156</v>
      </c>
      <c r="M414" s="111">
        <f>M415+M419+M421</f>
        <v>12973.1</v>
      </c>
      <c r="N414" s="111">
        <f>N415+N419</f>
        <v>0</v>
      </c>
      <c r="O414" s="111">
        <f>O415+O419+O421</f>
        <v>12973.1</v>
      </c>
      <c r="P414" s="97">
        <f t="shared" si="78"/>
        <v>12817.1</v>
      </c>
      <c r="Q414" s="97">
        <f t="shared" si="79"/>
        <v>0</v>
      </c>
    </row>
    <row r="415" spans="1:17" ht="31.5" x14ac:dyDescent="0.2">
      <c r="A415" s="40"/>
      <c r="B415" s="113" t="s">
        <v>134</v>
      </c>
      <c r="C415" s="113" t="s">
        <v>51</v>
      </c>
      <c r="D415" s="133" t="s">
        <v>399</v>
      </c>
      <c r="E415" s="133" t="s">
        <v>411</v>
      </c>
      <c r="F415" s="134" t="s">
        <v>11</v>
      </c>
      <c r="G415" s="111">
        <f>G416+G417+G418</f>
        <v>12012</v>
      </c>
      <c r="H415" s="111">
        <f>H416+H417+H418</f>
        <v>0</v>
      </c>
      <c r="I415" s="111">
        <f>I416+I417+I418</f>
        <v>12012</v>
      </c>
      <c r="J415" s="114">
        <f>J416+J417+J418</f>
        <v>0</v>
      </c>
      <c r="K415" s="111">
        <f>SUM(K417)</f>
        <v>0</v>
      </c>
      <c r="L415" s="114">
        <f>L416+L417+L418</f>
        <v>0</v>
      </c>
      <c r="M415" s="111">
        <f>M416+M417+M418</f>
        <v>12012</v>
      </c>
      <c r="N415" s="111">
        <f>N416+N417+N418</f>
        <v>0</v>
      </c>
      <c r="O415" s="111">
        <f>O416+O417+O418</f>
        <v>12012</v>
      </c>
      <c r="P415" s="97">
        <f t="shared" si="78"/>
        <v>12012</v>
      </c>
      <c r="Q415" s="97">
        <f t="shared" si="79"/>
        <v>0</v>
      </c>
    </row>
    <row r="416" spans="1:17" ht="78.75" x14ac:dyDescent="0.2">
      <c r="A416" s="40"/>
      <c r="B416" s="113" t="s">
        <v>61</v>
      </c>
      <c r="C416" s="113" t="s">
        <v>51</v>
      </c>
      <c r="D416" s="133" t="s">
        <v>399</v>
      </c>
      <c r="E416" s="133" t="s">
        <v>411</v>
      </c>
      <c r="F416" s="134" t="s">
        <v>62</v>
      </c>
      <c r="G416" s="111">
        <v>8949.5</v>
      </c>
      <c r="H416" s="111"/>
      <c r="I416" s="111">
        <f>SUM(G416)+H416</f>
        <v>8949.5</v>
      </c>
      <c r="J416" s="115">
        <v>0</v>
      </c>
      <c r="K416" s="111"/>
      <c r="L416" s="115">
        <v>0</v>
      </c>
      <c r="M416" s="111">
        <f>SUM(G416)</f>
        <v>8949.5</v>
      </c>
      <c r="N416" s="111">
        <f>SUM(H416)</f>
        <v>0</v>
      </c>
      <c r="O416" s="111">
        <f>SUM(I416)</f>
        <v>8949.5</v>
      </c>
      <c r="P416" s="97">
        <f t="shared" si="78"/>
        <v>8949.5</v>
      </c>
      <c r="Q416" s="97">
        <f t="shared" si="79"/>
        <v>0</v>
      </c>
    </row>
    <row r="417" spans="1:17" ht="31.5" x14ac:dyDescent="0.2">
      <c r="A417" s="40"/>
      <c r="B417" s="113" t="s">
        <v>40</v>
      </c>
      <c r="C417" s="113" t="s">
        <v>51</v>
      </c>
      <c r="D417" s="133" t="s">
        <v>399</v>
      </c>
      <c r="E417" s="133" t="s">
        <v>411</v>
      </c>
      <c r="F417" s="134" t="s">
        <v>41</v>
      </c>
      <c r="G417" s="111">
        <v>3058.8</v>
      </c>
      <c r="H417" s="111"/>
      <c r="I417" s="111">
        <f>SUM(G417)+H417</f>
        <v>3058.8</v>
      </c>
      <c r="J417" s="115">
        <v>0</v>
      </c>
      <c r="K417" s="111"/>
      <c r="L417" s="114">
        <f>K417</f>
        <v>0</v>
      </c>
      <c r="M417" s="111">
        <f>SUM(G417)</f>
        <v>3058.8</v>
      </c>
      <c r="N417" s="111">
        <f>SUM(H417+K417)</f>
        <v>0</v>
      </c>
      <c r="O417" s="111">
        <f>SUM(I417)</f>
        <v>3058.8</v>
      </c>
      <c r="P417" s="97">
        <f t="shared" si="78"/>
        <v>3058.8</v>
      </c>
      <c r="Q417" s="97">
        <f t="shared" si="79"/>
        <v>0</v>
      </c>
    </row>
    <row r="418" spans="1:17" ht="15.75" x14ac:dyDescent="0.2">
      <c r="A418" s="40"/>
      <c r="B418" s="113" t="s">
        <v>338</v>
      </c>
      <c r="C418" s="113" t="s">
        <v>51</v>
      </c>
      <c r="D418" s="133" t="s">
        <v>399</v>
      </c>
      <c r="E418" s="133" t="s">
        <v>411</v>
      </c>
      <c r="F418" s="134" t="s">
        <v>71</v>
      </c>
      <c r="G418" s="111">
        <v>3.7</v>
      </c>
      <c r="H418" s="111"/>
      <c r="I418" s="111">
        <v>3.7</v>
      </c>
      <c r="J418" s="115">
        <v>0</v>
      </c>
      <c r="K418" s="111"/>
      <c r="L418" s="115">
        <v>0</v>
      </c>
      <c r="M418" s="111">
        <v>3.7</v>
      </c>
      <c r="N418" s="111"/>
      <c r="O418" s="111">
        <v>3.7</v>
      </c>
      <c r="P418" s="97">
        <f t="shared" ref="P418:P481" si="97">G418+H418</f>
        <v>3.7</v>
      </c>
      <c r="Q418" s="97">
        <f t="shared" ref="Q418:Q481" si="98">I418-P418</f>
        <v>0</v>
      </c>
    </row>
    <row r="419" spans="1:17" ht="31.5" x14ac:dyDescent="0.2">
      <c r="A419" s="40"/>
      <c r="B419" s="113" t="s">
        <v>412</v>
      </c>
      <c r="C419" s="113" t="s">
        <v>51</v>
      </c>
      <c r="D419" s="133" t="s">
        <v>399</v>
      </c>
      <c r="E419" s="133" t="s">
        <v>413</v>
      </c>
      <c r="F419" s="134" t="s">
        <v>11</v>
      </c>
      <c r="G419" s="111">
        <f>G420</f>
        <v>805.1</v>
      </c>
      <c r="H419" s="111"/>
      <c r="I419" s="111">
        <f>I420</f>
        <v>805.1</v>
      </c>
      <c r="J419" s="114">
        <f>J420</f>
        <v>0</v>
      </c>
      <c r="K419" s="111"/>
      <c r="L419" s="114">
        <f>L420</f>
        <v>0</v>
      </c>
      <c r="M419" s="111">
        <f>M420</f>
        <v>805.1</v>
      </c>
      <c r="N419" s="111">
        <f>N420</f>
        <v>0</v>
      </c>
      <c r="O419" s="111">
        <f>O420</f>
        <v>805.1</v>
      </c>
      <c r="P419" s="97">
        <f t="shared" si="97"/>
        <v>805.1</v>
      </c>
      <c r="Q419" s="97">
        <f t="shared" si="98"/>
        <v>0</v>
      </c>
    </row>
    <row r="420" spans="1:17" ht="31.5" x14ac:dyDescent="0.2">
      <c r="A420" s="40"/>
      <c r="B420" s="113" t="s">
        <v>40</v>
      </c>
      <c r="C420" s="113" t="s">
        <v>51</v>
      </c>
      <c r="D420" s="133" t="s">
        <v>399</v>
      </c>
      <c r="E420" s="133" t="s">
        <v>413</v>
      </c>
      <c r="F420" s="134" t="s">
        <v>41</v>
      </c>
      <c r="G420" s="111">
        <v>805.1</v>
      </c>
      <c r="H420" s="111"/>
      <c r="I420" s="111">
        <f>SUM(G420)+H420</f>
        <v>805.1</v>
      </c>
      <c r="J420" s="115">
        <v>0</v>
      </c>
      <c r="K420" s="111"/>
      <c r="L420" s="115">
        <v>0</v>
      </c>
      <c r="M420" s="111">
        <f>SUM(G420)</f>
        <v>805.1</v>
      </c>
      <c r="N420" s="111">
        <f>SUM(H420)</f>
        <v>0</v>
      </c>
      <c r="O420" s="111">
        <f>SUM(M420)+N420</f>
        <v>805.1</v>
      </c>
      <c r="P420" s="97">
        <f t="shared" si="97"/>
        <v>805.1</v>
      </c>
      <c r="Q420" s="97">
        <f t="shared" si="98"/>
        <v>0</v>
      </c>
    </row>
    <row r="421" spans="1:17" ht="40.9" customHeight="1" x14ac:dyDescent="0.2">
      <c r="A421" s="40"/>
      <c r="B421" s="96" t="s">
        <v>414</v>
      </c>
      <c r="C421" s="113">
        <v>992</v>
      </c>
      <c r="D421" s="133" t="s">
        <v>399</v>
      </c>
      <c r="E421" s="136" t="s">
        <v>415</v>
      </c>
      <c r="F421" s="134"/>
      <c r="G421" s="111"/>
      <c r="H421" s="111"/>
      <c r="I421" s="111"/>
      <c r="J421" s="115">
        <v>156</v>
      </c>
      <c r="K421" s="111"/>
      <c r="L421" s="115">
        <f>SUM(L422)</f>
        <v>156</v>
      </c>
      <c r="M421" s="111">
        <f t="shared" ref="M421:O422" si="99">SUM(J421)</f>
        <v>156</v>
      </c>
      <c r="N421" s="111">
        <f t="shared" si="99"/>
        <v>0</v>
      </c>
      <c r="O421" s="111">
        <f t="shared" si="99"/>
        <v>156</v>
      </c>
      <c r="P421" s="97">
        <f t="shared" si="97"/>
        <v>0</v>
      </c>
      <c r="Q421" s="97">
        <f t="shared" si="98"/>
        <v>0</v>
      </c>
    </row>
    <row r="422" spans="1:17" ht="31.5" x14ac:dyDescent="0.2">
      <c r="A422" s="40"/>
      <c r="B422" s="113" t="s">
        <v>40</v>
      </c>
      <c r="C422" s="113">
        <v>992</v>
      </c>
      <c r="D422" s="133" t="s">
        <v>399</v>
      </c>
      <c r="E422" s="136" t="s">
        <v>415</v>
      </c>
      <c r="F422" s="134">
        <v>200</v>
      </c>
      <c r="G422" s="111"/>
      <c r="H422" s="111"/>
      <c r="I422" s="111"/>
      <c r="J422" s="115">
        <v>156</v>
      </c>
      <c r="K422" s="111"/>
      <c r="L422" s="115">
        <f>SUM(J422)</f>
        <v>156</v>
      </c>
      <c r="M422" s="111">
        <f t="shared" si="99"/>
        <v>156</v>
      </c>
      <c r="N422" s="111">
        <f t="shared" si="99"/>
        <v>0</v>
      </c>
      <c r="O422" s="111">
        <f t="shared" si="99"/>
        <v>156</v>
      </c>
      <c r="P422" s="97">
        <f t="shared" si="97"/>
        <v>0</v>
      </c>
      <c r="Q422" s="97">
        <f t="shared" si="98"/>
        <v>0</v>
      </c>
    </row>
    <row r="423" spans="1:17" ht="31.5" x14ac:dyDescent="0.2">
      <c r="A423" s="40"/>
      <c r="B423" s="113" t="s">
        <v>87</v>
      </c>
      <c r="C423" s="113" t="s">
        <v>51</v>
      </c>
      <c r="D423" s="133" t="s">
        <v>399</v>
      </c>
      <c r="E423" s="133" t="s">
        <v>88</v>
      </c>
      <c r="F423" s="134" t="s">
        <v>11</v>
      </c>
      <c r="G423" s="111">
        <f t="shared" ref="G423:O426" si="100">G424</f>
        <v>80</v>
      </c>
      <c r="H423" s="111">
        <f t="shared" si="100"/>
        <v>0</v>
      </c>
      <c r="I423" s="111">
        <f t="shared" si="100"/>
        <v>80</v>
      </c>
      <c r="J423" s="114">
        <f t="shared" si="100"/>
        <v>0</v>
      </c>
      <c r="K423" s="111">
        <f>K424</f>
        <v>0</v>
      </c>
      <c r="L423" s="114">
        <f t="shared" si="100"/>
        <v>0</v>
      </c>
      <c r="M423" s="111">
        <f t="shared" si="100"/>
        <v>80</v>
      </c>
      <c r="N423" s="111">
        <f t="shared" si="100"/>
        <v>0</v>
      </c>
      <c r="O423" s="111">
        <f t="shared" si="100"/>
        <v>80</v>
      </c>
      <c r="P423" s="97">
        <f t="shared" si="97"/>
        <v>80</v>
      </c>
      <c r="Q423" s="97">
        <f t="shared" si="98"/>
        <v>0</v>
      </c>
    </row>
    <row r="424" spans="1:17" ht="33" customHeight="1" x14ac:dyDescent="0.2">
      <c r="A424" s="40"/>
      <c r="B424" s="113" t="s">
        <v>89</v>
      </c>
      <c r="C424" s="113" t="s">
        <v>51</v>
      </c>
      <c r="D424" s="133" t="s">
        <v>399</v>
      </c>
      <c r="E424" s="133" t="s">
        <v>90</v>
      </c>
      <c r="F424" s="134" t="s">
        <v>11</v>
      </c>
      <c r="G424" s="111">
        <f t="shared" si="100"/>
        <v>80</v>
      </c>
      <c r="H424" s="111">
        <f t="shared" si="100"/>
        <v>0</v>
      </c>
      <c r="I424" s="111">
        <f t="shared" si="100"/>
        <v>80</v>
      </c>
      <c r="J424" s="114">
        <f t="shared" si="100"/>
        <v>0</v>
      </c>
      <c r="K424" s="111">
        <f>K425</f>
        <v>0</v>
      </c>
      <c r="L424" s="114">
        <f t="shared" si="100"/>
        <v>0</v>
      </c>
      <c r="M424" s="111">
        <f t="shared" si="100"/>
        <v>80</v>
      </c>
      <c r="N424" s="111">
        <f t="shared" si="100"/>
        <v>0</v>
      </c>
      <c r="O424" s="111">
        <f t="shared" si="100"/>
        <v>80</v>
      </c>
      <c r="P424" s="97">
        <f t="shared" si="97"/>
        <v>80</v>
      </c>
      <c r="Q424" s="97">
        <f t="shared" si="98"/>
        <v>0</v>
      </c>
    </row>
    <row r="425" spans="1:17" ht="40.9" customHeight="1" x14ac:dyDescent="0.2">
      <c r="A425" s="40"/>
      <c r="B425" s="113" t="s">
        <v>91</v>
      </c>
      <c r="C425" s="113" t="s">
        <v>51</v>
      </c>
      <c r="D425" s="133" t="s">
        <v>399</v>
      </c>
      <c r="E425" s="133" t="s">
        <v>92</v>
      </c>
      <c r="F425" s="134" t="s">
        <v>11</v>
      </c>
      <c r="G425" s="111">
        <f t="shared" si="100"/>
        <v>80</v>
      </c>
      <c r="H425" s="111">
        <f t="shared" si="100"/>
        <v>0</v>
      </c>
      <c r="I425" s="111">
        <f t="shared" si="100"/>
        <v>80</v>
      </c>
      <c r="J425" s="114">
        <f t="shared" si="100"/>
        <v>0</v>
      </c>
      <c r="K425" s="111">
        <f>K426</f>
        <v>0</v>
      </c>
      <c r="L425" s="114">
        <f t="shared" si="100"/>
        <v>0</v>
      </c>
      <c r="M425" s="111">
        <f t="shared" si="100"/>
        <v>80</v>
      </c>
      <c r="N425" s="111">
        <f t="shared" si="100"/>
        <v>0</v>
      </c>
      <c r="O425" s="111">
        <f t="shared" si="100"/>
        <v>80</v>
      </c>
      <c r="P425" s="97">
        <f t="shared" si="97"/>
        <v>80</v>
      </c>
      <c r="Q425" s="97">
        <f t="shared" si="98"/>
        <v>0</v>
      </c>
    </row>
    <row r="426" spans="1:17" ht="47.25" x14ac:dyDescent="0.2">
      <c r="A426" s="40"/>
      <c r="B426" s="113" t="s">
        <v>93</v>
      </c>
      <c r="C426" s="113" t="s">
        <v>51</v>
      </c>
      <c r="D426" s="133" t="s">
        <v>399</v>
      </c>
      <c r="E426" s="133" t="s">
        <v>94</v>
      </c>
      <c r="F426" s="134" t="s">
        <v>11</v>
      </c>
      <c r="G426" s="111">
        <f>G427</f>
        <v>80</v>
      </c>
      <c r="H426" s="111"/>
      <c r="I426" s="111">
        <f>I427</f>
        <v>80</v>
      </c>
      <c r="J426" s="114">
        <f t="shared" si="100"/>
        <v>0</v>
      </c>
      <c r="K426" s="111"/>
      <c r="L426" s="114">
        <f t="shared" si="100"/>
        <v>0</v>
      </c>
      <c r="M426" s="111">
        <f t="shared" si="100"/>
        <v>80</v>
      </c>
      <c r="N426" s="111">
        <f t="shared" si="100"/>
        <v>0</v>
      </c>
      <c r="O426" s="111">
        <f t="shared" si="100"/>
        <v>80</v>
      </c>
      <c r="P426" s="97">
        <f t="shared" si="97"/>
        <v>80</v>
      </c>
      <c r="Q426" s="97">
        <f t="shared" si="98"/>
        <v>0</v>
      </c>
    </row>
    <row r="427" spans="1:17" ht="30.6" customHeight="1" x14ac:dyDescent="0.2">
      <c r="A427" s="40"/>
      <c r="B427" s="113" t="s">
        <v>95</v>
      </c>
      <c r="C427" s="113" t="s">
        <v>51</v>
      </c>
      <c r="D427" s="133" t="s">
        <v>399</v>
      </c>
      <c r="E427" s="133" t="s">
        <v>94</v>
      </c>
      <c r="F427" s="134" t="s">
        <v>96</v>
      </c>
      <c r="G427" s="111">
        <v>80</v>
      </c>
      <c r="H427" s="106"/>
      <c r="I427" s="111">
        <v>80</v>
      </c>
      <c r="J427" s="115">
        <v>0</v>
      </c>
      <c r="K427" s="106"/>
      <c r="L427" s="115">
        <v>0</v>
      </c>
      <c r="M427" s="111">
        <v>80</v>
      </c>
      <c r="N427" s="111"/>
      <c r="O427" s="111">
        <v>80</v>
      </c>
      <c r="P427" s="97">
        <f t="shared" si="97"/>
        <v>80</v>
      </c>
      <c r="Q427" s="97">
        <f t="shared" si="98"/>
        <v>0</v>
      </c>
    </row>
    <row r="428" spans="1:17" ht="15.75" x14ac:dyDescent="0.2">
      <c r="A428" s="20" t="s">
        <v>416</v>
      </c>
      <c r="B428" s="107" t="s">
        <v>417</v>
      </c>
      <c r="C428" s="107" t="s">
        <v>51</v>
      </c>
      <c r="D428" s="129" t="s">
        <v>418</v>
      </c>
      <c r="E428" s="129" t="s">
        <v>11</v>
      </c>
      <c r="F428" s="130" t="s">
        <v>11</v>
      </c>
      <c r="G428" s="106">
        <f>G429+G435+G441+G447</f>
        <v>70137.099999999991</v>
      </c>
      <c r="H428" s="109">
        <f>H429+H435+H441</f>
        <v>-12463</v>
      </c>
      <c r="I428" s="106">
        <f>I429+I435+I441+I447</f>
        <v>57674.1</v>
      </c>
      <c r="J428" s="108">
        <f>J429+J435+J441+J447</f>
        <v>2934.3</v>
      </c>
      <c r="K428" s="109">
        <f>K429+K435+K441</f>
        <v>0</v>
      </c>
      <c r="L428" s="108">
        <f>L429+L435+L441+L447</f>
        <v>2934.3</v>
      </c>
      <c r="M428" s="106">
        <f>M429+M435+M441+M447</f>
        <v>73071.399999999994</v>
      </c>
      <c r="N428" s="106">
        <f>N429+N435+N441+N447</f>
        <v>-12463</v>
      </c>
      <c r="O428" s="106">
        <f>O429+O435+O441+O447</f>
        <v>60608.399999999994</v>
      </c>
      <c r="P428" s="97">
        <f t="shared" si="97"/>
        <v>57674.099999999991</v>
      </c>
      <c r="Q428" s="97">
        <f t="shared" si="98"/>
        <v>0</v>
      </c>
    </row>
    <row r="429" spans="1:17" ht="15.75" x14ac:dyDescent="0.2">
      <c r="A429" s="33" t="s">
        <v>419</v>
      </c>
      <c r="B429" s="110" t="s">
        <v>420</v>
      </c>
      <c r="C429" s="110" t="s">
        <v>51</v>
      </c>
      <c r="D429" s="131" t="s">
        <v>421</v>
      </c>
      <c r="E429" s="131" t="s">
        <v>11</v>
      </c>
      <c r="F429" s="132" t="s">
        <v>11</v>
      </c>
      <c r="G429" s="109">
        <f t="shared" ref="G429:O433" si="101">G430</f>
        <v>4272.7</v>
      </c>
      <c r="H429" s="111">
        <f t="shared" si="101"/>
        <v>0</v>
      </c>
      <c r="I429" s="109">
        <f t="shared" si="101"/>
        <v>4272.7</v>
      </c>
      <c r="J429" s="112">
        <f t="shared" si="101"/>
        <v>0</v>
      </c>
      <c r="K429" s="111">
        <f>K430</f>
        <v>0</v>
      </c>
      <c r="L429" s="112">
        <f t="shared" si="101"/>
        <v>0</v>
      </c>
      <c r="M429" s="109">
        <f t="shared" si="101"/>
        <v>4272.7</v>
      </c>
      <c r="N429" s="109">
        <f t="shared" si="101"/>
        <v>0</v>
      </c>
      <c r="O429" s="109">
        <f t="shared" si="101"/>
        <v>4272.7</v>
      </c>
      <c r="P429" s="97">
        <f t="shared" si="97"/>
        <v>4272.7</v>
      </c>
      <c r="Q429" s="97">
        <f t="shared" si="98"/>
        <v>0</v>
      </c>
    </row>
    <row r="430" spans="1:17" ht="31.5" x14ac:dyDescent="0.2">
      <c r="A430" s="40"/>
      <c r="B430" s="113" t="s">
        <v>87</v>
      </c>
      <c r="C430" s="113" t="s">
        <v>51</v>
      </c>
      <c r="D430" s="133" t="s">
        <v>421</v>
      </c>
      <c r="E430" s="133" t="s">
        <v>88</v>
      </c>
      <c r="F430" s="134" t="s">
        <v>11</v>
      </c>
      <c r="G430" s="111">
        <f t="shared" si="101"/>
        <v>4272.7</v>
      </c>
      <c r="H430" s="111">
        <f t="shared" si="101"/>
        <v>0</v>
      </c>
      <c r="I430" s="111">
        <f t="shared" si="101"/>
        <v>4272.7</v>
      </c>
      <c r="J430" s="114">
        <f t="shared" si="101"/>
        <v>0</v>
      </c>
      <c r="K430" s="111">
        <f>K431</f>
        <v>0</v>
      </c>
      <c r="L430" s="114">
        <f t="shared" si="101"/>
        <v>0</v>
      </c>
      <c r="M430" s="111">
        <f t="shared" si="101"/>
        <v>4272.7</v>
      </c>
      <c r="N430" s="111">
        <f t="shared" si="101"/>
        <v>0</v>
      </c>
      <c r="O430" s="111">
        <f t="shared" si="101"/>
        <v>4272.7</v>
      </c>
      <c r="P430" s="97">
        <f t="shared" si="97"/>
        <v>4272.7</v>
      </c>
      <c r="Q430" s="97">
        <f t="shared" si="98"/>
        <v>0</v>
      </c>
    </row>
    <row r="431" spans="1:17" ht="31.5" x14ac:dyDescent="0.2">
      <c r="A431" s="40"/>
      <c r="B431" s="113" t="s">
        <v>422</v>
      </c>
      <c r="C431" s="113" t="s">
        <v>51</v>
      </c>
      <c r="D431" s="133" t="s">
        <v>421</v>
      </c>
      <c r="E431" s="133" t="s">
        <v>423</v>
      </c>
      <c r="F431" s="134" t="s">
        <v>11</v>
      </c>
      <c r="G431" s="111">
        <f t="shared" si="101"/>
        <v>4272.7</v>
      </c>
      <c r="H431" s="111">
        <f t="shared" si="101"/>
        <v>0</v>
      </c>
      <c r="I431" s="111">
        <f t="shared" si="101"/>
        <v>4272.7</v>
      </c>
      <c r="J431" s="114">
        <f t="shared" si="101"/>
        <v>0</v>
      </c>
      <c r="K431" s="111">
        <f>K432</f>
        <v>0</v>
      </c>
      <c r="L431" s="114">
        <f t="shared" si="101"/>
        <v>0</v>
      </c>
      <c r="M431" s="111">
        <f t="shared" si="101"/>
        <v>4272.7</v>
      </c>
      <c r="N431" s="111">
        <f t="shared" si="101"/>
        <v>0</v>
      </c>
      <c r="O431" s="111">
        <f t="shared" si="101"/>
        <v>4272.7</v>
      </c>
      <c r="P431" s="97">
        <f t="shared" si="97"/>
        <v>4272.7</v>
      </c>
      <c r="Q431" s="97">
        <f t="shared" si="98"/>
        <v>0</v>
      </c>
    </row>
    <row r="432" spans="1:17" ht="47.25" x14ac:dyDescent="0.2">
      <c r="A432" s="40"/>
      <c r="B432" s="113" t="s">
        <v>424</v>
      </c>
      <c r="C432" s="113" t="s">
        <v>51</v>
      </c>
      <c r="D432" s="133" t="s">
        <v>421</v>
      </c>
      <c r="E432" s="133" t="s">
        <v>425</v>
      </c>
      <c r="F432" s="134" t="s">
        <v>11</v>
      </c>
      <c r="G432" s="111">
        <f t="shared" si="101"/>
        <v>4272.7</v>
      </c>
      <c r="H432" s="111">
        <f t="shared" si="101"/>
        <v>0</v>
      </c>
      <c r="I432" s="111">
        <f t="shared" si="101"/>
        <v>4272.7</v>
      </c>
      <c r="J432" s="114">
        <f t="shared" si="101"/>
        <v>0</v>
      </c>
      <c r="K432" s="111">
        <f>K433</f>
        <v>0</v>
      </c>
      <c r="L432" s="114">
        <f t="shared" si="101"/>
        <v>0</v>
      </c>
      <c r="M432" s="111">
        <f t="shared" si="101"/>
        <v>4272.7</v>
      </c>
      <c r="N432" s="111">
        <f t="shared" si="101"/>
        <v>0</v>
      </c>
      <c r="O432" s="111">
        <f t="shared" si="101"/>
        <v>4272.7</v>
      </c>
      <c r="P432" s="97">
        <f t="shared" si="97"/>
        <v>4272.7</v>
      </c>
      <c r="Q432" s="97">
        <f t="shared" si="98"/>
        <v>0</v>
      </c>
    </row>
    <row r="433" spans="1:17" ht="33" customHeight="1" x14ac:dyDescent="0.2">
      <c r="A433" s="40"/>
      <c r="B433" s="113" t="s">
        <v>426</v>
      </c>
      <c r="C433" s="113" t="s">
        <v>51</v>
      </c>
      <c r="D433" s="133" t="s">
        <v>421</v>
      </c>
      <c r="E433" s="133" t="s">
        <v>427</v>
      </c>
      <c r="F433" s="134" t="s">
        <v>11</v>
      </c>
      <c r="G433" s="111">
        <f>G434</f>
        <v>4272.7</v>
      </c>
      <c r="H433" s="111">
        <f>H434</f>
        <v>0</v>
      </c>
      <c r="I433" s="111">
        <f>I434</f>
        <v>4272.7</v>
      </c>
      <c r="J433" s="114">
        <f t="shared" si="101"/>
        <v>0</v>
      </c>
      <c r="K433" s="111"/>
      <c r="L433" s="114">
        <f t="shared" si="101"/>
        <v>0</v>
      </c>
      <c r="M433" s="111">
        <f t="shared" si="101"/>
        <v>4272.7</v>
      </c>
      <c r="N433" s="111">
        <f t="shared" si="101"/>
        <v>0</v>
      </c>
      <c r="O433" s="111">
        <f t="shared" si="101"/>
        <v>4272.7</v>
      </c>
      <c r="P433" s="97">
        <f t="shared" si="97"/>
        <v>4272.7</v>
      </c>
      <c r="Q433" s="97">
        <f t="shared" si="98"/>
        <v>0</v>
      </c>
    </row>
    <row r="434" spans="1:17" ht="31.5" x14ac:dyDescent="0.2">
      <c r="A434" s="40"/>
      <c r="B434" s="113" t="s">
        <v>112</v>
      </c>
      <c r="C434" s="113" t="s">
        <v>51</v>
      </c>
      <c r="D434" s="133" t="s">
        <v>421</v>
      </c>
      <c r="E434" s="133" t="s">
        <v>427</v>
      </c>
      <c r="F434" s="134" t="s">
        <v>113</v>
      </c>
      <c r="G434" s="111">
        <v>4272.7</v>
      </c>
      <c r="H434" s="111"/>
      <c r="I434" s="111">
        <f>SUM(G434:H434)</f>
        <v>4272.7</v>
      </c>
      <c r="J434" s="115">
        <v>0</v>
      </c>
      <c r="K434" s="109"/>
      <c r="L434" s="115">
        <v>0</v>
      </c>
      <c r="M434" s="111">
        <f>SUM(G434)</f>
        <v>4272.7</v>
      </c>
      <c r="N434" s="111">
        <f>H434+K434</f>
        <v>0</v>
      </c>
      <c r="O434" s="111">
        <f>SUM(M434:N434)</f>
        <v>4272.7</v>
      </c>
      <c r="P434" s="97">
        <f t="shared" si="97"/>
        <v>4272.7</v>
      </c>
      <c r="Q434" s="97">
        <f t="shared" si="98"/>
        <v>0</v>
      </c>
    </row>
    <row r="435" spans="1:17" ht="15.75" x14ac:dyDescent="0.2">
      <c r="A435" s="33" t="s">
        <v>428</v>
      </c>
      <c r="B435" s="110" t="s">
        <v>429</v>
      </c>
      <c r="C435" s="110" t="s">
        <v>51</v>
      </c>
      <c r="D435" s="131" t="s">
        <v>430</v>
      </c>
      <c r="E435" s="131" t="s">
        <v>11</v>
      </c>
      <c r="F435" s="132" t="s">
        <v>11</v>
      </c>
      <c r="G435" s="109">
        <f t="shared" ref="G435:O439" si="102">G436</f>
        <v>63946</v>
      </c>
      <c r="H435" s="111">
        <f t="shared" si="102"/>
        <v>-12463</v>
      </c>
      <c r="I435" s="109">
        <f t="shared" si="102"/>
        <v>51483</v>
      </c>
      <c r="J435" s="112">
        <f t="shared" si="102"/>
        <v>0</v>
      </c>
      <c r="K435" s="111">
        <f>K436</f>
        <v>0</v>
      </c>
      <c r="L435" s="112">
        <f t="shared" si="102"/>
        <v>0</v>
      </c>
      <c r="M435" s="109">
        <f t="shared" si="102"/>
        <v>63946</v>
      </c>
      <c r="N435" s="109">
        <f t="shared" si="102"/>
        <v>-12463</v>
      </c>
      <c r="O435" s="109">
        <f t="shared" si="102"/>
        <v>51483</v>
      </c>
      <c r="P435" s="97">
        <f t="shared" si="97"/>
        <v>51483</v>
      </c>
      <c r="Q435" s="97">
        <f t="shared" si="98"/>
        <v>0</v>
      </c>
    </row>
    <row r="436" spans="1:17" ht="31.5" x14ac:dyDescent="0.2">
      <c r="A436" s="40"/>
      <c r="B436" s="113" t="s">
        <v>87</v>
      </c>
      <c r="C436" s="113" t="s">
        <v>51</v>
      </c>
      <c r="D436" s="133" t="s">
        <v>430</v>
      </c>
      <c r="E436" s="133" t="s">
        <v>88</v>
      </c>
      <c r="F436" s="134" t="s">
        <v>11</v>
      </c>
      <c r="G436" s="111">
        <f t="shared" si="102"/>
        <v>63946</v>
      </c>
      <c r="H436" s="111">
        <f t="shared" si="102"/>
        <v>-12463</v>
      </c>
      <c r="I436" s="111">
        <f t="shared" si="102"/>
        <v>51483</v>
      </c>
      <c r="J436" s="114">
        <f t="shared" si="102"/>
        <v>0</v>
      </c>
      <c r="K436" s="111">
        <f>K437</f>
        <v>0</v>
      </c>
      <c r="L436" s="114">
        <f t="shared" si="102"/>
        <v>0</v>
      </c>
      <c r="M436" s="111">
        <f t="shared" si="102"/>
        <v>63946</v>
      </c>
      <c r="N436" s="111">
        <f t="shared" si="102"/>
        <v>-12463</v>
      </c>
      <c r="O436" s="111">
        <f t="shared" si="102"/>
        <v>51483</v>
      </c>
      <c r="P436" s="97">
        <f t="shared" si="97"/>
        <v>51483</v>
      </c>
      <c r="Q436" s="97">
        <f t="shared" si="98"/>
        <v>0</v>
      </c>
    </row>
    <row r="437" spans="1:17" ht="31.5" x14ac:dyDescent="0.2">
      <c r="A437" s="40"/>
      <c r="B437" s="113" t="s">
        <v>422</v>
      </c>
      <c r="C437" s="113" t="s">
        <v>51</v>
      </c>
      <c r="D437" s="133" t="s">
        <v>430</v>
      </c>
      <c r="E437" s="133" t="s">
        <v>423</v>
      </c>
      <c r="F437" s="134" t="s">
        <v>11</v>
      </c>
      <c r="G437" s="111">
        <f t="shared" si="102"/>
        <v>63946</v>
      </c>
      <c r="H437" s="111">
        <f t="shared" si="102"/>
        <v>-12463</v>
      </c>
      <c r="I437" s="111">
        <f t="shared" si="102"/>
        <v>51483</v>
      </c>
      <c r="J437" s="114">
        <f t="shared" si="102"/>
        <v>0</v>
      </c>
      <c r="K437" s="111">
        <f>K438</f>
        <v>0</v>
      </c>
      <c r="L437" s="114">
        <f t="shared" si="102"/>
        <v>0</v>
      </c>
      <c r="M437" s="111">
        <f t="shared" si="102"/>
        <v>63946</v>
      </c>
      <c r="N437" s="111">
        <f t="shared" si="102"/>
        <v>-12463</v>
      </c>
      <c r="O437" s="111">
        <f t="shared" si="102"/>
        <v>51483</v>
      </c>
      <c r="P437" s="97">
        <f t="shared" si="97"/>
        <v>51483</v>
      </c>
      <c r="Q437" s="97">
        <f t="shared" si="98"/>
        <v>0</v>
      </c>
    </row>
    <row r="438" spans="1:17" ht="31.5" x14ac:dyDescent="0.2">
      <c r="A438" s="40"/>
      <c r="B438" s="113" t="s">
        <v>431</v>
      </c>
      <c r="C438" s="113" t="s">
        <v>51</v>
      </c>
      <c r="D438" s="133" t="s">
        <v>430</v>
      </c>
      <c r="E438" s="133" t="s">
        <v>432</v>
      </c>
      <c r="F438" s="134" t="s">
        <v>11</v>
      </c>
      <c r="G438" s="111">
        <f t="shared" si="102"/>
        <v>63946</v>
      </c>
      <c r="H438" s="111">
        <f t="shared" si="102"/>
        <v>-12463</v>
      </c>
      <c r="I438" s="111">
        <f t="shared" si="102"/>
        <v>51483</v>
      </c>
      <c r="J438" s="114">
        <f t="shared" si="102"/>
        <v>0</v>
      </c>
      <c r="K438" s="111">
        <f>K439</f>
        <v>0</v>
      </c>
      <c r="L438" s="114">
        <f t="shared" si="102"/>
        <v>0</v>
      </c>
      <c r="M438" s="111">
        <f t="shared" si="102"/>
        <v>63946</v>
      </c>
      <c r="N438" s="111">
        <f t="shared" si="102"/>
        <v>-12463</v>
      </c>
      <c r="O438" s="111">
        <f t="shared" si="102"/>
        <v>51483</v>
      </c>
      <c r="P438" s="97">
        <f t="shared" si="97"/>
        <v>51483</v>
      </c>
      <c r="Q438" s="97">
        <f t="shared" si="98"/>
        <v>0</v>
      </c>
    </row>
    <row r="439" spans="1:17" ht="21" customHeight="1" x14ac:dyDescent="0.2">
      <c r="A439" s="40"/>
      <c r="B439" s="113" t="s">
        <v>433</v>
      </c>
      <c r="C439" s="113" t="s">
        <v>51</v>
      </c>
      <c r="D439" s="133" t="s">
        <v>430</v>
      </c>
      <c r="E439" s="133" t="s">
        <v>434</v>
      </c>
      <c r="F439" s="134" t="s">
        <v>11</v>
      </c>
      <c r="G439" s="111">
        <f>G440</f>
        <v>63946</v>
      </c>
      <c r="H439" s="109">
        <f>-10000-2182.9-280.1</f>
        <v>-12463</v>
      </c>
      <c r="I439" s="111">
        <f>I440</f>
        <v>51483</v>
      </c>
      <c r="J439" s="114">
        <f t="shared" si="102"/>
        <v>0</v>
      </c>
      <c r="K439" s="111"/>
      <c r="L439" s="114">
        <f t="shared" si="102"/>
        <v>0</v>
      </c>
      <c r="M439" s="111">
        <f t="shared" si="102"/>
        <v>63946</v>
      </c>
      <c r="N439" s="111">
        <f t="shared" si="102"/>
        <v>-12463</v>
      </c>
      <c r="O439" s="111">
        <f t="shared" si="102"/>
        <v>51483</v>
      </c>
      <c r="P439" s="97">
        <f t="shared" si="97"/>
        <v>51483</v>
      </c>
      <c r="Q439" s="97">
        <f t="shared" si="98"/>
        <v>0</v>
      </c>
    </row>
    <row r="440" spans="1:17" ht="31.5" x14ac:dyDescent="0.2">
      <c r="A440" s="40"/>
      <c r="B440" s="113" t="s">
        <v>112</v>
      </c>
      <c r="C440" s="113" t="s">
        <v>51</v>
      </c>
      <c r="D440" s="133" t="s">
        <v>430</v>
      </c>
      <c r="E440" s="133" t="s">
        <v>434</v>
      </c>
      <c r="F440" s="134" t="s">
        <v>113</v>
      </c>
      <c r="G440" s="111">
        <v>63946</v>
      </c>
      <c r="H440" s="109">
        <f>-10000-2182.9-280.1</f>
        <v>-12463</v>
      </c>
      <c r="I440" s="111">
        <f>SUM(G440)+H440</f>
        <v>51483</v>
      </c>
      <c r="J440" s="115">
        <v>0</v>
      </c>
      <c r="K440" s="109"/>
      <c r="L440" s="115">
        <v>0</v>
      </c>
      <c r="M440" s="111">
        <f>SUM(G440)</f>
        <v>63946</v>
      </c>
      <c r="N440" s="111">
        <f>SUM(H440)</f>
        <v>-12463</v>
      </c>
      <c r="O440" s="111">
        <f>SUM(M440)+N440</f>
        <v>51483</v>
      </c>
      <c r="P440" s="97">
        <f t="shared" si="97"/>
        <v>51483</v>
      </c>
      <c r="Q440" s="97">
        <f t="shared" si="98"/>
        <v>0</v>
      </c>
    </row>
    <row r="441" spans="1:17" ht="15.75" x14ac:dyDescent="0.2">
      <c r="A441" s="33" t="s">
        <v>435</v>
      </c>
      <c r="B441" s="110" t="s">
        <v>436</v>
      </c>
      <c r="C441" s="110" t="s">
        <v>51</v>
      </c>
      <c r="D441" s="131" t="s">
        <v>437</v>
      </c>
      <c r="E441" s="131" t="s">
        <v>11</v>
      </c>
      <c r="F441" s="132" t="s">
        <v>11</v>
      </c>
      <c r="G441" s="109">
        <f t="shared" ref="G441:O445" si="103">G442</f>
        <v>1798.4</v>
      </c>
      <c r="H441" s="109">
        <f t="shared" si="103"/>
        <v>0</v>
      </c>
      <c r="I441" s="109">
        <f t="shared" si="103"/>
        <v>1798.4</v>
      </c>
      <c r="J441" s="112">
        <f t="shared" si="103"/>
        <v>2934.3</v>
      </c>
      <c r="K441" s="109">
        <f>K442</f>
        <v>0</v>
      </c>
      <c r="L441" s="112">
        <f t="shared" si="103"/>
        <v>2934.3</v>
      </c>
      <c r="M441" s="109">
        <f t="shared" si="103"/>
        <v>4732.7000000000007</v>
      </c>
      <c r="N441" s="109">
        <f t="shared" si="103"/>
        <v>0</v>
      </c>
      <c r="O441" s="109">
        <f t="shared" si="103"/>
        <v>4732.7000000000007</v>
      </c>
      <c r="P441" s="97">
        <f t="shared" si="97"/>
        <v>1798.4</v>
      </c>
      <c r="Q441" s="97">
        <f t="shared" si="98"/>
        <v>0</v>
      </c>
    </row>
    <row r="442" spans="1:17" ht="31.5" x14ac:dyDescent="0.2">
      <c r="A442" s="40"/>
      <c r="B442" s="113" t="s">
        <v>245</v>
      </c>
      <c r="C442" s="113" t="s">
        <v>51</v>
      </c>
      <c r="D442" s="133" t="s">
        <v>437</v>
      </c>
      <c r="E442" s="133" t="s">
        <v>246</v>
      </c>
      <c r="F442" s="134" t="s">
        <v>11</v>
      </c>
      <c r="G442" s="111">
        <f t="shared" si="103"/>
        <v>1798.4</v>
      </c>
      <c r="H442" s="111">
        <f t="shared" si="103"/>
        <v>0</v>
      </c>
      <c r="I442" s="111">
        <f t="shared" si="103"/>
        <v>1798.4</v>
      </c>
      <c r="J442" s="114">
        <f t="shared" si="103"/>
        <v>2934.3</v>
      </c>
      <c r="K442" s="111">
        <f>K443</f>
        <v>0</v>
      </c>
      <c r="L442" s="114">
        <f t="shared" si="103"/>
        <v>2934.3</v>
      </c>
      <c r="M442" s="111">
        <f t="shared" si="103"/>
        <v>4732.7000000000007</v>
      </c>
      <c r="N442" s="111">
        <f t="shared" si="103"/>
        <v>0</v>
      </c>
      <c r="O442" s="111">
        <f t="shared" si="103"/>
        <v>4732.7000000000007</v>
      </c>
      <c r="P442" s="97">
        <f t="shared" si="97"/>
        <v>1798.4</v>
      </c>
      <c r="Q442" s="97">
        <f t="shared" si="98"/>
        <v>0</v>
      </c>
    </row>
    <row r="443" spans="1:17" ht="31.5" x14ac:dyDescent="0.2">
      <c r="A443" s="40"/>
      <c r="B443" s="113" t="s">
        <v>438</v>
      </c>
      <c r="C443" s="113" t="s">
        <v>51</v>
      </c>
      <c r="D443" s="133" t="s">
        <v>437</v>
      </c>
      <c r="E443" s="133" t="s">
        <v>439</v>
      </c>
      <c r="F443" s="134" t="s">
        <v>11</v>
      </c>
      <c r="G443" s="111">
        <f t="shared" si="103"/>
        <v>1798.4</v>
      </c>
      <c r="H443" s="111">
        <f t="shared" si="103"/>
        <v>0</v>
      </c>
      <c r="I443" s="111">
        <f t="shared" si="103"/>
        <v>1798.4</v>
      </c>
      <c r="J443" s="114">
        <f t="shared" si="103"/>
        <v>2934.3</v>
      </c>
      <c r="K443" s="111">
        <f>K444</f>
        <v>0</v>
      </c>
      <c r="L443" s="114">
        <f t="shared" si="103"/>
        <v>2934.3</v>
      </c>
      <c r="M443" s="111">
        <f t="shared" si="103"/>
        <v>4732.7000000000007</v>
      </c>
      <c r="N443" s="111">
        <f t="shared" si="103"/>
        <v>0</v>
      </c>
      <c r="O443" s="111">
        <f t="shared" si="103"/>
        <v>4732.7000000000007</v>
      </c>
      <c r="P443" s="97">
        <f t="shared" si="97"/>
        <v>1798.4</v>
      </c>
      <c r="Q443" s="97">
        <f t="shared" si="98"/>
        <v>0</v>
      </c>
    </row>
    <row r="444" spans="1:17" ht="47.25" x14ac:dyDescent="0.2">
      <c r="A444" s="40"/>
      <c r="B444" s="113" t="s">
        <v>599</v>
      </c>
      <c r="C444" s="113" t="s">
        <v>51</v>
      </c>
      <c r="D444" s="133" t="s">
        <v>437</v>
      </c>
      <c r="E444" s="133" t="s">
        <v>441</v>
      </c>
      <c r="F444" s="134" t="s">
        <v>11</v>
      </c>
      <c r="G444" s="111">
        <f t="shared" si="103"/>
        <v>1798.4</v>
      </c>
      <c r="H444" s="111">
        <f t="shared" si="103"/>
        <v>0</v>
      </c>
      <c r="I444" s="111">
        <f t="shared" si="103"/>
        <v>1798.4</v>
      </c>
      <c r="J444" s="114">
        <f t="shared" si="103"/>
        <v>2934.3</v>
      </c>
      <c r="K444" s="111">
        <f>K445</f>
        <v>0</v>
      </c>
      <c r="L444" s="114">
        <f t="shared" si="103"/>
        <v>2934.3</v>
      </c>
      <c r="M444" s="111">
        <f t="shared" si="103"/>
        <v>4732.7000000000007</v>
      </c>
      <c r="N444" s="111">
        <f t="shared" si="103"/>
        <v>0</v>
      </c>
      <c r="O444" s="111">
        <f t="shared" si="103"/>
        <v>4732.7000000000007</v>
      </c>
      <c r="P444" s="97">
        <f t="shared" si="97"/>
        <v>1798.4</v>
      </c>
      <c r="Q444" s="97">
        <f t="shared" si="98"/>
        <v>0</v>
      </c>
    </row>
    <row r="445" spans="1:17" ht="31.5" x14ac:dyDescent="0.2">
      <c r="A445" s="40"/>
      <c r="B445" s="113" t="s">
        <v>442</v>
      </c>
      <c r="C445" s="113" t="s">
        <v>51</v>
      </c>
      <c r="D445" s="133" t="s">
        <v>437</v>
      </c>
      <c r="E445" s="133" t="s">
        <v>443</v>
      </c>
      <c r="F445" s="134" t="s">
        <v>11</v>
      </c>
      <c r="G445" s="111">
        <f>G446</f>
        <v>1798.4</v>
      </c>
      <c r="H445" s="111">
        <f>H446</f>
        <v>0</v>
      </c>
      <c r="I445" s="111">
        <f>I446</f>
        <v>1798.4</v>
      </c>
      <c r="J445" s="114">
        <f t="shared" si="103"/>
        <v>2934.3</v>
      </c>
      <c r="K445" s="111">
        <f>K446</f>
        <v>0</v>
      </c>
      <c r="L445" s="114">
        <f t="shared" si="103"/>
        <v>2934.3</v>
      </c>
      <c r="M445" s="111">
        <f t="shared" si="103"/>
        <v>4732.7000000000007</v>
      </c>
      <c r="N445" s="111">
        <f t="shared" si="103"/>
        <v>0</v>
      </c>
      <c r="O445" s="111">
        <f t="shared" si="103"/>
        <v>4732.7000000000007</v>
      </c>
      <c r="P445" s="97">
        <f t="shared" si="97"/>
        <v>1798.4</v>
      </c>
      <c r="Q445" s="97">
        <f t="shared" si="98"/>
        <v>0</v>
      </c>
    </row>
    <row r="446" spans="1:17" ht="31.5" x14ac:dyDescent="0.2">
      <c r="A446" s="40"/>
      <c r="B446" s="113" t="s">
        <v>112</v>
      </c>
      <c r="C446" s="113" t="s">
        <v>51</v>
      </c>
      <c r="D446" s="133" t="s">
        <v>437</v>
      </c>
      <c r="E446" s="133" t="s">
        <v>443</v>
      </c>
      <c r="F446" s="134" t="s">
        <v>113</v>
      </c>
      <c r="G446" s="111">
        <v>1798.4</v>
      </c>
      <c r="H446" s="111"/>
      <c r="I446" s="111">
        <f>G446+H446</f>
        <v>1798.4</v>
      </c>
      <c r="J446" s="115">
        <v>2934.3</v>
      </c>
      <c r="K446" s="111"/>
      <c r="L446" s="115">
        <f>J446+K446</f>
        <v>2934.3</v>
      </c>
      <c r="M446" s="111">
        <f>SUM(G446+J446)</f>
        <v>4732.7000000000007</v>
      </c>
      <c r="N446" s="111">
        <f>H446+K446</f>
        <v>0</v>
      </c>
      <c r="O446" s="111">
        <f>SUM(I446+L446)</f>
        <v>4732.7000000000007</v>
      </c>
      <c r="P446" s="97">
        <f t="shared" si="97"/>
        <v>1798.4</v>
      </c>
      <c r="Q446" s="97">
        <f t="shared" si="98"/>
        <v>0</v>
      </c>
    </row>
    <row r="447" spans="1:17" ht="15.75" x14ac:dyDescent="0.2">
      <c r="A447" s="33" t="s">
        <v>444</v>
      </c>
      <c r="B447" s="110" t="s">
        <v>445</v>
      </c>
      <c r="C447" s="110" t="s">
        <v>51</v>
      </c>
      <c r="D447" s="131" t="s">
        <v>446</v>
      </c>
      <c r="E447" s="131" t="s">
        <v>11</v>
      </c>
      <c r="F447" s="132" t="s">
        <v>11</v>
      </c>
      <c r="G447" s="109">
        <f t="shared" ref="G447:O451" si="104">G448</f>
        <v>120</v>
      </c>
      <c r="H447" s="111">
        <f t="shared" si="104"/>
        <v>0</v>
      </c>
      <c r="I447" s="109">
        <f t="shared" si="104"/>
        <v>120</v>
      </c>
      <c r="J447" s="112">
        <f t="shared" si="104"/>
        <v>0</v>
      </c>
      <c r="K447" s="111">
        <f>K448</f>
        <v>0</v>
      </c>
      <c r="L447" s="112">
        <f t="shared" si="104"/>
        <v>0</v>
      </c>
      <c r="M447" s="109">
        <f t="shared" si="104"/>
        <v>120</v>
      </c>
      <c r="N447" s="109">
        <f t="shared" si="104"/>
        <v>0</v>
      </c>
      <c r="O447" s="109">
        <f t="shared" si="104"/>
        <v>120</v>
      </c>
      <c r="P447" s="97">
        <f t="shared" si="97"/>
        <v>120</v>
      </c>
      <c r="Q447" s="97">
        <f t="shared" si="98"/>
        <v>0</v>
      </c>
    </row>
    <row r="448" spans="1:17" ht="31.5" x14ac:dyDescent="0.2">
      <c r="A448" s="40"/>
      <c r="B448" s="113" t="s">
        <v>87</v>
      </c>
      <c r="C448" s="113" t="s">
        <v>51</v>
      </c>
      <c r="D448" s="133" t="s">
        <v>446</v>
      </c>
      <c r="E448" s="133" t="s">
        <v>88</v>
      </c>
      <c r="F448" s="134" t="s">
        <v>11</v>
      </c>
      <c r="G448" s="111">
        <f t="shared" si="104"/>
        <v>120</v>
      </c>
      <c r="H448" s="111">
        <f t="shared" si="104"/>
        <v>0</v>
      </c>
      <c r="I448" s="111">
        <f t="shared" si="104"/>
        <v>120</v>
      </c>
      <c r="J448" s="114">
        <f t="shared" si="104"/>
        <v>0</v>
      </c>
      <c r="K448" s="111">
        <f>K449</f>
        <v>0</v>
      </c>
      <c r="L448" s="114">
        <f t="shared" si="104"/>
        <v>0</v>
      </c>
      <c r="M448" s="111">
        <f t="shared" si="104"/>
        <v>120</v>
      </c>
      <c r="N448" s="111">
        <f t="shared" si="104"/>
        <v>0</v>
      </c>
      <c r="O448" s="111">
        <f t="shared" si="104"/>
        <v>120</v>
      </c>
      <c r="P448" s="97">
        <f t="shared" si="97"/>
        <v>120</v>
      </c>
      <c r="Q448" s="97">
        <f t="shared" si="98"/>
        <v>0</v>
      </c>
    </row>
    <row r="449" spans="1:17" ht="47.25" x14ac:dyDescent="0.2">
      <c r="A449" s="40"/>
      <c r="B449" s="113" t="s">
        <v>89</v>
      </c>
      <c r="C449" s="113" t="s">
        <v>51</v>
      </c>
      <c r="D449" s="133" t="s">
        <v>446</v>
      </c>
      <c r="E449" s="133" t="s">
        <v>90</v>
      </c>
      <c r="F449" s="134" t="s">
        <v>11</v>
      </c>
      <c r="G449" s="111">
        <f t="shared" si="104"/>
        <v>120</v>
      </c>
      <c r="H449" s="111">
        <f t="shared" si="104"/>
        <v>0</v>
      </c>
      <c r="I449" s="111">
        <f t="shared" si="104"/>
        <v>120</v>
      </c>
      <c r="J449" s="114">
        <f t="shared" si="104"/>
        <v>0</v>
      </c>
      <c r="K449" s="111">
        <f>K450</f>
        <v>0</v>
      </c>
      <c r="L449" s="114">
        <f t="shared" si="104"/>
        <v>0</v>
      </c>
      <c r="M449" s="111">
        <f t="shared" si="104"/>
        <v>120</v>
      </c>
      <c r="N449" s="111">
        <f t="shared" si="104"/>
        <v>0</v>
      </c>
      <c r="O449" s="111">
        <f t="shared" si="104"/>
        <v>120</v>
      </c>
      <c r="P449" s="97">
        <f t="shared" si="97"/>
        <v>120</v>
      </c>
      <c r="Q449" s="97">
        <f t="shared" si="98"/>
        <v>0</v>
      </c>
    </row>
    <row r="450" spans="1:17" ht="36" customHeight="1" x14ac:dyDescent="0.2">
      <c r="A450" s="40"/>
      <c r="B450" s="113" t="s">
        <v>91</v>
      </c>
      <c r="C450" s="113" t="s">
        <v>51</v>
      </c>
      <c r="D450" s="133" t="s">
        <v>446</v>
      </c>
      <c r="E450" s="133" t="s">
        <v>92</v>
      </c>
      <c r="F450" s="134" t="s">
        <v>11</v>
      </c>
      <c r="G450" s="111">
        <f t="shared" si="104"/>
        <v>120</v>
      </c>
      <c r="H450" s="111">
        <f t="shared" si="104"/>
        <v>0</v>
      </c>
      <c r="I450" s="111">
        <f t="shared" si="104"/>
        <v>120</v>
      </c>
      <c r="J450" s="114">
        <f t="shared" si="104"/>
        <v>0</v>
      </c>
      <c r="K450" s="111">
        <f>K451</f>
        <v>0</v>
      </c>
      <c r="L450" s="114">
        <f t="shared" si="104"/>
        <v>0</v>
      </c>
      <c r="M450" s="111">
        <f t="shared" si="104"/>
        <v>120</v>
      </c>
      <c r="N450" s="111">
        <f t="shared" si="104"/>
        <v>0</v>
      </c>
      <c r="O450" s="111">
        <f t="shared" si="104"/>
        <v>120</v>
      </c>
      <c r="P450" s="97">
        <f t="shared" si="97"/>
        <v>120</v>
      </c>
      <c r="Q450" s="97">
        <f t="shared" si="98"/>
        <v>0</v>
      </c>
    </row>
    <row r="451" spans="1:17" ht="47.25" x14ac:dyDescent="0.2">
      <c r="A451" s="40"/>
      <c r="B451" s="113" t="s">
        <v>93</v>
      </c>
      <c r="C451" s="113" t="s">
        <v>51</v>
      </c>
      <c r="D451" s="133" t="s">
        <v>446</v>
      </c>
      <c r="E451" s="133" t="s">
        <v>94</v>
      </c>
      <c r="F451" s="134" t="s">
        <v>11</v>
      </c>
      <c r="G451" s="111">
        <f>G452</f>
        <v>120</v>
      </c>
      <c r="H451" s="111"/>
      <c r="I451" s="111">
        <f>I452</f>
        <v>120</v>
      </c>
      <c r="J451" s="114">
        <f t="shared" si="104"/>
        <v>0</v>
      </c>
      <c r="K451" s="111"/>
      <c r="L451" s="114">
        <f t="shared" si="104"/>
        <v>0</v>
      </c>
      <c r="M451" s="111">
        <f t="shared" si="104"/>
        <v>120</v>
      </c>
      <c r="N451" s="111">
        <f t="shared" si="104"/>
        <v>0</v>
      </c>
      <c r="O451" s="111">
        <f t="shared" si="104"/>
        <v>120</v>
      </c>
      <c r="P451" s="97">
        <f t="shared" si="97"/>
        <v>120</v>
      </c>
      <c r="Q451" s="97">
        <f t="shared" si="98"/>
        <v>0</v>
      </c>
    </row>
    <row r="452" spans="1:17" ht="33.6" customHeight="1" x14ac:dyDescent="0.2">
      <c r="A452" s="40"/>
      <c r="B452" s="113" t="s">
        <v>95</v>
      </c>
      <c r="C452" s="113" t="s">
        <v>51</v>
      </c>
      <c r="D452" s="133" t="s">
        <v>446</v>
      </c>
      <c r="E452" s="133" t="s">
        <v>94</v>
      </c>
      <c r="F452" s="134" t="s">
        <v>96</v>
      </c>
      <c r="G452" s="111">
        <v>120</v>
      </c>
      <c r="H452" s="106"/>
      <c r="I452" s="111">
        <v>120</v>
      </c>
      <c r="J452" s="115">
        <v>0</v>
      </c>
      <c r="K452" s="106"/>
      <c r="L452" s="115">
        <v>0</v>
      </c>
      <c r="M452" s="111">
        <v>120</v>
      </c>
      <c r="N452" s="111"/>
      <c r="O452" s="111">
        <v>120</v>
      </c>
      <c r="P452" s="97">
        <f t="shared" si="97"/>
        <v>120</v>
      </c>
      <c r="Q452" s="97">
        <f t="shared" si="98"/>
        <v>0</v>
      </c>
    </row>
    <row r="453" spans="1:17" ht="15.75" x14ac:dyDescent="0.2">
      <c r="A453" s="20" t="s">
        <v>447</v>
      </c>
      <c r="B453" s="107" t="s">
        <v>448</v>
      </c>
      <c r="C453" s="107" t="s">
        <v>51</v>
      </c>
      <c r="D453" s="129" t="s">
        <v>449</v>
      </c>
      <c r="E453" s="129" t="s">
        <v>11</v>
      </c>
      <c r="F453" s="130" t="s">
        <v>11</v>
      </c>
      <c r="G453" s="106">
        <f>G454</f>
        <v>1863.8</v>
      </c>
      <c r="H453" s="109">
        <f>H454+H459</f>
        <v>0</v>
      </c>
      <c r="I453" s="106">
        <f>I454</f>
        <v>1863.8</v>
      </c>
      <c r="J453" s="108">
        <f>J454</f>
        <v>0</v>
      </c>
      <c r="K453" s="109">
        <f>K454+K459</f>
        <v>0</v>
      </c>
      <c r="L453" s="108">
        <f>L454</f>
        <v>0</v>
      </c>
      <c r="M453" s="106">
        <f>M454</f>
        <v>1863.8</v>
      </c>
      <c r="N453" s="106">
        <f>N454</f>
        <v>0</v>
      </c>
      <c r="O453" s="106">
        <f>O454</f>
        <v>1863.8</v>
      </c>
      <c r="P453" s="97">
        <f t="shared" si="97"/>
        <v>1863.8</v>
      </c>
      <c r="Q453" s="97">
        <f t="shared" si="98"/>
        <v>0</v>
      </c>
    </row>
    <row r="454" spans="1:17" ht="15.75" x14ac:dyDescent="0.2">
      <c r="A454" s="33" t="s">
        <v>450</v>
      </c>
      <c r="B454" s="110" t="s">
        <v>451</v>
      </c>
      <c r="C454" s="110" t="s">
        <v>51</v>
      </c>
      <c r="D454" s="131" t="s">
        <v>452</v>
      </c>
      <c r="E454" s="131" t="s">
        <v>11</v>
      </c>
      <c r="F454" s="132" t="s">
        <v>11</v>
      </c>
      <c r="G454" s="109">
        <f>G455+G460</f>
        <v>1863.8</v>
      </c>
      <c r="H454" s="111">
        <f t="shared" ref="G454:O456" si="105">H455</f>
        <v>0</v>
      </c>
      <c r="I454" s="109">
        <f>I455+I460</f>
        <v>1863.8</v>
      </c>
      <c r="J454" s="112">
        <f>J455+J460</f>
        <v>0</v>
      </c>
      <c r="K454" s="111">
        <f t="shared" si="105"/>
        <v>0</v>
      </c>
      <c r="L454" s="112">
        <f>L455+L460</f>
        <v>0</v>
      </c>
      <c r="M454" s="109">
        <f>M455+M460</f>
        <v>1863.8</v>
      </c>
      <c r="N454" s="109">
        <f>N455+N460</f>
        <v>0</v>
      </c>
      <c r="O454" s="109">
        <f>O455+O460</f>
        <v>1863.8</v>
      </c>
      <c r="P454" s="97">
        <f t="shared" si="97"/>
        <v>1863.8</v>
      </c>
      <c r="Q454" s="97">
        <f t="shared" si="98"/>
        <v>0</v>
      </c>
    </row>
    <row r="455" spans="1:17" ht="31.5" x14ac:dyDescent="0.2">
      <c r="A455" s="40"/>
      <c r="B455" s="113" t="s">
        <v>453</v>
      </c>
      <c r="C455" s="113" t="s">
        <v>51</v>
      </c>
      <c r="D455" s="133" t="s">
        <v>452</v>
      </c>
      <c r="E455" s="133" t="s">
        <v>454</v>
      </c>
      <c r="F455" s="134" t="s">
        <v>11</v>
      </c>
      <c r="G455" s="111">
        <f t="shared" si="105"/>
        <v>1813.8</v>
      </c>
      <c r="H455" s="111">
        <f t="shared" si="105"/>
        <v>0</v>
      </c>
      <c r="I455" s="111">
        <f t="shared" si="105"/>
        <v>1813.8</v>
      </c>
      <c r="J455" s="114">
        <f t="shared" si="105"/>
        <v>0</v>
      </c>
      <c r="K455" s="111">
        <f t="shared" si="105"/>
        <v>0</v>
      </c>
      <c r="L455" s="114">
        <f t="shared" si="105"/>
        <v>0</v>
      </c>
      <c r="M455" s="111">
        <f t="shared" si="105"/>
        <v>1813.8</v>
      </c>
      <c r="N455" s="111">
        <f t="shared" si="105"/>
        <v>0</v>
      </c>
      <c r="O455" s="111">
        <f t="shared" si="105"/>
        <v>1813.8</v>
      </c>
      <c r="P455" s="97">
        <f t="shared" si="97"/>
        <v>1813.8</v>
      </c>
      <c r="Q455" s="97">
        <f t="shared" si="98"/>
        <v>0</v>
      </c>
    </row>
    <row r="456" spans="1:17" ht="63" x14ac:dyDescent="0.2">
      <c r="A456" s="40"/>
      <c r="B456" s="113" t="s">
        <v>455</v>
      </c>
      <c r="C456" s="113" t="s">
        <v>51</v>
      </c>
      <c r="D456" s="133" t="s">
        <v>452</v>
      </c>
      <c r="E456" s="133" t="s">
        <v>456</v>
      </c>
      <c r="F456" s="134" t="s">
        <v>11</v>
      </c>
      <c r="G456" s="111">
        <f t="shared" si="105"/>
        <v>1813.8</v>
      </c>
      <c r="H456" s="111">
        <f>H457+H458</f>
        <v>0</v>
      </c>
      <c r="I456" s="111">
        <f t="shared" si="105"/>
        <v>1813.8</v>
      </c>
      <c r="J456" s="114">
        <f t="shared" si="105"/>
        <v>0</v>
      </c>
      <c r="K456" s="111">
        <f>K457+K458</f>
        <v>0</v>
      </c>
      <c r="L456" s="114">
        <f t="shared" si="105"/>
        <v>0</v>
      </c>
      <c r="M456" s="111">
        <f t="shared" si="105"/>
        <v>1813.8</v>
      </c>
      <c r="N456" s="111">
        <f t="shared" si="105"/>
        <v>0</v>
      </c>
      <c r="O456" s="111">
        <f t="shared" si="105"/>
        <v>1813.8</v>
      </c>
      <c r="P456" s="97">
        <f t="shared" si="97"/>
        <v>1813.8</v>
      </c>
      <c r="Q456" s="97">
        <f t="shared" si="98"/>
        <v>0</v>
      </c>
    </row>
    <row r="457" spans="1:17" ht="47.25" x14ac:dyDescent="0.2">
      <c r="A457" s="40"/>
      <c r="B457" s="113" t="s">
        <v>457</v>
      </c>
      <c r="C457" s="113" t="s">
        <v>51</v>
      </c>
      <c r="D457" s="133" t="s">
        <v>452</v>
      </c>
      <c r="E457" s="133" t="s">
        <v>458</v>
      </c>
      <c r="F457" s="134" t="s">
        <v>11</v>
      </c>
      <c r="G457" s="111">
        <f>G458+G459</f>
        <v>1813.8</v>
      </c>
      <c r="H457" s="111"/>
      <c r="I457" s="111">
        <f>I458+I459</f>
        <v>1813.8</v>
      </c>
      <c r="J457" s="114">
        <f>J458+J459</f>
        <v>0</v>
      </c>
      <c r="K457" s="111"/>
      <c r="L457" s="114">
        <f>L458+L459</f>
        <v>0</v>
      </c>
      <c r="M457" s="111">
        <f>M458+M459</f>
        <v>1813.8</v>
      </c>
      <c r="N457" s="111">
        <f>N458+N459</f>
        <v>0</v>
      </c>
      <c r="O457" s="111">
        <f>O458+O459</f>
        <v>1813.8</v>
      </c>
      <c r="P457" s="97">
        <f t="shared" si="97"/>
        <v>1813.8</v>
      </c>
      <c r="Q457" s="97">
        <f t="shared" si="98"/>
        <v>0</v>
      </c>
    </row>
    <row r="458" spans="1:17" ht="31.5" x14ac:dyDescent="0.2">
      <c r="A458" s="40"/>
      <c r="B458" s="113" t="s">
        <v>40</v>
      </c>
      <c r="C458" s="113" t="s">
        <v>51</v>
      </c>
      <c r="D458" s="133" t="s">
        <v>452</v>
      </c>
      <c r="E458" s="133" t="s">
        <v>458</v>
      </c>
      <c r="F458" s="134" t="s">
        <v>41</v>
      </c>
      <c r="G458" s="111">
        <v>300</v>
      </c>
      <c r="H458" s="111"/>
      <c r="I458" s="111">
        <v>300</v>
      </c>
      <c r="J458" s="115">
        <v>0</v>
      </c>
      <c r="K458" s="111"/>
      <c r="L458" s="115">
        <v>0</v>
      </c>
      <c r="M458" s="111">
        <v>300</v>
      </c>
      <c r="N458" s="111"/>
      <c r="O458" s="111">
        <v>300</v>
      </c>
      <c r="P458" s="97">
        <f t="shared" si="97"/>
        <v>300</v>
      </c>
      <c r="Q458" s="97">
        <f t="shared" si="98"/>
        <v>0</v>
      </c>
    </row>
    <row r="459" spans="1:17" ht="31.5" x14ac:dyDescent="0.2">
      <c r="A459" s="40"/>
      <c r="B459" s="113" t="s">
        <v>112</v>
      </c>
      <c r="C459" s="113" t="s">
        <v>51</v>
      </c>
      <c r="D459" s="133" t="s">
        <v>452</v>
      </c>
      <c r="E459" s="133" t="s">
        <v>458</v>
      </c>
      <c r="F459" s="134" t="s">
        <v>113</v>
      </c>
      <c r="G459" s="111">
        <v>1513.8</v>
      </c>
      <c r="H459" s="111"/>
      <c r="I459" s="111">
        <v>1513.8</v>
      </c>
      <c r="J459" s="115">
        <v>0</v>
      </c>
      <c r="K459" s="111"/>
      <c r="L459" s="115">
        <v>0</v>
      </c>
      <c r="M459" s="111">
        <v>1513.8</v>
      </c>
      <c r="N459" s="111"/>
      <c r="O459" s="111">
        <v>1513.8</v>
      </c>
      <c r="P459" s="97">
        <f t="shared" si="97"/>
        <v>1513.8</v>
      </c>
      <c r="Q459" s="97">
        <f t="shared" si="98"/>
        <v>0</v>
      </c>
    </row>
    <row r="460" spans="1:17" ht="15.75" x14ac:dyDescent="0.2">
      <c r="A460" s="40"/>
      <c r="B460" s="113" t="s">
        <v>459</v>
      </c>
      <c r="C460" s="113" t="s">
        <v>51</v>
      </c>
      <c r="D460" s="133" t="s">
        <v>452</v>
      </c>
      <c r="E460" s="133" t="s">
        <v>460</v>
      </c>
      <c r="F460" s="134" t="s">
        <v>11</v>
      </c>
      <c r="G460" s="111">
        <f t="shared" ref="G460:O462" si="106">G461</f>
        <v>50</v>
      </c>
      <c r="H460" s="111">
        <f t="shared" si="106"/>
        <v>0</v>
      </c>
      <c r="I460" s="111">
        <f t="shared" si="106"/>
        <v>50</v>
      </c>
      <c r="J460" s="114">
        <f t="shared" si="106"/>
        <v>0</v>
      </c>
      <c r="K460" s="111">
        <f>K461</f>
        <v>0</v>
      </c>
      <c r="L460" s="114">
        <f t="shared" si="106"/>
        <v>0</v>
      </c>
      <c r="M460" s="111">
        <f t="shared" si="106"/>
        <v>50</v>
      </c>
      <c r="N460" s="111">
        <f t="shared" si="106"/>
        <v>0</v>
      </c>
      <c r="O460" s="111">
        <f t="shared" si="106"/>
        <v>50</v>
      </c>
      <c r="P460" s="97">
        <f t="shared" si="97"/>
        <v>50</v>
      </c>
      <c r="Q460" s="97">
        <f t="shared" si="98"/>
        <v>0</v>
      </c>
    </row>
    <row r="461" spans="1:17" ht="39.6" customHeight="1" x14ac:dyDescent="0.2">
      <c r="A461" s="40"/>
      <c r="B461" s="113" t="s">
        <v>461</v>
      </c>
      <c r="C461" s="113" t="s">
        <v>51</v>
      </c>
      <c r="D461" s="133" t="s">
        <v>452</v>
      </c>
      <c r="E461" s="133" t="s">
        <v>462</v>
      </c>
      <c r="F461" s="134" t="s">
        <v>11</v>
      </c>
      <c r="G461" s="111">
        <f t="shared" si="106"/>
        <v>50</v>
      </c>
      <c r="H461" s="111">
        <f t="shared" si="106"/>
        <v>0</v>
      </c>
      <c r="I461" s="111">
        <f t="shared" si="106"/>
        <v>50</v>
      </c>
      <c r="J461" s="114">
        <f t="shared" si="106"/>
        <v>0</v>
      </c>
      <c r="K461" s="111">
        <f>K462</f>
        <v>0</v>
      </c>
      <c r="L461" s="114">
        <f t="shared" si="106"/>
        <v>0</v>
      </c>
      <c r="M461" s="111">
        <f t="shared" si="106"/>
        <v>50</v>
      </c>
      <c r="N461" s="111">
        <f t="shared" si="106"/>
        <v>0</v>
      </c>
      <c r="O461" s="111">
        <f t="shared" si="106"/>
        <v>50</v>
      </c>
      <c r="P461" s="97">
        <f t="shared" si="97"/>
        <v>50</v>
      </c>
      <c r="Q461" s="97">
        <f t="shared" si="98"/>
        <v>0</v>
      </c>
    </row>
    <row r="462" spans="1:17" ht="31.5" x14ac:dyDescent="0.2">
      <c r="A462" s="40"/>
      <c r="B462" s="113" t="s">
        <v>463</v>
      </c>
      <c r="C462" s="113" t="s">
        <v>51</v>
      </c>
      <c r="D462" s="133" t="s">
        <v>452</v>
      </c>
      <c r="E462" s="133" t="s">
        <v>464</v>
      </c>
      <c r="F462" s="134" t="s">
        <v>11</v>
      </c>
      <c r="G462" s="111">
        <f>G463</f>
        <v>50</v>
      </c>
      <c r="H462" s="111"/>
      <c r="I462" s="111">
        <f>I463</f>
        <v>50</v>
      </c>
      <c r="J462" s="114">
        <f t="shared" si="106"/>
        <v>0</v>
      </c>
      <c r="K462" s="111"/>
      <c r="L462" s="114">
        <f t="shared" si="106"/>
        <v>0</v>
      </c>
      <c r="M462" s="111">
        <f t="shared" si="106"/>
        <v>50</v>
      </c>
      <c r="N462" s="111">
        <f t="shared" si="106"/>
        <v>0</v>
      </c>
      <c r="O462" s="111">
        <f t="shared" si="106"/>
        <v>50</v>
      </c>
      <c r="P462" s="97">
        <f t="shared" si="97"/>
        <v>50</v>
      </c>
      <c r="Q462" s="97">
        <f t="shared" si="98"/>
        <v>0</v>
      </c>
    </row>
    <row r="463" spans="1:17" ht="31.5" x14ac:dyDescent="0.2">
      <c r="A463" s="40"/>
      <c r="B463" s="113" t="s">
        <v>40</v>
      </c>
      <c r="C463" s="113" t="s">
        <v>51</v>
      </c>
      <c r="D463" s="133" t="s">
        <v>452</v>
      </c>
      <c r="E463" s="133" t="s">
        <v>464</v>
      </c>
      <c r="F463" s="134" t="s">
        <v>41</v>
      </c>
      <c r="G463" s="111">
        <v>50</v>
      </c>
      <c r="H463" s="106"/>
      <c r="I463" s="111">
        <v>50</v>
      </c>
      <c r="J463" s="115"/>
      <c r="K463" s="106">
        <f t="shared" ref="G463:O469" si="107">K464</f>
        <v>0</v>
      </c>
      <c r="L463" s="115"/>
      <c r="M463" s="111">
        <v>50</v>
      </c>
      <c r="N463" s="111"/>
      <c r="O463" s="111">
        <v>50</v>
      </c>
      <c r="P463" s="97">
        <f t="shared" si="97"/>
        <v>50</v>
      </c>
      <c r="Q463" s="97">
        <f t="shared" si="98"/>
        <v>0</v>
      </c>
    </row>
    <row r="464" spans="1:17" ht="31.5" x14ac:dyDescent="0.2">
      <c r="A464" s="20" t="s">
        <v>465</v>
      </c>
      <c r="B464" s="107" t="s">
        <v>466</v>
      </c>
      <c r="C464" s="107" t="s">
        <v>51</v>
      </c>
      <c r="D464" s="129" t="s">
        <v>467</v>
      </c>
      <c r="E464" s="129" t="s">
        <v>11</v>
      </c>
      <c r="F464" s="130" t="s">
        <v>11</v>
      </c>
      <c r="G464" s="106">
        <f t="shared" si="107"/>
        <v>20.5</v>
      </c>
      <c r="H464" s="109">
        <f t="shared" si="107"/>
        <v>0</v>
      </c>
      <c r="I464" s="106">
        <f t="shared" si="107"/>
        <v>20.5</v>
      </c>
      <c r="J464" s="108">
        <f t="shared" si="107"/>
        <v>0</v>
      </c>
      <c r="K464" s="109">
        <f t="shared" si="107"/>
        <v>0</v>
      </c>
      <c r="L464" s="108">
        <f t="shared" si="107"/>
        <v>0</v>
      </c>
      <c r="M464" s="106">
        <f t="shared" si="107"/>
        <v>20.5</v>
      </c>
      <c r="N464" s="106">
        <f t="shared" si="107"/>
        <v>0</v>
      </c>
      <c r="O464" s="106">
        <f t="shared" si="107"/>
        <v>20.5</v>
      </c>
      <c r="P464" s="97">
        <f t="shared" si="97"/>
        <v>20.5</v>
      </c>
      <c r="Q464" s="97">
        <f t="shared" si="98"/>
        <v>0</v>
      </c>
    </row>
    <row r="465" spans="1:17" ht="31.5" x14ac:dyDescent="0.2">
      <c r="A465" s="33" t="s">
        <v>468</v>
      </c>
      <c r="B465" s="110" t="s">
        <v>469</v>
      </c>
      <c r="C465" s="110" t="s">
        <v>51</v>
      </c>
      <c r="D465" s="131" t="s">
        <v>470</v>
      </c>
      <c r="E465" s="131" t="s">
        <v>11</v>
      </c>
      <c r="F465" s="132" t="s">
        <v>11</v>
      </c>
      <c r="G465" s="109">
        <f t="shared" si="107"/>
        <v>20.5</v>
      </c>
      <c r="H465" s="111">
        <f t="shared" si="107"/>
        <v>0</v>
      </c>
      <c r="I465" s="109">
        <f t="shared" si="107"/>
        <v>20.5</v>
      </c>
      <c r="J465" s="112">
        <f t="shared" si="107"/>
        <v>0</v>
      </c>
      <c r="K465" s="111">
        <f t="shared" si="107"/>
        <v>0</v>
      </c>
      <c r="L465" s="112">
        <f t="shared" si="107"/>
        <v>0</v>
      </c>
      <c r="M465" s="109">
        <f t="shared" si="107"/>
        <v>20.5</v>
      </c>
      <c r="N465" s="109">
        <f t="shared" si="107"/>
        <v>0</v>
      </c>
      <c r="O465" s="109">
        <f t="shared" si="107"/>
        <v>20.5</v>
      </c>
      <c r="P465" s="97">
        <f t="shared" si="97"/>
        <v>20.5</v>
      </c>
      <c r="Q465" s="97">
        <f t="shared" si="98"/>
        <v>0</v>
      </c>
    </row>
    <row r="466" spans="1:17" ht="31.5" x14ac:dyDescent="0.2">
      <c r="A466" s="40"/>
      <c r="B466" s="113" t="s">
        <v>128</v>
      </c>
      <c r="C466" s="113" t="s">
        <v>51</v>
      </c>
      <c r="D466" s="133" t="s">
        <v>470</v>
      </c>
      <c r="E466" s="133" t="s">
        <v>129</v>
      </c>
      <c r="F466" s="134" t="s">
        <v>11</v>
      </c>
      <c r="G466" s="111">
        <f t="shared" si="107"/>
        <v>20.5</v>
      </c>
      <c r="H466" s="111">
        <f t="shared" si="107"/>
        <v>0</v>
      </c>
      <c r="I466" s="111">
        <f t="shared" si="107"/>
        <v>20.5</v>
      </c>
      <c r="J466" s="114">
        <f t="shared" si="107"/>
        <v>0</v>
      </c>
      <c r="K466" s="111">
        <f t="shared" si="107"/>
        <v>0</v>
      </c>
      <c r="L466" s="114">
        <f t="shared" si="107"/>
        <v>0</v>
      </c>
      <c r="M466" s="111">
        <f t="shared" si="107"/>
        <v>20.5</v>
      </c>
      <c r="N466" s="111">
        <f t="shared" si="107"/>
        <v>0</v>
      </c>
      <c r="O466" s="111">
        <f t="shared" si="107"/>
        <v>20.5</v>
      </c>
      <c r="P466" s="97">
        <f t="shared" si="97"/>
        <v>20.5</v>
      </c>
      <c r="Q466" s="97">
        <f t="shared" si="98"/>
        <v>0</v>
      </c>
    </row>
    <row r="467" spans="1:17" ht="15.75" x14ac:dyDescent="0.2">
      <c r="A467" s="40"/>
      <c r="B467" s="113" t="s">
        <v>141</v>
      </c>
      <c r="C467" s="113" t="s">
        <v>51</v>
      </c>
      <c r="D467" s="133" t="s">
        <v>470</v>
      </c>
      <c r="E467" s="133" t="s">
        <v>142</v>
      </c>
      <c r="F467" s="134" t="s">
        <v>11</v>
      </c>
      <c r="G467" s="111">
        <f t="shared" si="107"/>
        <v>20.5</v>
      </c>
      <c r="H467" s="111">
        <f t="shared" si="107"/>
        <v>0</v>
      </c>
      <c r="I467" s="111">
        <f t="shared" si="107"/>
        <v>20.5</v>
      </c>
      <c r="J467" s="114">
        <f t="shared" si="107"/>
        <v>0</v>
      </c>
      <c r="K467" s="111">
        <f t="shared" si="107"/>
        <v>0</v>
      </c>
      <c r="L467" s="114">
        <f t="shared" si="107"/>
        <v>0</v>
      </c>
      <c r="M467" s="111">
        <f t="shared" si="107"/>
        <v>20.5</v>
      </c>
      <c r="N467" s="111">
        <f t="shared" si="107"/>
        <v>0</v>
      </c>
      <c r="O467" s="111">
        <f t="shared" si="107"/>
        <v>20.5</v>
      </c>
      <c r="P467" s="97">
        <f t="shared" si="97"/>
        <v>20.5</v>
      </c>
      <c r="Q467" s="97">
        <f t="shared" si="98"/>
        <v>0</v>
      </c>
    </row>
    <row r="468" spans="1:17" ht="24" customHeight="1" x14ac:dyDescent="0.2">
      <c r="A468" s="40"/>
      <c r="B468" s="113" t="s">
        <v>143</v>
      </c>
      <c r="C468" s="113" t="s">
        <v>51</v>
      </c>
      <c r="D468" s="133" t="s">
        <v>470</v>
      </c>
      <c r="E468" s="133" t="s">
        <v>144</v>
      </c>
      <c r="F468" s="134" t="s">
        <v>11</v>
      </c>
      <c r="G468" s="111">
        <f t="shared" si="107"/>
        <v>20.5</v>
      </c>
      <c r="H468" s="111">
        <f>SUM(H469)</f>
        <v>0</v>
      </c>
      <c r="I468" s="111">
        <f t="shared" si="107"/>
        <v>20.5</v>
      </c>
      <c r="J468" s="114">
        <f t="shared" si="107"/>
        <v>0</v>
      </c>
      <c r="K468" s="111">
        <f t="shared" si="107"/>
        <v>0</v>
      </c>
      <c r="L468" s="114">
        <f t="shared" si="107"/>
        <v>0</v>
      </c>
      <c r="M468" s="111">
        <f t="shared" si="107"/>
        <v>20.5</v>
      </c>
      <c r="N468" s="111">
        <f t="shared" si="107"/>
        <v>0</v>
      </c>
      <c r="O468" s="111">
        <f t="shared" si="107"/>
        <v>20.5</v>
      </c>
      <c r="P468" s="97">
        <f t="shared" si="97"/>
        <v>20.5</v>
      </c>
      <c r="Q468" s="97">
        <f t="shared" si="98"/>
        <v>0</v>
      </c>
    </row>
    <row r="469" spans="1:17" ht="15.75" x14ac:dyDescent="0.2">
      <c r="A469" s="40"/>
      <c r="B469" s="113" t="s">
        <v>471</v>
      </c>
      <c r="C469" s="113" t="s">
        <v>51</v>
      </c>
      <c r="D469" s="133" t="s">
        <v>470</v>
      </c>
      <c r="E469" s="133" t="s">
        <v>472</v>
      </c>
      <c r="F469" s="134" t="s">
        <v>11</v>
      </c>
      <c r="G469" s="111">
        <f t="shared" si="107"/>
        <v>20.5</v>
      </c>
      <c r="H469" s="111">
        <f t="shared" si="107"/>
        <v>0</v>
      </c>
      <c r="I469" s="111">
        <f t="shared" si="107"/>
        <v>20.5</v>
      </c>
      <c r="J469" s="114">
        <f t="shared" si="107"/>
        <v>0</v>
      </c>
      <c r="K469" s="111"/>
      <c r="L469" s="114">
        <f t="shared" si="107"/>
        <v>0</v>
      </c>
      <c r="M469" s="111">
        <f t="shared" si="107"/>
        <v>20.5</v>
      </c>
      <c r="N469" s="111">
        <f t="shared" si="107"/>
        <v>0</v>
      </c>
      <c r="O469" s="111">
        <f t="shared" si="107"/>
        <v>20.5</v>
      </c>
      <c r="P469" s="97">
        <f t="shared" si="97"/>
        <v>20.5</v>
      </c>
      <c r="Q469" s="97">
        <f t="shared" si="98"/>
        <v>0</v>
      </c>
    </row>
    <row r="470" spans="1:17" ht="31.5" x14ac:dyDescent="0.2">
      <c r="A470" s="40"/>
      <c r="B470" s="113" t="s">
        <v>473</v>
      </c>
      <c r="C470" s="113" t="s">
        <v>51</v>
      </c>
      <c r="D470" s="133" t="s">
        <v>470</v>
      </c>
      <c r="E470" s="133" t="s">
        <v>472</v>
      </c>
      <c r="F470" s="134" t="s">
        <v>474</v>
      </c>
      <c r="G470" s="111">
        <v>20.5</v>
      </c>
      <c r="H470" s="106"/>
      <c r="I470" s="111">
        <v>20.5</v>
      </c>
      <c r="J470" s="115">
        <v>0</v>
      </c>
      <c r="K470" s="106"/>
      <c r="L470" s="115">
        <v>0</v>
      </c>
      <c r="M470" s="111">
        <f>SUM(G470)</f>
        <v>20.5</v>
      </c>
      <c r="N470" s="111">
        <f>SUM(H470)</f>
        <v>0</v>
      </c>
      <c r="O470" s="111">
        <f>SUM(I470)</f>
        <v>20.5</v>
      </c>
      <c r="P470" s="97">
        <f t="shared" si="97"/>
        <v>20.5</v>
      </c>
      <c r="Q470" s="97">
        <f t="shared" si="98"/>
        <v>0</v>
      </c>
    </row>
    <row r="471" spans="1:17" ht="31.5" x14ac:dyDescent="0.2">
      <c r="A471" s="20" t="s">
        <v>475</v>
      </c>
      <c r="B471" s="107" t="s">
        <v>476</v>
      </c>
      <c r="C471" s="107" t="s">
        <v>477</v>
      </c>
      <c r="D471" s="129" t="s">
        <v>11</v>
      </c>
      <c r="E471" s="129" t="s">
        <v>11</v>
      </c>
      <c r="F471" s="130" t="s">
        <v>11</v>
      </c>
      <c r="G471" s="106">
        <f>G472</f>
        <v>142785.9</v>
      </c>
      <c r="H471" s="106">
        <f>H472+H502+H512</f>
        <v>1047.4000000000001</v>
      </c>
      <c r="I471" s="106">
        <f>I472</f>
        <v>143833.30000000002</v>
      </c>
      <c r="J471" s="108">
        <f>J472</f>
        <v>27919.600000000002</v>
      </c>
      <c r="K471" s="169">
        <f>K472+K502+K514</f>
        <v>0</v>
      </c>
      <c r="L471" s="108">
        <f>L472</f>
        <v>27919.600000000002</v>
      </c>
      <c r="M471" s="106">
        <f>M472</f>
        <v>170705.5</v>
      </c>
      <c r="N471" s="106">
        <f>N472</f>
        <v>1047.4000000000001</v>
      </c>
      <c r="O471" s="106">
        <f>O472</f>
        <v>171752.90000000002</v>
      </c>
      <c r="P471" s="97">
        <f t="shared" si="97"/>
        <v>143833.29999999999</v>
      </c>
      <c r="Q471" s="97">
        <f t="shared" si="98"/>
        <v>0</v>
      </c>
    </row>
    <row r="472" spans="1:17" ht="15.75" x14ac:dyDescent="0.2">
      <c r="A472" s="20" t="s">
        <v>478</v>
      </c>
      <c r="B472" s="107" t="s">
        <v>479</v>
      </c>
      <c r="C472" s="107" t="s">
        <v>477</v>
      </c>
      <c r="D472" s="129" t="s">
        <v>480</v>
      </c>
      <c r="E472" s="129" t="s">
        <v>11</v>
      </c>
      <c r="F472" s="130" t="s">
        <v>11</v>
      </c>
      <c r="G472" s="106">
        <f>G473+G507+G515</f>
        <v>142785.9</v>
      </c>
      <c r="H472" s="109">
        <f>H473+H515+H507</f>
        <v>1047.4000000000001</v>
      </c>
      <c r="I472" s="106">
        <f>I473+I507+I515</f>
        <v>143833.30000000002</v>
      </c>
      <c r="J472" s="108">
        <f>J473+J507+J515</f>
        <v>27919.600000000002</v>
      </c>
      <c r="K472" s="169">
        <f>K473+K507+K515</f>
        <v>0</v>
      </c>
      <c r="L472" s="108">
        <f>L473+L507+L515</f>
        <v>27919.600000000002</v>
      </c>
      <c r="M472" s="106">
        <f>SUM(G472+J472)</f>
        <v>170705.5</v>
      </c>
      <c r="N472" s="106">
        <f>N473+N507+N515</f>
        <v>1047.4000000000001</v>
      </c>
      <c r="O472" s="106">
        <f>SUM(I472+L472)</f>
        <v>171752.90000000002</v>
      </c>
      <c r="P472" s="97">
        <f t="shared" si="97"/>
        <v>143833.29999999999</v>
      </c>
      <c r="Q472" s="97">
        <f t="shared" si="98"/>
        <v>0</v>
      </c>
    </row>
    <row r="473" spans="1:17" ht="15.75" x14ac:dyDescent="0.2">
      <c r="A473" s="33" t="s">
        <v>481</v>
      </c>
      <c r="B473" s="110" t="s">
        <v>482</v>
      </c>
      <c r="C473" s="110" t="s">
        <v>477</v>
      </c>
      <c r="D473" s="131" t="s">
        <v>483</v>
      </c>
      <c r="E473" s="131" t="s">
        <v>11</v>
      </c>
      <c r="F473" s="132" t="s">
        <v>11</v>
      </c>
      <c r="G473" s="109">
        <f>G474</f>
        <v>113366.9</v>
      </c>
      <c r="H473" s="111">
        <f>H474+H482+H503</f>
        <v>-21.999999999999943</v>
      </c>
      <c r="I473" s="109">
        <f>I474+I503</f>
        <v>113344.90000000001</v>
      </c>
      <c r="J473" s="112">
        <f>J474</f>
        <v>26634.300000000003</v>
      </c>
      <c r="K473" s="111">
        <f>K474+K482</f>
        <v>0</v>
      </c>
      <c r="L473" s="112">
        <f>L474</f>
        <v>26634.300000000003</v>
      </c>
      <c r="M473" s="109">
        <f>M474</f>
        <v>140001.19999999998</v>
      </c>
      <c r="N473" s="109">
        <f>N474+N503</f>
        <v>-21.999999999999943</v>
      </c>
      <c r="O473" s="169">
        <f>O474+O503</f>
        <v>139979.20000000001</v>
      </c>
      <c r="P473" s="97">
        <f t="shared" si="97"/>
        <v>113344.9</v>
      </c>
      <c r="Q473" s="97">
        <f t="shared" si="98"/>
        <v>0</v>
      </c>
    </row>
    <row r="474" spans="1:17" ht="31.5" x14ac:dyDescent="0.2">
      <c r="A474" s="40"/>
      <c r="B474" s="113" t="s">
        <v>484</v>
      </c>
      <c r="C474" s="113" t="s">
        <v>477</v>
      </c>
      <c r="D474" s="133" t="s">
        <v>483</v>
      </c>
      <c r="E474" s="133" t="s">
        <v>485</v>
      </c>
      <c r="F474" s="134" t="s">
        <v>11</v>
      </c>
      <c r="G474" s="111">
        <f>G475+G483</f>
        <v>113366.9</v>
      </c>
      <c r="H474" s="111">
        <f>H475+H483</f>
        <v>-21.999999999999943</v>
      </c>
      <c r="I474" s="111">
        <f>I475+I483</f>
        <v>113344.90000000001</v>
      </c>
      <c r="J474" s="114">
        <f>J475+J483</f>
        <v>26634.300000000003</v>
      </c>
      <c r="K474" s="111">
        <f>K475+K483</f>
        <v>0</v>
      </c>
      <c r="L474" s="114">
        <f>L475+L483</f>
        <v>26634.300000000003</v>
      </c>
      <c r="M474" s="111">
        <f>M475+M483</f>
        <v>140001.19999999998</v>
      </c>
      <c r="N474" s="111">
        <f>N475+N483</f>
        <v>-21.999999999999943</v>
      </c>
      <c r="O474" s="167">
        <f>O475+O483</f>
        <v>139979.20000000001</v>
      </c>
      <c r="P474" s="97">
        <f t="shared" si="97"/>
        <v>113344.9</v>
      </c>
      <c r="Q474" s="97">
        <f t="shared" si="98"/>
        <v>0</v>
      </c>
    </row>
    <row r="475" spans="1:17" ht="15.75" x14ac:dyDescent="0.2">
      <c r="A475" s="40"/>
      <c r="B475" s="113" t="s">
        <v>486</v>
      </c>
      <c r="C475" s="113" t="s">
        <v>477</v>
      </c>
      <c r="D475" s="133" t="s">
        <v>483</v>
      </c>
      <c r="E475" s="133" t="s">
        <v>487</v>
      </c>
      <c r="F475" s="134" t="s">
        <v>11</v>
      </c>
      <c r="G475" s="111">
        <f>G476</f>
        <v>7359.9</v>
      </c>
      <c r="H475" s="111">
        <f>H476</f>
        <v>-431.7</v>
      </c>
      <c r="I475" s="111">
        <f>I476</f>
        <v>6928.2</v>
      </c>
      <c r="J475" s="114">
        <f>J476</f>
        <v>0</v>
      </c>
      <c r="K475" s="111">
        <f>K476+K478+K480</f>
        <v>0</v>
      </c>
      <c r="L475" s="114">
        <f>L476</f>
        <v>0</v>
      </c>
      <c r="M475" s="111">
        <f>M476</f>
        <v>7359.9</v>
      </c>
      <c r="N475" s="111">
        <f>N476</f>
        <v>-431.7</v>
      </c>
      <c r="O475" s="111">
        <f>O476</f>
        <v>6928.2</v>
      </c>
      <c r="P475" s="97">
        <f t="shared" si="97"/>
        <v>6928.2</v>
      </c>
      <c r="Q475" s="97">
        <f t="shared" si="98"/>
        <v>0</v>
      </c>
    </row>
    <row r="476" spans="1:17" ht="15.75" x14ac:dyDescent="0.2">
      <c r="A476" s="40"/>
      <c r="B476" s="113" t="s">
        <v>488</v>
      </c>
      <c r="C476" s="113" t="s">
        <v>477</v>
      </c>
      <c r="D476" s="133" t="s">
        <v>483</v>
      </c>
      <c r="E476" s="133" t="s">
        <v>489</v>
      </c>
      <c r="F476" s="134" t="s">
        <v>11</v>
      </c>
      <c r="G476" s="111">
        <f>G477+G479+G481</f>
        <v>7359.9</v>
      </c>
      <c r="H476" s="111">
        <f>H477+H479</f>
        <v>-431.7</v>
      </c>
      <c r="I476" s="111">
        <f>SUM(G476+H476)</f>
        <v>6928.2</v>
      </c>
      <c r="J476" s="114">
        <f>J477+J479+J481</f>
        <v>0</v>
      </c>
      <c r="K476" s="111">
        <f>K477</f>
        <v>0</v>
      </c>
      <c r="L476" s="114">
        <f>L477+L479+L481</f>
        <v>0</v>
      </c>
      <c r="M476" s="111">
        <f>M477+M479+M481</f>
        <v>7359.9</v>
      </c>
      <c r="N476" s="111">
        <f>N477+N479</f>
        <v>-431.7</v>
      </c>
      <c r="O476" s="167">
        <f>SUM(M476+N476)</f>
        <v>6928.2</v>
      </c>
      <c r="P476" s="97">
        <f t="shared" si="97"/>
        <v>6928.2</v>
      </c>
      <c r="Q476" s="97">
        <f t="shared" si="98"/>
        <v>0</v>
      </c>
    </row>
    <row r="477" spans="1:17" ht="15.75" x14ac:dyDescent="0.2">
      <c r="A477" s="40"/>
      <c r="B477" s="113" t="s">
        <v>490</v>
      </c>
      <c r="C477" s="113" t="s">
        <v>477</v>
      </c>
      <c r="D477" s="133" t="s">
        <v>483</v>
      </c>
      <c r="E477" s="133" t="s">
        <v>491</v>
      </c>
      <c r="F477" s="134" t="s">
        <v>11</v>
      </c>
      <c r="G477" s="111">
        <f>G478</f>
        <v>6459.9</v>
      </c>
      <c r="H477" s="111">
        <f>H478</f>
        <v>-431.7</v>
      </c>
      <c r="I477" s="111">
        <f>I478</f>
        <v>6028.2</v>
      </c>
      <c r="J477" s="114">
        <f>J478</f>
        <v>0</v>
      </c>
      <c r="K477" s="111"/>
      <c r="L477" s="114">
        <f>L478</f>
        <v>0</v>
      </c>
      <c r="M477" s="111">
        <f>M478</f>
        <v>6459.9</v>
      </c>
      <c r="N477" s="111">
        <f>N478</f>
        <v>-431.7</v>
      </c>
      <c r="O477" s="167">
        <f>O478</f>
        <v>6028.2</v>
      </c>
      <c r="P477" s="97">
        <f t="shared" si="97"/>
        <v>6028.2</v>
      </c>
      <c r="Q477" s="97">
        <f t="shared" si="98"/>
        <v>0</v>
      </c>
    </row>
    <row r="478" spans="1:17" ht="31.5" x14ac:dyDescent="0.2">
      <c r="A478" s="40"/>
      <c r="B478" s="113" t="s">
        <v>40</v>
      </c>
      <c r="C478" s="113" t="s">
        <v>477</v>
      </c>
      <c r="D478" s="133" t="s">
        <v>483</v>
      </c>
      <c r="E478" s="133" t="s">
        <v>491</v>
      </c>
      <c r="F478" s="134" t="s">
        <v>41</v>
      </c>
      <c r="G478" s="111">
        <v>6459.9</v>
      </c>
      <c r="H478" s="111">
        <f>-22-409.7</f>
        <v>-431.7</v>
      </c>
      <c r="I478" s="111">
        <f>SUM(G478+H478)</f>
        <v>6028.2</v>
      </c>
      <c r="J478" s="115">
        <v>0</v>
      </c>
      <c r="K478" s="111"/>
      <c r="L478" s="115">
        <v>0</v>
      </c>
      <c r="M478" s="111">
        <f>SUM(G478)</f>
        <v>6459.9</v>
      </c>
      <c r="N478" s="111">
        <f>SUM(H478)</f>
        <v>-431.7</v>
      </c>
      <c r="O478" s="167">
        <f>SUM(M478+N478)</f>
        <v>6028.2</v>
      </c>
      <c r="P478" s="97">
        <f t="shared" si="97"/>
        <v>6028.2</v>
      </c>
      <c r="Q478" s="97">
        <f t="shared" si="98"/>
        <v>0</v>
      </c>
    </row>
    <row r="479" spans="1:17" ht="15.75" x14ac:dyDescent="0.2">
      <c r="A479" s="40"/>
      <c r="B479" s="113" t="s">
        <v>492</v>
      </c>
      <c r="C479" s="113" t="s">
        <v>477</v>
      </c>
      <c r="D479" s="133" t="s">
        <v>483</v>
      </c>
      <c r="E479" s="133" t="s">
        <v>493</v>
      </c>
      <c r="F479" s="134" t="s">
        <v>11</v>
      </c>
      <c r="G479" s="111">
        <f>G480</f>
        <v>900</v>
      </c>
      <c r="H479" s="111"/>
      <c r="I479" s="111">
        <f>I480</f>
        <v>900</v>
      </c>
      <c r="J479" s="114">
        <f>J480</f>
        <v>0</v>
      </c>
      <c r="K479" s="111"/>
      <c r="L479" s="114">
        <f>L480</f>
        <v>0</v>
      </c>
      <c r="M479" s="111">
        <f>M480</f>
        <v>900</v>
      </c>
      <c r="N479" s="111">
        <f>N480</f>
        <v>0</v>
      </c>
      <c r="O479" s="167">
        <f>O480</f>
        <v>900</v>
      </c>
      <c r="P479" s="97">
        <f t="shared" si="97"/>
        <v>900</v>
      </c>
      <c r="Q479" s="97">
        <f t="shared" si="98"/>
        <v>0</v>
      </c>
    </row>
    <row r="480" spans="1:17" ht="26.25" customHeight="1" x14ac:dyDescent="0.2">
      <c r="A480" s="40"/>
      <c r="B480" s="113" t="s">
        <v>40</v>
      </c>
      <c r="C480" s="113" t="s">
        <v>477</v>
      </c>
      <c r="D480" s="133" t="s">
        <v>483</v>
      </c>
      <c r="E480" s="133" t="s">
        <v>493</v>
      </c>
      <c r="F480" s="134" t="s">
        <v>41</v>
      </c>
      <c r="G480" s="111">
        <v>900</v>
      </c>
      <c r="H480" s="111"/>
      <c r="I480" s="111">
        <v>900</v>
      </c>
      <c r="J480" s="115">
        <v>0</v>
      </c>
      <c r="K480" s="111"/>
      <c r="L480" s="115">
        <v>0</v>
      </c>
      <c r="M480" s="111">
        <f>G480+J480</f>
        <v>900</v>
      </c>
      <c r="N480" s="111">
        <f>SUM(H480)</f>
        <v>0</v>
      </c>
      <c r="O480" s="167">
        <f>I480+L480</f>
        <v>900</v>
      </c>
      <c r="P480" s="97">
        <f t="shared" si="97"/>
        <v>900</v>
      </c>
      <c r="Q480" s="97">
        <f t="shared" si="98"/>
        <v>0</v>
      </c>
    </row>
    <row r="481" spans="1:18" ht="15.75" hidden="1" x14ac:dyDescent="0.2">
      <c r="A481" s="40"/>
      <c r="B481" s="113" t="s">
        <v>378</v>
      </c>
      <c r="C481" s="113" t="s">
        <v>477</v>
      </c>
      <c r="D481" s="133" t="s">
        <v>483</v>
      </c>
      <c r="E481" s="133" t="s">
        <v>494</v>
      </c>
      <c r="F481" s="134" t="s">
        <v>11</v>
      </c>
      <c r="G481" s="111">
        <f>G482</f>
        <v>0</v>
      </c>
      <c r="H481" s="111"/>
      <c r="I481" s="111">
        <f>I482</f>
        <v>0</v>
      </c>
      <c r="J481" s="114">
        <f>J482</f>
        <v>0</v>
      </c>
      <c r="K481" s="111"/>
      <c r="L481" s="114">
        <f>L482</f>
        <v>0</v>
      </c>
      <c r="M481" s="111">
        <f>M482</f>
        <v>0</v>
      </c>
      <c r="N481" s="111">
        <f>N482</f>
        <v>0</v>
      </c>
      <c r="O481" s="111">
        <f>O482</f>
        <v>0</v>
      </c>
      <c r="P481" s="97">
        <f t="shared" si="97"/>
        <v>0</v>
      </c>
      <c r="Q481" s="97">
        <f t="shared" si="98"/>
        <v>0</v>
      </c>
    </row>
    <row r="482" spans="1:18" ht="31.5" hidden="1" x14ac:dyDescent="0.2">
      <c r="A482" s="40"/>
      <c r="B482" s="113" t="s">
        <v>40</v>
      </c>
      <c r="C482" s="113" t="s">
        <v>477</v>
      </c>
      <c r="D482" s="133" t="s">
        <v>483</v>
      </c>
      <c r="E482" s="133" t="s">
        <v>494</v>
      </c>
      <c r="F482" s="134" t="s">
        <v>41</v>
      </c>
      <c r="G482" s="111"/>
      <c r="H482" s="111"/>
      <c r="I482" s="111"/>
      <c r="J482" s="115">
        <v>0</v>
      </c>
      <c r="K482" s="111"/>
      <c r="L482" s="115">
        <v>0</v>
      </c>
      <c r="M482" s="111"/>
      <c r="N482" s="111"/>
      <c r="O482" s="111"/>
      <c r="P482" s="97">
        <f t="shared" ref="P482:P551" si="108">G482+H482</f>
        <v>0</v>
      </c>
      <c r="Q482" s="97">
        <f t="shared" ref="Q482:Q551" si="109">I482-P482</f>
        <v>0</v>
      </c>
    </row>
    <row r="483" spans="1:18" ht="47.25" x14ac:dyDescent="0.2">
      <c r="A483" s="40"/>
      <c r="B483" s="113" t="s">
        <v>495</v>
      </c>
      <c r="C483" s="113" t="s">
        <v>477</v>
      </c>
      <c r="D483" s="133" t="s">
        <v>483</v>
      </c>
      <c r="E483" s="133" t="s">
        <v>496</v>
      </c>
      <c r="F483" s="134" t="s">
        <v>11</v>
      </c>
      <c r="G483" s="111">
        <f>G484+G500</f>
        <v>106007</v>
      </c>
      <c r="H483" s="111">
        <f>H484+H500</f>
        <v>409.70000000000005</v>
      </c>
      <c r="I483" s="111">
        <f>I484+I500</f>
        <v>106416.70000000001</v>
      </c>
      <c r="J483" s="114">
        <f t="shared" ref="J483:M483" si="110">J484+J500</f>
        <v>26634.300000000003</v>
      </c>
      <c r="K483" s="111">
        <f t="shared" si="110"/>
        <v>0</v>
      </c>
      <c r="L483" s="114">
        <f t="shared" si="110"/>
        <v>26634.300000000003</v>
      </c>
      <c r="M483" s="111">
        <f t="shared" si="110"/>
        <v>132641.29999999999</v>
      </c>
      <c r="N483" s="111">
        <f>N484</f>
        <v>409.70000000000005</v>
      </c>
      <c r="O483" s="167">
        <f>O484+O500</f>
        <v>133051</v>
      </c>
      <c r="P483" s="97">
        <f t="shared" si="108"/>
        <v>106416.7</v>
      </c>
      <c r="Q483" s="97">
        <f t="shared" si="109"/>
        <v>0</v>
      </c>
    </row>
    <row r="484" spans="1:18" ht="47.25" x14ac:dyDescent="0.2">
      <c r="A484" s="40"/>
      <c r="B484" s="113" t="s">
        <v>497</v>
      </c>
      <c r="C484" s="113" t="s">
        <v>477</v>
      </c>
      <c r="D484" s="133" t="s">
        <v>483</v>
      </c>
      <c r="E484" s="133" t="s">
        <v>498</v>
      </c>
      <c r="F484" s="134" t="s">
        <v>11</v>
      </c>
      <c r="G484" s="111">
        <f>G485+G494+G498+G492+G490</f>
        <v>105752.6</v>
      </c>
      <c r="H484" s="111">
        <f>H485+H494+H498+H492+H490</f>
        <v>409.70000000000005</v>
      </c>
      <c r="I484" s="111">
        <f>I485+I494+I498+I492+I490</f>
        <v>106162.30000000002</v>
      </c>
      <c r="J484" s="114">
        <f>J485+J494+J498+J492+J496</f>
        <v>25071.800000000003</v>
      </c>
      <c r="K484" s="111">
        <f>K485+K487+K492+K494+K498+K496</f>
        <v>0</v>
      </c>
      <c r="L484" s="114">
        <f>L485+L494+L498+L492+L496</f>
        <v>25071.800000000003</v>
      </c>
      <c r="M484" s="111">
        <f>M485+M494+M498+M492+M496+M490</f>
        <v>130824.4</v>
      </c>
      <c r="N484" s="111">
        <f>N485+N494+N498+N492+N490</f>
        <v>409.70000000000005</v>
      </c>
      <c r="O484" s="167">
        <f>O485+O494+O498+O492+O496+O490</f>
        <v>131234.1</v>
      </c>
      <c r="P484" s="97">
        <f t="shared" si="108"/>
        <v>106162.3</v>
      </c>
      <c r="Q484" s="97">
        <f t="shared" si="109"/>
        <v>0</v>
      </c>
      <c r="R484">
        <v>-0.1</v>
      </c>
    </row>
    <row r="485" spans="1:18" ht="31.5" x14ac:dyDescent="0.2">
      <c r="A485" s="40"/>
      <c r="B485" s="113" t="s">
        <v>134</v>
      </c>
      <c r="C485" s="113" t="s">
        <v>477</v>
      </c>
      <c r="D485" s="133" t="s">
        <v>483</v>
      </c>
      <c r="E485" s="133" t="s">
        <v>499</v>
      </c>
      <c r="F485" s="134" t="s">
        <v>11</v>
      </c>
      <c r="G485" s="111">
        <f>G486+G487+G488+G489</f>
        <v>99695.200000000012</v>
      </c>
      <c r="H485" s="111">
        <f>SUM(H487)+H488</f>
        <v>0</v>
      </c>
      <c r="I485" s="111">
        <f>I486+I487+I488+I489</f>
        <v>99695.200000000012</v>
      </c>
      <c r="J485" s="114">
        <f>J486+J487+J488+J489</f>
        <v>20725.600000000002</v>
      </c>
      <c r="K485" s="111">
        <f>K486+K487+K488</f>
        <v>0</v>
      </c>
      <c r="L485" s="114">
        <f>L486+L487+L488+L489</f>
        <v>20725.600000000002</v>
      </c>
      <c r="M485" s="111">
        <f>M486+M487+M488+M489</f>
        <v>120420.8</v>
      </c>
      <c r="N485" s="111">
        <f>N486+N487+N489+N488</f>
        <v>0</v>
      </c>
      <c r="O485" s="167">
        <f>O486+O487+O488+O489</f>
        <v>120420.8</v>
      </c>
      <c r="P485" s="97">
        <f t="shared" si="108"/>
        <v>99695.200000000012</v>
      </c>
      <c r="Q485" s="97">
        <f t="shared" si="109"/>
        <v>0</v>
      </c>
    </row>
    <row r="486" spans="1:18" ht="48" customHeight="1" x14ac:dyDescent="0.2">
      <c r="A486" s="40"/>
      <c r="B486" s="113" t="s">
        <v>61</v>
      </c>
      <c r="C486" s="113" t="s">
        <v>477</v>
      </c>
      <c r="D486" s="133" t="s">
        <v>483</v>
      </c>
      <c r="E486" s="133" t="s">
        <v>499</v>
      </c>
      <c r="F486" s="134" t="s">
        <v>62</v>
      </c>
      <c r="G486" s="111">
        <v>16500.3</v>
      </c>
      <c r="H486" s="111"/>
      <c r="I486" s="111">
        <v>16500.3</v>
      </c>
      <c r="J486" s="115">
        <v>3655.4</v>
      </c>
      <c r="K486" s="111"/>
      <c r="L486" s="111">
        <f>J486+K486</f>
        <v>3655.4</v>
      </c>
      <c r="M486" s="111">
        <f>G486+J486</f>
        <v>20155.7</v>
      </c>
      <c r="N486" s="111">
        <f>H486+K486</f>
        <v>0</v>
      </c>
      <c r="O486" s="167">
        <f>I486+L486</f>
        <v>20155.7</v>
      </c>
      <c r="P486" s="97">
        <f t="shared" si="108"/>
        <v>16500.3</v>
      </c>
      <c r="Q486" s="97">
        <f t="shared" si="109"/>
        <v>0</v>
      </c>
    </row>
    <row r="487" spans="1:18" ht="31.5" x14ac:dyDescent="0.2">
      <c r="A487" s="40"/>
      <c r="B487" s="113" t="s">
        <v>40</v>
      </c>
      <c r="C487" s="113" t="s">
        <v>477</v>
      </c>
      <c r="D487" s="133" t="s">
        <v>483</v>
      </c>
      <c r="E487" s="133" t="s">
        <v>499</v>
      </c>
      <c r="F487" s="134" t="s">
        <v>41</v>
      </c>
      <c r="G487" s="111">
        <v>6034.3</v>
      </c>
      <c r="H487" s="111"/>
      <c r="I487" s="111">
        <f>SUM(G487)+H487</f>
        <v>6034.3</v>
      </c>
      <c r="J487" s="115">
        <v>0</v>
      </c>
      <c r="K487" s="111"/>
      <c r="L487" s="115">
        <v>0</v>
      </c>
      <c r="M487" s="111">
        <f>SUM(G487)</f>
        <v>6034.3</v>
      </c>
      <c r="N487" s="111">
        <f>SUM(H487)</f>
        <v>0</v>
      </c>
      <c r="O487" s="167">
        <f>SUM(I487)</f>
        <v>6034.3</v>
      </c>
      <c r="P487" s="97">
        <f t="shared" si="108"/>
        <v>6034.3</v>
      </c>
      <c r="Q487" s="97">
        <f t="shared" si="109"/>
        <v>0</v>
      </c>
    </row>
    <row r="488" spans="1:18" ht="39" customHeight="1" x14ac:dyDescent="0.2">
      <c r="A488" s="40"/>
      <c r="B488" s="113" t="s">
        <v>95</v>
      </c>
      <c r="C488" s="113" t="s">
        <v>477</v>
      </c>
      <c r="D488" s="133" t="s">
        <v>483</v>
      </c>
      <c r="E488" s="133" t="s">
        <v>499</v>
      </c>
      <c r="F488" s="134" t="s">
        <v>96</v>
      </c>
      <c r="G488" s="111">
        <f>75925300/1000+1213.2</f>
        <v>77138.5</v>
      </c>
      <c r="H488" s="111"/>
      <c r="I488" s="111">
        <f>75925300/1000+1213.2+H488</f>
        <v>77138.5</v>
      </c>
      <c r="J488" s="115">
        <v>17070.2</v>
      </c>
      <c r="K488" s="111"/>
      <c r="L488" s="111">
        <f>J488+K488</f>
        <v>17070.2</v>
      </c>
      <c r="M488" s="111">
        <f>G488+J488</f>
        <v>94208.7</v>
      </c>
      <c r="N488" s="111">
        <f>SUM(K488)</f>
        <v>0</v>
      </c>
      <c r="O488" s="167">
        <f>I488+L488</f>
        <v>94208.7</v>
      </c>
      <c r="P488" s="97">
        <f t="shared" si="108"/>
        <v>77138.5</v>
      </c>
      <c r="Q488" s="97">
        <f t="shared" si="109"/>
        <v>0</v>
      </c>
    </row>
    <row r="489" spans="1:18" ht="15.75" x14ac:dyDescent="0.2">
      <c r="A489" s="40"/>
      <c r="B489" s="113" t="s">
        <v>338</v>
      </c>
      <c r="C489" s="113" t="s">
        <v>477</v>
      </c>
      <c r="D489" s="133" t="s">
        <v>483</v>
      </c>
      <c r="E489" s="133" t="s">
        <v>499</v>
      </c>
      <c r="F489" s="134" t="s">
        <v>71</v>
      </c>
      <c r="G489" s="111">
        <v>22.1</v>
      </c>
      <c r="H489" s="111"/>
      <c r="I489" s="111">
        <v>22.1</v>
      </c>
      <c r="J489" s="115">
        <v>0</v>
      </c>
      <c r="K489" s="111"/>
      <c r="L489" s="115">
        <v>0</v>
      </c>
      <c r="M489" s="111">
        <f>G489+J489</f>
        <v>22.1</v>
      </c>
      <c r="N489" s="111">
        <f>SUM(H489)</f>
        <v>0</v>
      </c>
      <c r="O489" s="111">
        <f>I489+L489</f>
        <v>22.1</v>
      </c>
      <c r="P489" s="97">
        <f t="shared" si="108"/>
        <v>22.1</v>
      </c>
      <c r="Q489" s="97">
        <f t="shared" si="109"/>
        <v>0</v>
      </c>
    </row>
    <row r="490" spans="1:18" ht="31.5" x14ac:dyDescent="0.2">
      <c r="A490" s="40"/>
      <c r="B490" s="113" t="s">
        <v>392</v>
      </c>
      <c r="C490" s="113">
        <v>993</v>
      </c>
      <c r="D490" s="133" t="s">
        <v>483</v>
      </c>
      <c r="E490" s="136" t="s">
        <v>600</v>
      </c>
      <c r="F490" s="134"/>
      <c r="G490" s="111">
        <v>581.20000000000005</v>
      </c>
      <c r="H490" s="111">
        <f>H491</f>
        <v>-184</v>
      </c>
      <c r="I490" s="111">
        <f>SUM(H490)+G490</f>
        <v>397.20000000000005</v>
      </c>
      <c r="J490" s="115"/>
      <c r="K490" s="111"/>
      <c r="L490" s="115"/>
      <c r="M490" s="111">
        <f>SUM(G490)</f>
        <v>581.20000000000005</v>
      </c>
      <c r="N490" s="111">
        <f>SUM(H490)</f>
        <v>-184</v>
      </c>
      <c r="O490" s="167">
        <f>SUM(I490)</f>
        <v>397.20000000000005</v>
      </c>
      <c r="P490" s="97">
        <f t="shared" si="108"/>
        <v>397.20000000000005</v>
      </c>
      <c r="Q490" s="97">
        <f t="shared" si="109"/>
        <v>0</v>
      </c>
    </row>
    <row r="491" spans="1:18" ht="47.25" x14ac:dyDescent="0.2">
      <c r="A491" s="40"/>
      <c r="B491" s="113" t="s">
        <v>95</v>
      </c>
      <c r="C491" s="113">
        <v>993</v>
      </c>
      <c r="D491" s="133" t="s">
        <v>483</v>
      </c>
      <c r="E491" s="136" t="s">
        <v>600</v>
      </c>
      <c r="F491" s="134">
        <v>600</v>
      </c>
      <c r="G491" s="111">
        <v>581.20000000000005</v>
      </c>
      <c r="H491" s="111">
        <v>-184</v>
      </c>
      <c r="I491" s="111">
        <f>SUM(H491)+G491</f>
        <v>397.20000000000005</v>
      </c>
      <c r="J491" s="115"/>
      <c r="K491" s="111"/>
      <c r="L491" s="115"/>
      <c r="M491" s="111">
        <f>SUM(G491)</f>
        <v>581.20000000000005</v>
      </c>
      <c r="N491" s="111">
        <f>SUM(H491)</f>
        <v>-184</v>
      </c>
      <c r="O491" s="167">
        <f>SUM(I491)</f>
        <v>397.20000000000005</v>
      </c>
      <c r="P491" s="97">
        <f t="shared" si="108"/>
        <v>397.20000000000005</v>
      </c>
      <c r="Q491" s="97">
        <f t="shared" si="109"/>
        <v>0</v>
      </c>
    </row>
    <row r="492" spans="1:18" ht="31.5" x14ac:dyDescent="0.2">
      <c r="A492" s="40"/>
      <c r="B492" s="113" t="s">
        <v>500</v>
      </c>
      <c r="C492" s="113">
        <v>993</v>
      </c>
      <c r="D492" s="133" t="s">
        <v>483</v>
      </c>
      <c r="E492" s="136" t="s">
        <v>501</v>
      </c>
      <c r="F492" s="134"/>
      <c r="G492" s="111">
        <f>SUM(F492)+G493</f>
        <v>2648.7</v>
      </c>
      <c r="H492" s="111">
        <f>SUM(H493)</f>
        <v>0</v>
      </c>
      <c r="I492" s="111">
        <f>SUM(G492)+H492</f>
        <v>2648.7</v>
      </c>
      <c r="J492" s="115">
        <f>SUM(J493)</f>
        <v>0</v>
      </c>
      <c r="K492" s="111">
        <f>SUM(K493)</f>
        <v>0</v>
      </c>
      <c r="L492" s="115">
        <f>SUM(J492)+K492</f>
        <v>0</v>
      </c>
      <c r="M492" s="111">
        <f>SUM(G492+J492)</f>
        <v>2648.7</v>
      </c>
      <c r="N492" s="111">
        <f>SUM(K492)+H492</f>
        <v>0</v>
      </c>
      <c r="O492" s="167">
        <f>SUM(I492)+L492</f>
        <v>2648.7</v>
      </c>
      <c r="P492" s="97">
        <f t="shared" si="108"/>
        <v>2648.7</v>
      </c>
      <c r="Q492" s="97">
        <f t="shared" si="109"/>
        <v>0</v>
      </c>
    </row>
    <row r="493" spans="1:18" ht="47.25" x14ac:dyDescent="0.2">
      <c r="A493" s="40"/>
      <c r="B493" s="113" t="s">
        <v>95</v>
      </c>
      <c r="C493" s="113">
        <v>993</v>
      </c>
      <c r="D493" s="133" t="s">
        <v>483</v>
      </c>
      <c r="E493" s="136" t="s">
        <v>501</v>
      </c>
      <c r="F493" s="134">
        <v>600</v>
      </c>
      <c r="G493" s="111">
        <v>2648.7</v>
      </c>
      <c r="H493" s="111"/>
      <c r="I493" s="111">
        <f>SUM(G493)+H493</f>
        <v>2648.7</v>
      </c>
      <c r="J493" s="115">
        <v>0</v>
      </c>
      <c r="K493" s="111"/>
      <c r="L493" s="115">
        <f>SUM(J493)+K493</f>
        <v>0</v>
      </c>
      <c r="M493" s="111">
        <f>SUM(G493+J493)</f>
        <v>2648.7</v>
      </c>
      <c r="N493" s="111">
        <f>SUM(K493)+H493</f>
        <v>0</v>
      </c>
      <c r="O493" s="167">
        <f>SUM(I493)+L493</f>
        <v>2648.7</v>
      </c>
      <c r="P493" s="97">
        <f t="shared" si="108"/>
        <v>2648.7</v>
      </c>
      <c r="Q493" s="97">
        <f t="shared" si="109"/>
        <v>0</v>
      </c>
    </row>
    <row r="494" spans="1:18" ht="47.25" x14ac:dyDescent="0.2">
      <c r="A494" s="40"/>
      <c r="B494" s="113" t="s">
        <v>283</v>
      </c>
      <c r="C494" s="113" t="s">
        <v>477</v>
      </c>
      <c r="D494" s="133" t="s">
        <v>483</v>
      </c>
      <c r="E494" s="133" t="s">
        <v>502</v>
      </c>
      <c r="F494" s="134" t="s">
        <v>11</v>
      </c>
      <c r="G494" s="111">
        <f>G495</f>
        <v>2201.4</v>
      </c>
      <c r="H494" s="111">
        <f>SUM(H495)</f>
        <v>593.70000000000005</v>
      </c>
      <c r="I494" s="111">
        <f>SUM(G494)+H494</f>
        <v>2795.1000000000004</v>
      </c>
      <c r="J494" s="114">
        <f t="shared" ref="J494:O494" si="111">J495</f>
        <v>0</v>
      </c>
      <c r="K494" s="111">
        <f t="shared" si="111"/>
        <v>0</v>
      </c>
      <c r="L494" s="114">
        <f t="shared" si="111"/>
        <v>0</v>
      </c>
      <c r="M494" s="111">
        <f t="shared" si="111"/>
        <v>2201.4</v>
      </c>
      <c r="N494" s="111">
        <f t="shared" si="111"/>
        <v>593.70000000000005</v>
      </c>
      <c r="O494" s="167">
        <f t="shared" si="111"/>
        <v>2795.1000000000004</v>
      </c>
      <c r="P494" s="97">
        <f t="shared" si="108"/>
        <v>2795.1000000000004</v>
      </c>
      <c r="Q494" s="97">
        <f t="shared" si="109"/>
        <v>0</v>
      </c>
    </row>
    <row r="495" spans="1:18" ht="36" customHeight="1" x14ac:dyDescent="0.2">
      <c r="A495" s="40"/>
      <c r="B495" s="113" t="s">
        <v>95</v>
      </c>
      <c r="C495" s="113" t="s">
        <v>477</v>
      </c>
      <c r="D495" s="133" t="s">
        <v>483</v>
      </c>
      <c r="E495" s="133" t="s">
        <v>502</v>
      </c>
      <c r="F495" s="134" t="s">
        <v>96</v>
      </c>
      <c r="G495" s="111">
        <v>2201.4</v>
      </c>
      <c r="H495" s="111">
        <f>409.7+184</f>
        <v>593.70000000000005</v>
      </c>
      <c r="I495" s="111">
        <f>SUM(G495)+H495</f>
        <v>2795.1000000000004</v>
      </c>
      <c r="J495" s="115"/>
      <c r="K495" s="111">
        <v>0</v>
      </c>
      <c r="L495" s="115">
        <f>SUM(J495:K495)</f>
        <v>0</v>
      </c>
      <c r="M495" s="111">
        <f>SUM(G495)</f>
        <v>2201.4</v>
      </c>
      <c r="N495" s="111">
        <f>H495+K495</f>
        <v>593.70000000000005</v>
      </c>
      <c r="O495" s="167">
        <f>SUM(M495)+N495</f>
        <v>2795.1000000000004</v>
      </c>
      <c r="P495" s="97">
        <f t="shared" si="108"/>
        <v>2795.1000000000004</v>
      </c>
      <c r="Q495" s="97">
        <f t="shared" si="109"/>
        <v>0</v>
      </c>
    </row>
    <row r="496" spans="1:18" ht="79.150000000000006" customHeight="1" x14ac:dyDescent="0.2">
      <c r="A496" s="40"/>
      <c r="B496" s="118" t="s">
        <v>587</v>
      </c>
      <c r="C496" s="113" t="s">
        <v>477</v>
      </c>
      <c r="D496" s="133" t="s">
        <v>483</v>
      </c>
      <c r="E496" s="136" t="s">
        <v>586</v>
      </c>
      <c r="F496" s="134" t="s">
        <v>11</v>
      </c>
      <c r="G496" s="111"/>
      <c r="H496" s="111"/>
      <c r="I496" s="111"/>
      <c r="J496" s="115">
        <f t="shared" ref="J496:O496" si="112">J497</f>
        <v>500</v>
      </c>
      <c r="K496" s="111">
        <f t="shared" si="112"/>
        <v>0</v>
      </c>
      <c r="L496" s="115">
        <f t="shared" si="112"/>
        <v>500</v>
      </c>
      <c r="M496" s="111">
        <f t="shared" si="112"/>
        <v>500</v>
      </c>
      <c r="N496" s="111">
        <f t="shared" si="112"/>
        <v>0</v>
      </c>
      <c r="O496" s="111">
        <f t="shared" si="112"/>
        <v>500</v>
      </c>
      <c r="P496" s="97">
        <f t="shared" si="108"/>
        <v>0</v>
      </c>
      <c r="Q496" s="97">
        <f t="shared" si="109"/>
        <v>0</v>
      </c>
    </row>
    <row r="497" spans="1:17" ht="36" customHeight="1" x14ac:dyDescent="0.2">
      <c r="A497" s="40"/>
      <c r="B497" s="113" t="s">
        <v>95</v>
      </c>
      <c r="C497" s="113" t="s">
        <v>477</v>
      </c>
      <c r="D497" s="133" t="s">
        <v>483</v>
      </c>
      <c r="E497" s="136" t="s">
        <v>586</v>
      </c>
      <c r="F497" s="134" t="s">
        <v>96</v>
      </c>
      <c r="G497" s="111"/>
      <c r="H497" s="111"/>
      <c r="I497" s="111"/>
      <c r="J497" s="115">
        <v>500</v>
      </c>
      <c r="K497" s="111"/>
      <c r="L497" s="115">
        <f>SUM(J497:K497)</f>
        <v>500</v>
      </c>
      <c r="M497" s="111">
        <f>G497+J497</f>
        <v>500</v>
      </c>
      <c r="N497" s="111">
        <f>H497+K497</f>
        <v>0</v>
      </c>
      <c r="O497" s="111">
        <f>SUM(M497:N497)</f>
        <v>500</v>
      </c>
      <c r="P497" s="97">
        <f t="shared" si="108"/>
        <v>0</v>
      </c>
      <c r="Q497" s="97">
        <f t="shared" si="109"/>
        <v>0</v>
      </c>
    </row>
    <row r="498" spans="1:17" ht="31.5" x14ac:dyDescent="0.2">
      <c r="A498" s="40"/>
      <c r="B498" s="113" t="s">
        <v>503</v>
      </c>
      <c r="C498" s="113" t="s">
        <v>477</v>
      </c>
      <c r="D498" s="133" t="s">
        <v>483</v>
      </c>
      <c r="E498" s="133" t="s">
        <v>504</v>
      </c>
      <c r="F498" s="134" t="s">
        <v>11</v>
      </c>
      <c r="G498" s="111">
        <f>G499</f>
        <v>626.1</v>
      </c>
      <c r="H498" s="111">
        <f>SUM(H499)</f>
        <v>0</v>
      </c>
      <c r="I498" s="111">
        <f>I499</f>
        <v>626.1</v>
      </c>
      <c r="J498" s="114">
        <f>J499</f>
        <v>3846.2</v>
      </c>
      <c r="K498" s="111"/>
      <c r="L498" s="114">
        <f>L499</f>
        <v>3846.2</v>
      </c>
      <c r="M498" s="111">
        <f>M499</f>
        <v>4472.3</v>
      </c>
      <c r="N498" s="111">
        <f>N499</f>
        <v>0</v>
      </c>
      <c r="O498" s="167">
        <f>O499</f>
        <v>4472.3</v>
      </c>
      <c r="P498" s="97">
        <f t="shared" si="108"/>
        <v>626.1</v>
      </c>
      <c r="Q498" s="97">
        <f t="shared" si="109"/>
        <v>0</v>
      </c>
    </row>
    <row r="499" spans="1:17" ht="36" customHeight="1" x14ac:dyDescent="0.2">
      <c r="A499" s="40"/>
      <c r="B499" s="113" t="s">
        <v>95</v>
      </c>
      <c r="C499" s="113" t="s">
        <v>477</v>
      </c>
      <c r="D499" s="133" t="s">
        <v>483</v>
      </c>
      <c r="E499" s="133" t="s">
        <v>504</v>
      </c>
      <c r="F499" s="134" t="s">
        <v>96</v>
      </c>
      <c r="G499" s="111">
        <v>626.1</v>
      </c>
      <c r="H499" s="111"/>
      <c r="I499" s="111">
        <v>626.1</v>
      </c>
      <c r="J499" s="115">
        <v>3846.2</v>
      </c>
      <c r="K499" s="111"/>
      <c r="L499" s="115">
        <v>3846.2</v>
      </c>
      <c r="M499" s="111">
        <f>G499+J499</f>
        <v>4472.3</v>
      </c>
      <c r="N499" s="111">
        <f>SUM(H499)</f>
        <v>0</v>
      </c>
      <c r="O499" s="167">
        <f>I499+L499</f>
        <v>4472.3</v>
      </c>
      <c r="P499" s="97">
        <f t="shared" si="108"/>
        <v>626.1</v>
      </c>
      <c r="Q499" s="97">
        <f t="shared" si="109"/>
        <v>0</v>
      </c>
    </row>
    <row r="500" spans="1:17" ht="16.899999999999999" customHeight="1" x14ac:dyDescent="0.2">
      <c r="A500" s="40"/>
      <c r="B500" s="135" t="s">
        <v>505</v>
      </c>
      <c r="C500" s="113">
        <v>993</v>
      </c>
      <c r="D500" s="133" t="s">
        <v>483</v>
      </c>
      <c r="E500" s="133" t="s">
        <v>506</v>
      </c>
      <c r="F500" s="134"/>
      <c r="G500" s="111">
        <v>254.4</v>
      </c>
      <c r="H500" s="111"/>
      <c r="I500" s="111">
        <v>254.4</v>
      </c>
      <c r="J500" s="115">
        <v>1562.5</v>
      </c>
      <c r="K500" s="111"/>
      <c r="L500" s="115">
        <v>1562.5</v>
      </c>
      <c r="M500" s="111">
        <f>254.4+J500</f>
        <v>1816.9</v>
      </c>
      <c r="N500" s="111"/>
      <c r="O500" s="111">
        <f>254.4+L500</f>
        <v>1816.9</v>
      </c>
      <c r="P500" s="97">
        <f t="shared" si="108"/>
        <v>254.4</v>
      </c>
      <c r="Q500" s="97">
        <f t="shared" si="109"/>
        <v>0</v>
      </c>
    </row>
    <row r="501" spans="1:17" ht="36" customHeight="1" x14ac:dyDescent="0.2">
      <c r="A501" s="40"/>
      <c r="B501" s="135" t="s">
        <v>507</v>
      </c>
      <c r="C501" s="113">
        <v>993</v>
      </c>
      <c r="D501" s="133" t="s">
        <v>483</v>
      </c>
      <c r="E501" s="133" t="s">
        <v>508</v>
      </c>
      <c r="F501" s="134"/>
      <c r="G501" s="111">
        <v>254.4</v>
      </c>
      <c r="H501" s="111"/>
      <c r="I501" s="111">
        <v>254.4</v>
      </c>
      <c r="J501" s="115">
        <v>1562.5</v>
      </c>
      <c r="K501" s="111"/>
      <c r="L501" s="115">
        <v>1562.5</v>
      </c>
      <c r="M501" s="111">
        <f>254.4+J501</f>
        <v>1816.9</v>
      </c>
      <c r="N501" s="111"/>
      <c r="O501" s="111">
        <f>254.4+L501</f>
        <v>1816.9</v>
      </c>
      <c r="P501" s="97">
        <f t="shared" si="108"/>
        <v>254.4</v>
      </c>
      <c r="Q501" s="97">
        <f t="shared" si="109"/>
        <v>0</v>
      </c>
    </row>
    <row r="502" spans="1:17" ht="32.25" customHeight="1" x14ac:dyDescent="0.2">
      <c r="A502" s="40"/>
      <c r="B502" s="113" t="s">
        <v>95</v>
      </c>
      <c r="C502" s="113">
        <v>993</v>
      </c>
      <c r="D502" s="133" t="s">
        <v>483</v>
      </c>
      <c r="E502" s="133" t="s">
        <v>508</v>
      </c>
      <c r="F502" s="134">
        <v>600</v>
      </c>
      <c r="G502" s="111">
        <v>254.4</v>
      </c>
      <c r="H502" s="109"/>
      <c r="I502" s="111">
        <v>254.4</v>
      </c>
      <c r="J502" s="115">
        <v>1562.5</v>
      </c>
      <c r="K502" s="109"/>
      <c r="L502" s="115">
        <v>1562.5</v>
      </c>
      <c r="M502" s="111">
        <f>254.4+J502</f>
        <v>1816.9</v>
      </c>
      <c r="N502" s="111"/>
      <c r="O502" s="111">
        <f>254.4+L502</f>
        <v>1816.9</v>
      </c>
      <c r="P502" s="97">
        <f t="shared" si="108"/>
        <v>254.4</v>
      </c>
      <c r="Q502" s="97">
        <f t="shared" si="109"/>
        <v>0</v>
      </c>
    </row>
    <row r="503" spans="1:17" ht="36" hidden="1" customHeight="1" x14ac:dyDescent="0.2">
      <c r="A503" s="40"/>
      <c r="B503" s="135" t="s">
        <v>459</v>
      </c>
      <c r="C503" s="113">
        <v>993</v>
      </c>
      <c r="D503" s="133" t="s">
        <v>483</v>
      </c>
      <c r="E503" s="133">
        <v>1300000000</v>
      </c>
      <c r="F503" s="134"/>
      <c r="G503" s="111"/>
      <c r="H503" s="111">
        <f>SUM(H504)</f>
        <v>0</v>
      </c>
      <c r="I503" s="111">
        <f>SUM(H504)</f>
        <v>0</v>
      </c>
      <c r="J503" s="115"/>
      <c r="K503" s="109"/>
      <c r="L503" s="115"/>
      <c r="M503" s="111"/>
      <c r="N503" s="111">
        <f t="shared" ref="N503:O506" si="113">SUM(H503)</f>
        <v>0</v>
      </c>
      <c r="O503" s="111">
        <f t="shared" si="113"/>
        <v>0</v>
      </c>
      <c r="P503" s="97">
        <f t="shared" si="108"/>
        <v>0</v>
      </c>
      <c r="Q503" s="97">
        <f t="shared" si="109"/>
        <v>0</v>
      </c>
    </row>
    <row r="504" spans="1:17" ht="36" hidden="1" customHeight="1" x14ac:dyDescent="0.2">
      <c r="A504" s="40"/>
      <c r="B504" s="135" t="s">
        <v>461</v>
      </c>
      <c r="C504" s="113">
        <v>993</v>
      </c>
      <c r="D504" s="133" t="s">
        <v>483</v>
      </c>
      <c r="E504" s="136" t="s">
        <v>462</v>
      </c>
      <c r="F504" s="134"/>
      <c r="G504" s="111"/>
      <c r="H504" s="111">
        <f>SUM(H505)</f>
        <v>0</v>
      </c>
      <c r="I504" s="111">
        <f>SUM(H505)</f>
        <v>0</v>
      </c>
      <c r="J504" s="115"/>
      <c r="K504" s="109"/>
      <c r="L504" s="115"/>
      <c r="M504" s="111"/>
      <c r="N504" s="111">
        <f t="shared" si="113"/>
        <v>0</v>
      </c>
      <c r="O504" s="111">
        <f t="shared" si="113"/>
        <v>0</v>
      </c>
      <c r="P504" s="97">
        <f t="shared" si="108"/>
        <v>0</v>
      </c>
      <c r="Q504" s="97">
        <f t="shared" si="109"/>
        <v>0</v>
      </c>
    </row>
    <row r="505" spans="1:17" ht="36" hidden="1" customHeight="1" x14ac:dyDescent="0.2">
      <c r="A505" s="40"/>
      <c r="B505" s="135" t="s">
        <v>463</v>
      </c>
      <c r="C505" s="113">
        <v>993</v>
      </c>
      <c r="D505" s="133" t="s">
        <v>483</v>
      </c>
      <c r="E505" s="136" t="s">
        <v>464</v>
      </c>
      <c r="F505" s="134"/>
      <c r="G505" s="111"/>
      <c r="H505" s="111">
        <f>SUM(H506)</f>
        <v>0</v>
      </c>
      <c r="I505" s="111">
        <f>SUM(H506)</f>
        <v>0</v>
      </c>
      <c r="J505" s="115"/>
      <c r="K505" s="109"/>
      <c r="L505" s="115"/>
      <c r="M505" s="111"/>
      <c r="N505" s="111">
        <f t="shared" si="113"/>
        <v>0</v>
      </c>
      <c r="O505" s="111">
        <f t="shared" si="113"/>
        <v>0</v>
      </c>
      <c r="P505" s="97">
        <f t="shared" si="108"/>
        <v>0</v>
      </c>
      <c r="Q505" s="97">
        <f t="shared" si="109"/>
        <v>0</v>
      </c>
    </row>
    <row r="506" spans="1:17" ht="36" hidden="1" customHeight="1" x14ac:dyDescent="0.2">
      <c r="A506" s="40"/>
      <c r="B506" s="113" t="s">
        <v>40</v>
      </c>
      <c r="C506" s="113">
        <v>993</v>
      </c>
      <c r="D506" s="133" t="s">
        <v>483</v>
      </c>
      <c r="E506" s="136" t="s">
        <v>464</v>
      </c>
      <c r="F506" s="134">
        <v>200</v>
      </c>
      <c r="G506" s="111"/>
      <c r="H506" s="109"/>
      <c r="I506" s="151">
        <f>SUM(H506)</f>
        <v>0</v>
      </c>
      <c r="J506" s="115"/>
      <c r="K506" s="109"/>
      <c r="L506" s="115"/>
      <c r="M506" s="111"/>
      <c r="N506" s="111">
        <f t="shared" si="113"/>
        <v>0</v>
      </c>
      <c r="O506" s="111">
        <f t="shared" si="113"/>
        <v>0</v>
      </c>
      <c r="P506" s="97">
        <f t="shared" si="108"/>
        <v>0</v>
      </c>
      <c r="Q506" s="97">
        <f t="shared" si="109"/>
        <v>0</v>
      </c>
    </row>
    <row r="507" spans="1:17" ht="15.75" x14ac:dyDescent="0.2">
      <c r="A507" s="33" t="s">
        <v>509</v>
      </c>
      <c r="B507" s="110" t="s">
        <v>510</v>
      </c>
      <c r="C507" s="110" t="s">
        <v>477</v>
      </c>
      <c r="D507" s="131" t="s">
        <v>511</v>
      </c>
      <c r="E507" s="131" t="s">
        <v>11</v>
      </c>
      <c r="F507" s="132" t="s">
        <v>11</v>
      </c>
      <c r="G507" s="109">
        <f t="shared" ref="G507:O511" si="114">G508</f>
        <v>11335.7</v>
      </c>
      <c r="H507" s="109">
        <f t="shared" si="114"/>
        <v>0</v>
      </c>
      <c r="I507" s="109">
        <f t="shared" si="114"/>
        <v>11335.7</v>
      </c>
      <c r="J507" s="112">
        <f t="shared" si="114"/>
        <v>747.5</v>
      </c>
      <c r="K507" s="111">
        <f>K508</f>
        <v>0</v>
      </c>
      <c r="L507" s="112">
        <f t="shared" si="114"/>
        <v>747.5</v>
      </c>
      <c r="M507" s="109">
        <f>M508</f>
        <v>12083.2</v>
      </c>
      <c r="N507" s="109">
        <f t="shared" si="114"/>
        <v>0</v>
      </c>
      <c r="O507" s="109">
        <f t="shared" si="114"/>
        <v>12083.2</v>
      </c>
      <c r="P507" s="97">
        <f t="shared" si="108"/>
        <v>11335.7</v>
      </c>
      <c r="Q507" s="97">
        <f t="shared" si="109"/>
        <v>0</v>
      </c>
    </row>
    <row r="508" spans="1:17" ht="31.5" x14ac:dyDescent="0.2">
      <c r="A508" s="40"/>
      <c r="B508" s="113" t="s">
        <v>484</v>
      </c>
      <c r="C508" s="113" t="s">
        <v>477</v>
      </c>
      <c r="D508" s="133" t="s">
        <v>511</v>
      </c>
      <c r="E508" s="133" t="s">
        <v>485</v>
      </c>
      <c r="F508" s="134" t="s">
        <v>11</v>
      </c>
      <c r="G508" s="111">
        <f t="shared" si="114"/>
        <v>11335.7</v>
      </c>
      <c r="H508" s="111">
        <f t="shared" si="114"/>
        <v>0</v>
      </c>
      <c r="I508" s="111">
        <f t="shared" si="114"/>
        <v>11335.7</v>
      </c>
      <c r="J508" s="114">
        <f t="shared" si="114"/>
        <v>747.5</v>
      </c>
      <c r="K508" s="111">
        <f>K509</f>
        <v>0</v>
      </c>
      <c r="L508" s="114">
        <f t="shared" si="114"/>
        <v>747.5</v>
      </c>
      <c r="M508" s="111">
        <f t="shared" si="114"/>
        <v>12083.2</v>
      </c>
      <c r="N508" s="111">
        <f t="shared" si="114"/>
        <v>0</v>
      </c>
      <c r="O508" s="111">
        <f t="shared" si="114"/>
        <v>12083.2</v>
      </c>
      <c r="P508" s="97">
        <f t="shared" si="108"/>
        <v>11335.7</v>
      </c>
      <c r="Q508" s="97">
        <f t="shared" si="109"/>
        <v>0</v>
      </c>
    </row>
    <row r="509" spans="1:17" ht="47.25" x14ac:dyDescent="0.2">
      <c r="A509" s="40"/>
      <c r="B509" s="113" t="s">
        <v>495</v>
      </c>
      <c r="C509" s="113" t="s">
        <v>477</v>
      </c>
      <c r="D509" s="133" t="s">
        <v>511</v>
      </c>
      <c r="E509" s="133" t="s">
        <v>496</v>
      </c>
      <c r="F509" s="134" t="s">
        <v>11</v>
      </c>
      <c r="G509" s="111">
        <f t="shared" si="114"/>
        <v>11335.7</v>
      </c>
      <c r="H509" s="111">
        <f t="shared" si="114"/>
        <v>0</v>
      </c>
      <c r="I509" s="111">
        <f t="shared" si="114"/>
        <v>11335.7</v>
      </c>
      <c r="J509" s="114">
        <f t="shared" si="114"/>
        <v>747.5</v>
      </c>
      <c r="K509" s="111">
        <f>K510</f>
        <v>0</v>
      </c>
      <c r="L509" s="114">
        <f t="shared" si="114"/>
        <v>747.5</v>
      </c>
      <c r="M509" s="111">
        <f t="shared" si="114"/>
        <v>12083.2</v>
      </c>
      <c r="N509" s="111">
        <f t="shared" si="114"/>
        <v>0</v>
      </c>
      <c r="O509" s="111">
        <f t="shared" si="114"/>
        <v>12083.2</v>
      </c>
      <c r="P509" s="97">
        <f t="shared" si="108"/>
        <v>11335.7</v>
      </c>
      <c r="Q509" s="97">
        <f t="shared" si="109"/>
        <v>0</v>
      </c>
    </row>
    <row r="510" spans="1:17" ht="47.25" x14ac:dyDescent="0.2">
      <c r="A510" s="40"/>
      <c r="B510" s="113" t="s">
        <v>497</v>
      </c>
      <c r="C510" s="113" t="s">
        <v>477</v>
      </c>
      <c r="D510" s="133" t="s">
        <v>511</v>
      </c>
      <c r="E510" s="133" t="s">
        <v>498</v>
      </c>
      <c r="F510" s="134" t="s">
        <v>11</v>
      </c>
      <c r="G510" s="111">
        <f>G511+G513</f>
        <v>11335.7</v>
      </c>
      <c r="H510" s="111">
        <f>SUM(H511)</f>
        <v>0</v>
      </c>
      <c r="I510" s="111">
        <f>I511+I513</f>
        <v>11335.7</v>
      </c>
      <c r="J510" s="114">
        <f t="shared" si="114"/>
        <v>747.5</v>
      </c>
      <c r="K510" s="111">
        <f>K511</f>
        <v>0</v>
      </c>
      <c r="L510" s="114">
        <f t="shared" si="114"/>
        <v>747.5</v>
      </c>
      <c r="M510" s="111">
        <f>M511+M513</f>
        <v>12083.2</v>
      </c>
      <c r="N510" s="111">
        <f>SUM(K510)</f>
        <v>0</v>
      </c>
      <c r="O510" s="111">
        <f>O511+O513</f>
        <v>12083.2</v>
      </c>
      <c r="P510" s="97">
        <f t="shared" si="108"/>
        <v>11335.7</v>
      </c>
      <c r="Q510" s="97">
        <f t="shared" si="109"/>
        <v>0</v>
      </c>
    </row>
    <row r="511" spans="1:17" ht="31.5" x14ac:dyDescent="0.2">
      <c r="A511" s="40"/>
      <c r="B511" s="113" t="s">
        <v>134</v>
      </c>
      <c r="C511" s="113" t="s">
        <v>477</v>
      </c>
      <c r="D511" s="133" t="s">
        <v>511</v>
      </c>
      <c r="E511" s="133" t="s">
        <v>499</v>
      </c>
      <c r="F511" s="134" t="s">
        <v>11</v>
      </c>
      <c r="G511" s="111">
        <f>G512</f>
        <v>10735.7</v>
      </c>
      <c r="H511" s="109"/>
      <c r="I511" s="111">
        <f>I512</f>
        <v>10735.7</v>
      </c>
      <c r="J511" s="114">
        <f t="shared" si="114"/>
        <v>747.5</v>
      </c>
      <c r="K511" s="109">
        <f>K512</f>
        <v>0</v>
      </c>
      <c r="L511" s="114">
        <f t="shared" si="114"/>
        <v>747.5</v>
      </c>
      <c r="M511" s="111">
        <f t="shared" si="114"/>
        <v>11483.2</v>
      </c>
      <c r="N511" s="111">
        <f t="shared" si="114"/>
        <v>0</v>
      </c>
      <c r="O511" s="111">
        <f t="shared" si="114"/>
        <v>11483.2</v>
      </c>
      <c r="P511" s="97">
        <f t="shared" si="108"/>
        <v>10735.7</v>
      </c>
      <c r="Q511" s="97">
        <f t="shared" si="109"/>
        <v>0</v>
      </c>
    </row>
    <row r="512" spans="1:17" ht="36.6" customHeight="1" x14ac:dyDescent="0.2">
      <c r="A512" s="40"/>
      <c r="B512" s="113" t="s">
        <v>95</v>
      </c>
      <c r="C512" s="113" t="s">
        <v>477</v>
      </c>
      <c r="D512" s="133" t="s">
        <v>511</v>
      </c>
      <c r="E512" s="133" t="s">
        <v>499</v>
      </c>
      <c r="F512" s="134" t="s">
        <v>96</v>
      </c>
      <c r="G512" s="111">
        <f>10735700/1000</f>
        <v>10735.7</v>
      </c>
      <c r="H512" s="109"/>
      <c r="I512" s="111">
        <f>10735700/1000+H512</f>
        <v>10735.7</v>
      </c>
      <c r="J512" s="115">
        <v>747.5</v>
      </c>
      <c r="K512" s="111"/>
      <c r="L512" s="115">
        <f>J512+K512</f>
        <v>747.5</v>
      </c>
      <c r="M512" s="111">
        <f>G512+J512</f>
        <v>11483.2</v>
      </c>
      <c r="N512" s="111">
        <f>SUM(K512)</f>
        <v>0</v>
      </c>
      <c r="O512" s="111">
        <f>I512+L512</f>
        <v>11483.2</v>
      </c>
      <c r="P512" s="97">
        <f t="shared" si="108"/>
        <v>10735.7</v>
      </c>
      <c r="Q512" s="97">
        <f t="shared" si="109"/>
        <v>0</v>
      </c>
    </row>
    <row r="513" spans="1:17" ht="36.6" customHeight="1" x14ac:dyDescent="0.2">
      <c r="A513" s="40"/>
      <c r="B513" s="113" t="s">
        <v>283</v>
      </c>
      <c r="C513" s="113">
        <v>993</v>
      </c>
      <c r="D513" s="133" t="s">
        <v>511</v>
      </c>
      <c r="E513" s="133" t="s">
        <v>502</v>
      </c>
      <c r="F513" s="134"/>
      <c r="G513" s="111">
        <f>SUM(G514)</f>
        <v>600</v>
      </c>
      <c r="H513" s="109"/>
      <c r="I513" s="111">
        <f>SUM(G513)</f>
        <v>600</v>
      </c>
      <c r="J513" s="115"/>
      <c r="K513" s="109"/>
      <c r="L513" s="115"/>
      <c r="M513" s="111">
        <f t="shared" ref="M513:O514" si="115">SUM(G513)</f>
        <v>600</v>
      </c>
      <c r="N513" s="111">
        <f t="shared" si="115"/>
        <v>0</v>
      </c>
      <c r="O513" s="111">
        <f t="shared" si="115"/>
        <v>600</v>
      </c>
      <c r="P513" s="97">
        <f t="shared" si="108"/>
        <v>600</v>
      </c>
      <c r="Q513" s="97">
        <f t="shared" si="109"/>
        <v>0</v>
      </c>
    </row>
    <row r="514" spans="1:17" ht="36.6" customHeight="1" x14ac:dyDescent="0.2">
      <c r="A514" s="40"/>
      <c r="B514" s="113" t="s">
        <v>95</v>
      </c>
      <c r="C514" s="113">
        <v>993</v>
      </c>
      <c r="D514" s="133" t="s">
        <v>511</v>
      </c>
      <c r="E514" s="133" t="s">
        <v>502</v>
      </c>
      <c r="F514" s="134">
        <v>600</v>
      </c>
      <c r="G514" s="111">
        <v>600</v>
      </c>
      <c r="H514" s="109"/>
      <c r="I514" s="111">
        <f>SUM(G514)</f>
        <v>600</v>
      </c>
      <c r="J514" s="115"/>
      <c r="K514" s="109"/>
      <c r="L514" s="115"/>
      <c r="M514" s="111">
        <f t="shared" si="115"/>
        <v>600</v>
      </c>
      <c r="N514" s="111">
        <f t="shared" si="115"/>
        <v>0</v>
      </c>
      <c r="O514" s="111">
        <f t="shared" si="115"/>
        <v>600</v>
      </c>
      <c r="P514" s="97">
        <f t="shared" si="108"/>
        <v>600</v>
      </c>
      <c r="Q514" s="97">
        <f t="shared" si="109"/>
        <v>0</v>
      </c>
    </row>
    <row r="515" spans="1:17" ht="31.5" x14ac:dyDescent="0.2">
      <c r="A515" s="33" t="s">
        <v>512</v>
      </c>
      <c r="B515" s="110" t="s">
        <v>513</v>
      </c>
      <c r="C515" s="110" t="s">
        <v>477</v>
      </c>
      <c r="D515" s="131" t="s">
        <v>514</v>
      </c>
      <c r="E515" s="131" t="s">
        <v>11</v>
      </c>
      <c r="F515" s="132" t="s">
        <v>11</v>
      </c>
      <c r="G515" s="109">
        <f>G516</f>
        <v>18083.3</v>
      </c>
      <c r="H515" s="109">
        <f>H516+H527</f>
        <v>1069.4000000000001</v>
      </c>
      <c r="I515" s="109">
        <f>I516</f>
        <v>19152.7</v>
      </c>
      <c r="J515" s="112">
        <f>J516</f>
        <v>537.79999999999995</v>
      </c>
      <c r="K515" s="111">
        <f>K516+K527</f>
        <v>0</v>
      </c>
      <c r="L515" s="112">
        <f>L516</f>
        <v>537.79999999999995</v>
      </c>
      <c r="M515" s="109">
        <f>M516</f>
        <v>18621.099999999999</v>
      </c>
      <c r="N515" s="109">
        <f>N516</f>
        <v>1069.4000000000001</v>
      </c>
      <c r="O515" s="169">
        <f>O516</f>
        <v>19690.5</v>
      </c>
      <c r="P515" s="97">
        <f t="shared" si="108"/>
        <v>19152.7</v>
      </c>
      <c r="Q515" s="97">
        <f t="shared" si="109"/>
        <v>0</v>
      </c>
    </row>
    <row r="516" spans="1:17" ht="31.5" x14ac:dyDescent="0.2">
      <c r="A516" s="40"/>
      <c r="B516" s="113" t="s">
        <v>484</v>
      </c>
      <c r="C516" s="113" t="s">
        <v>477</v>
      </c>
      <c r="D516" s="133" t="s">
        <v>514</v>
      </c>
      <c r="E516" s="133" t="s">
        <v>485</v>
      </c>
      <c r="F516" s="134" t="s">
        <v>11</v>
      </c>
      <c r="G516" s="111">
        <f>G517+G528</f>
        <v>18083.3</v>
      </c>
      <c r="H516" s="111">
        <f>H517+H528</f>
        <v>1069.4000000000001</v>
      </c>
      <c r="I516" s="111">
        <f>I517+I528</f>
        <v>19152.7</v>
      </c>
      <c r="J516" s="114">
        <f>J517+J528</f>
        <v>537.79999999999995</v>
      </c>
      <c r="K516" s="111">
        <f>K517+K521</f>
        <v>0</v>
      </c>
      <c r="L516" s="114">
        <f>L517+L528</f>
        <v>537.79999999999995</v>
      </c>
      <c r="M516" s="111">
        <f>M517+M528</f>
        <v>18621.099999999999</v>
      </c>
      <c r="N516" s="111">
        <f>N517+N528</f>
        <v>1069.4000000000001</v>
      </c>
      <c r="O516" s="111">
        <f>O517+O528</f>
        <v>19690.5</v>
      </c>
      <c r="P516" s="97">
        <f t="shared" si="108"/>
        <v>19152.7</v>
      </c>
      <c r="Q516" s="97">
        <f t="shared" si="109"/>
        <v>0</v>
      </c>
    </row>
    <row r="517" spans="1:17" ht="47.25" x14ac:dyDescent="0.2">
      <c r="A517" s="40"/>
      <c r="B517" s="113" t="s">
        <v>495</v>
      </c>
      <c r="C517" s="113" t="s">
        <v>477</v>
      </c>
      <c r="D517" s="133" t="s">
        <v>514</v>
      </c>
      <c r="E517" s="133" t="s">
        <v>496</v>
      </c>
      <c r="F517" s="134" t="s">
        <v>11</v>
      </c>
      <c r="G517" s="111">
        <f>G518+G523</f>
        <v>15992.7</v>
      </c>
      <c r="H517" s="111">
        <f>H518+H523</f>
        <v>22</v>
      </c>
      <c r="I517" s="111">
        <f>I518+I523</f>
        <v>16014.7</v>
      </c>
      <c r="J517" s="114">
        <f>J518+J523</f>
        <v>537.79999999999995</v>
      </c>
      <c r="K517" s="111">
        <f>K518</f>
        <v>0</v>
      </c>
      <c r="L517" s="114">
        <f>L518+L523</f>
        <v>537.79999999999995</v>
      </c>
      <c r="M517" s="111">
        <f>M518+M523</f>
        <v>16530.5</v>
      </c>
      <c r="N517" s="111">
        <f>N518+N523</f>
        <v>22</v>
      </c>
      <c r="O517" s="111">
        <f>O518+O523</f>
        <v>16552.5</v>
      </c>
      <c r="P517" s="97">
        <f t="shared" si="108"/>
        <v>16014.7</v>
      </c>
      <c r="Q517" s="97">
        <f t="shared" si="109"/>
        <v>0</v>
      </c>
    </row>
    <row r="518" spans="1:17" ht="47.25" x14ac:dyDescent="0.2">
      <c r="A518" s="40"/>
      <c r="B518" s="113" t="s">
        <v>497</v>
      </c>
      <c r="C518" s="113" t="s">
        <v>477</v>
      </c>
      <c r="D518" s="133" t="s">
        <v>514</v>
      </c>
      <c r="E518" s="133" t="s">
        <v>498</v>
      </c>
      <c r="F518" s="134" t="s">
        <v>11</v>
      </c>
      <c r="G518" s="111">
        <f>G519</f>
        <v>4730.5999999999995</v>
      </c>
      <c r="H518" s="111">
        <f>H519</f>
        <v>22</v>
      </c>
      <c r="I518" s="111">
        <f>I519</f>
        <v>4752.5999999999995</v>
      </c>
      <c r="J518" s="114">
        <f>J519</f>
        <v>537.79999999999995</v>
      </c>
      <c r="K518" s="111">
        <f>K519</f>
        <v>0</v>
      </c>
      <c r="L518" s="114">
        <f>L519</f>
        <v>537.79999999999995</v>
      </c>
      <c r="M518" s="111">
        <f>M519</f>
        <v>5268.4</v>
      </c>
      <c r="N518" s="111">
        <f>N519</f>
        <v>22</v>
      </c>
      <c r="O518" s="111">
        <f>O519</f>
        <v>5290.4</v>
      </c>
      <c r="P518" s="97">
        <f t="shared" si="108"/>
        <v>4752.5999999999995</v>
      </c>
      <c r="Q518" s="97">
        <f t="shared" si="109"/>
        <v>0</v>
      </c>
    </row>
    <row r="519" spans="1:17" ht="31.5" x14ac:dyDescent="0.2">
      <c r="A519" s="40"/>
      <c r="B519" s="113" t="s">
        <v>134</v>
      </c>
      <c r="C519" s="113" t="s">
        <v>477</v>
      </c>
      <c r="D519" s="133" t="s">
        <v>514</v>
      </c>
      <c r="E519" s="133" t="s">
        <v>499</v>
      </c>
      <c r="F519" s="134" t="s">
        <v>11</v>
      </c>
      <c r="G519" s="111">
        <f>G520+G521+G522</f>
        <v>4730.5999999999995</v>
      </c>
      <c r="H519" s="111">
        <f>H520+H521</f>
        <v>22</v>
      </c>
      <c r="I519" s="111">
        <f>SUM(I520:I522)</f>
        <v>4752.5999999999995</v>
      </c>
      <c r="J519" s="114">
        <f>J520+J521</f>
        <v>537.79999999999995</v>
      </c>
      <c r="K519" s="111">
        <f>K520</f>
        <v>0</v>
      </c>
      <c r="L519" s="114">
        <f>L520+L521</f>
        <v>537.79999999999995</v>
      </c>
      <c r="M519" s="111">
        <f>M520+M521+M522</f>
        <v>5268.4</v>
      </c>
      <c r="N519" s="111">
        <f>N520+N521+N522</f>
        <v>22</v>
      </c>
      <c r="O519" s="111">
        <f>O520+O521+O522</f>
        <v>5290.4</v>
      </c>
      <c r="P519" s="97">
        <f t="shared" si="108"/>
        <v>4752.5999999999995</v>
      </c>
      <c r="Q519" s="97">
        <f t="shared" si="109"/>
        <v>0</v>
      </c>
    </row>
    <row r="520" spans="1:17" ht="78.75" x14ac:dyDescent="0.2">
      <c r="A520" s="40"/>
      <c r="B520" s="113" t="s">
        <v>61</v>
      </c>
      <c r="C520" s="113" t="s">
        <v>477</v>
      </c>
      <c r="D520" s="133" t="s">
        <v>514</v>
      </c>
      <c r="E520" s="133" t="s">
        <v>499</v>
      </c>
      <c r="F520" s="134" t="s">
        <v>62</v>
      </c>
      <c r="G520" s="111">
        <v>4131.2</v>
      </c>
      <c r="H520" s="111">
        <f>-6-15</f>
        <v>-21</v>
      </c>
      <c r="I520" s="111">
        <f>G520+H520</f>
        <v>4110.2</v>
      </c>
      <c r="J520" s="115">
        <v>537.79999999999995</v>
      </c>
      <c r="K520" s="111"/>
      <c r="L520" s="115">
        <f>J520+K520</f>
        <v>537.79999999999995</v>
      </c>
      <c r="M520" s="111">
        <f>G520+J520</f>
        <v>4669</v>
      </c>
      <c r="N520" s="111">
        <f>H520+K520</f>
        <v>-21</v>
      </c>
      <c r="O520" s="111">
        <f>I520+L520</f>
        <v>4648</v>
      </c>
      <c r="P520" s="97">
        <f t="shared" si="108"/>
        <v>4110.2</v>
      </c>
      <c r="Q520" s="97">
        <f t="shared" si="109"/>
        <v>0</v>
      </c>
    </row>
    <row r="521" spans="1:17" ht="31.5" x14ac:dyDescent="0.2">
      <c r="A521" s="40"/>
      <c r="B521" s="113" t="s">
        <v>40</v>
      </c>
      <c r="C521" s="113" t="s">
        <v>477</v>
      </c>
      <c r="D521" s="133" t="s">
        <v>514</v>
      </c>
      <c r="E521" s="133" t="s">
        <v>499</v>
      </c>
      <c r="F521" s="134" t="s">
        <v>41</v>
      </c>
      <c r="G521" s="111">
        <v>598.4</v>
      </c>
      <c r="H521" s="111">
        <f>-15+21+22+15</f>
        <v>43</v>
      </c>
      <c r="I521" s="111">
        <f>SUM(G521+H521)</f>
        <v>641.4</v>
      </c>
      <c r="J521" s="115"/>
      <c r="K521" s="111"/>
      <c r="L521" s="115"/>
      <c r="M521" s="111">
        <f>SUM(G521)</f>
        <v>598.4</v>
      </c>
      <c r="N521" s="111">
        <f>SUM(H521)</f>
        <v>43</v>
      </c>
      <c r="O521" s="111">
        <f>SUM(M521+N521)</f>
        <v>641.4</v>
      </c>
      <c r="P521" s="97">
        <f t="shared" si="108"/>
        <v>641.4</v>
      </c>
      <c r="Q521" s="97">
        <f t="shared" si="109"/>
        <v>0</v>
      </c>
    </row>
    <row r="522" spans="1:17" ht="15.75" x14ac:dyDescent="0.2">
      <c r="A522" s="40"/>
      <c r="B522" s="113" t="s">
        <v>70</v>
      </c>
      <c r="C522" s="113">
        <v>993</v>
      </c>
      <c r="D522" s="133" t="s">
        <v>514</v>
      </c>
      <c r="E522" s="133" t="s">
        <v>499</v>
      </c>
      <c r="F522" s="134">
        <v>800</v>
      </c>
      <c r="G522" s="111">
        <v>1</v>
      </c>
      <c r="H522" s="111"/>
      <c r="I522" s="111">
        <v>1</v>
      </c>
      <c r="J522" s="115"/>
      <c r="K522" s="111"/>
      <c r="L522" s="115"/>
      <c r="M522" s="111">
        <f>SUM(G522)</f>
        <v>1</v>
      </c>
      <c r="N522" s="111">
        <f>SUM(H522)</f>
        <v>0</v>
      </c>
      <c r="O522" s="111">
        <f>SUM(I522)</f>
        <v>1</v>
      </c>
      <c r="P522" s="97">
        <f t="shared" si="108"/>
        <v>1</v>
      </c>
      <c r="Q522" s="97">
        <f t="shared" si="109"/>
        <v>0</v>
      </c>
    </row>
    <row r="523" spans="1:17" ht="47.25" x14ac:dyDescent="0.2">
      <c r="A523" s="40"/>
      <c r="B523" s="113" t="s">
        <v>515</v>
      </c>
      <c r="C523" s="113" t="s">
        <v>477</v>
      </c>
      <c r="D523" s="133" t="s">
        <v>514</v>
      </c>
      <c r="E523" s="133" t="s">
        <v>516</v>
      </c>
      <c r="F523" s="134" t="s">
        <v>11</v>
      </c>
      <c r="G523" s="111">
        <f>G524</f>
        <v>11262.1</v>
      </c>
      <c r="H523" s="111">
        <f>H524</f>
        <v>0</v>
      </c>
      <c r="I523" s="111">
        <f>I524</f>
        <v>11262.1</v>
      </c>
      <c r="J523" s="114">
        <f>J524</f>
        <v>0</v>
      </c>
      <c r="K523" s="111">
        <f>K524+K525+K526</f>
        <v>0</v>
      </c>
      <c r="L523" s="114">
        <f>L524</f>
        <v>0</v>
      </c>
      <c r="M523" s="111">
        <f>M524</f>
        <v>11262.1</v>
      </c>
      <c r="N523" s="111">
        <f>N524</f>
        <v>0</v>
      </c>
      <c r="O523" s="111">
        <f>O524</f>
        <v>11262.1</v>
      </c>
      <c r="P523" s="97">
        <f t="shared" si="108"/>
        <v>11262.1</v>
      </c>
      <c r="Q523" s="97">
        <f t="shared" si="109"/>
        <v>0</v>
      </c>
    </row>
    <row r="524" spans="1:17" ht="31.5" x14ac:dyDescent="0.2">
      <c r="A524" s="40"/>
      <c r="B524" s="113" t="s">
        <v>134</v>
      </c>
      <c r="C524" s="113" t="s">
        <v>477</v>
      </c>
      <c r="D524" s="133" t="s">
        <v>514</v>
      </c>
      <c r="E524" s="133" t="s">
        <v>517</v>
      </c>
      <c r="F524" s="134" t="s">
        <v>11</v>
      </c>
      <c r="G524" s="111">
        <f>G525+G526+G527</f>
        <v>11262.1</v>
      </c>
      <c r="H524" s="111">
        <f>SUM(H525+H526)</f>
        <v>0</v>
      </c>
      <c r="I524" s="111">
        <f>I525+I526+I527</f>
        <v>11262.1</v>
      </c>
      <c r="J524" s="114">
        <f>J525+J526+J527</f>
        <v>0</v>
      </c>
      <c r="K524" s="111"/>
      <c r="L524" s="114">
        <f>L525+L526+L527</f>
        <v>0</v>
      </c>
      <c r="M524" s="111">
        <f>M525+M526+M527</f>
        <v>11262.1</v>
      </c>
      <c r="N524" s="111">
        <f>N525+N526+N527</f>
        <v>0</v>
      </c>
      <c r="O524" s="111">
        <f>O525+O526+O527</f>
        <v>11262.1</v>
      </c>
      <c r="P524" s="97">
        <f t="shared" si="108"/>
        <v>11262.1</v>
      </c>
      <c r="Q524" s="97">
        <f t="shared" si="109"/>
        <v>0</v>
      </c>
    </row>
    <row r="525" spans="1:17" ht="78.75" x14ac:dyDescent="0.2">
      <c r="A525" s="40"/>
      <c r="B525" s="113" t="s">
        <v>61</v>
      </c>
      <c r="C525" s="113" t="s">
        <v>477</v>
      </c>
      <c r="D525" s="133" t="s">
        <v>514</v>
      </c>
      <c r="E525" s="133" t="s">
        <v>517</v>
      </c>
      <c r="F525" s="134" t="s">
        <v>62</v>
      </c>
      <c r="G525" s="111">
        <v>9834.1</v>
      </c>
      <c r="H525" s="111"/>
      <c r="I525" s="111">
        <f>SUM(G525)+H525</f>
        <v>9834.1</v>
      </c>
      <c r="J525" s="115">
        <v>0</v>
      </c>
      <c r="K525" s="111"/>
      <c r="L525" s="115">
        <v>0</v>
      </c>
      <c r="M525" s="111">
        <f t="shared" ref="M525:O526" si="116">SUM(G525)</f>
        <v>9834.1</v>
      </c>
      <c r="N525" s="111">
        <f t="shared" si="116"/>
        <v>0</v>
      </c>
      <c r="O525" s="111">
        <f t="shared" si="116"/>
        <v>9834.1</v>
      </c>
      <c r="P525" s="97">
        <f t="shared" si="108"/>
        <v>9834.1</v>
      </c>
      <c r="Q525" s="97">
        <f t="shared" si="109"/>
        <v>0</v>
      </c>
    </row>
    <row r="526" spans="1:17" ht="31.5" x14ac:dyDescent="0.2">
      <c r="A526" s="40"/>
      <c r="B526" s="113" t="s">
        <v>40</v>
      </c>
      <c r="C526" s="113" t="s">
        <v>477</v>
      </c>
      <c r="D526" s="133" t="s">
        <v>514</v>
      </c>
      <c r="E526" s="133" t="s">
        <v>517</v>
      </c>
      <c r="F526" s="134" t="s">
        <v>41</v>
      </c>
      <c r="G526" s="111">
        <v>1426.9</v>
      </c>
      <c r="H526" s="111"/>
      <c r="I526" s="111">
        <f>SUM(G526)</f>
        <v>1426.9</v>
      </c>
      <c r="J526" s="115">
        <v>0</v>
      </c>
      <c r="K526" s="111"/>
      <c r="L526" s="115">
        <v>0</v>
      </c>
      <c r="M526" s="111">
        <f t="shared" si="116"/>
        <v>1426.9</v>
      </c>
      <c r="N526" s="111">
        <f t="shared" si="116"/>
        <v>0</v>
      </c>
      <c r="O526" s="111">
        <f t="shared" si="116"/>
        <v>1426.9</v>
      </c>
      <c r="P526" s="97">
        <f t="shared" si="108"/>
        <v>1426.9</v>
      </c>
      <c r="Q526" s="97">
        <f t="shared" si="109"/>
        <v>0</v>
      </c>
    </row>
    <row r="527" spans="1:17" ht="15.75" x14ac:dyDescent="0.2">
      <c r="A527" s="40"/>
      <c r="B527" s="113" t="s">
        <v>70</v>
      </c>
      <c r="C527" s="113" t="s">
        <v>477</v>
      </c>
      <c r="D527" s="133" t="s">
        <v>514</v>
      </c>
      <c r="E527" s="133" t="s">
        <v>517</v>
      </c>
      <c r="F527" s="134" t="s">
        <v>71</v>
      </c>
      <c r="G527" s="111">
        <f>1100/1000</f>
        <v>1.1000000000000001</v>
      </c>
      <c r="H527" s="111"/>
      <c r="I527" s="111">
        <f>1100/1000</f>
        <v>1.1000000000000001</v>
      </c>
      <c r="J527" s="115">
        <v>0</v>
      </c>
      <c r="K527" s="111"/>
      <c r="L527" s="115">
        <v>0</v>
      </c>
      <c r="M527" s="111">
        <f>1100/1000</f>
        <v>1.1000000000000001</v>
      </c>
      <c r="N527" s="111"/>
      <c r="O527" s="111">
        <f>1100/1000</f>
        <v>1.1000000000000001</v>
      </c>
      <c r="P527" s="97">
        <f t="shared" si="108"/>
        <v>1.1000000000000001</v>
      </c>
      <c r="Q527" s="97">
        <f t="shared" si="109"/>
        <v>0</v>
      </c>
    </row>
    <row r="528" spans="1:17" ht="31.5" x14ac:dyDescent="0.2">
      <c r="A528" s="40"/>
      <c r="B528" s="113" t="s">
        <v>518</v>
      </c>
      <c r="C528" s="113" t="s">
        <v>477</v>
      </c>
      <c r="D528" s="133" t="s">
        <v>514</v>
      </c>
      <c r="E528" s="133" t="s">
        <v>519</v>
      </c>
      <c r="F528" s="134" t="s">
        <v>11</v>
      </c>
      <c r="G528" s="111">
        <f t="shared" ref="G528:O529" si="117">G529</f>
        <v>2090.6</v>
      </c>
      <c r="H528" s="111">
        <f t="shared" si="117"/>
        <v>1047.4000000000001</v>
      </c>
      <c r="I528" s="111">
        <f t="shared" si="117"/>
        <v>3138</v>
      </c>
      <c r="J528" s="114">
        <f t="shared" si="117"/>
        <v>0</v>
      </c>
      <c r="K528" s="111">
        <f t="shared" si="117"/>
        <v>0</v>
      </c>
      <c r="L528" s="114">
        <f t="shared" si="117"/>
        <v>0</v>
      </c>
      <c r="M528" s="111">
        <f t="shared" si="117"/>
        <v>2090.6</v>
      </c>
      <c r="N528" s="111">
        <f t="shared" si="117"/>
        <v>1047.4000000000001</v>
      </c>
      <c r="O528" s="111">
        <f t="shared" si="117"/>
        <v>3138</v>
      </c>
      <c r="P528" s="97">
        <f t="shared" si="108"/>
        <v>3138</v>
      </c>
      <c r="Q528" s="97">
        <f t="shared" si="109"/>
        <v>0</v>
      </c>
    </row>
    <row r="529" spans="1:17" ht="31.5" x14ac:dyDescent="0.2">
      <c r="A529" s="40"/>
      <c r="B529" s="113" t="s">
        <v>520</v>
      </c>
      <c r="C529" s="113" t="s">
        <v>477</v>
      </c>
      <c r="D529" s="133" t="s">
        <v>514</v>
      </c>
      <c r="E529" s="133" t="s">
        <v>521</v>
      </c>
      <c r="F529" s="134" t="s">
        <v>11</v>
      </c>
      <c r="G529" s="111">
        <f t="shared" si="117"/>
        <v>2090.6</v>
      </c>
      <c r="H529" s="111">
        <f>H530+H532+H536</f>
        <v>1047.4000000000001</v>
      </c>
      <c r="I529" s="111">
        <f>I530+I532+I536</f>
        <v>3138</v>
      </c>
      <c r="J529" s="114">
        <f t="shared" si="117"/>
        <v>0</v>
      </c>
      <c r="K529" s="111">
        <f>K530+K531</f>
        <v>0</v>
      </c>
      <c r="L529" s="114">
        <f t="shared" si="117"/>
        <v>0</v>
      </c>
      <c r="M529" s="111">
        <f t="shared" si="117"/>
        <v>2090.6</v>
      </c>
      <c r="N529" s="111">
        <f>SUM(H529)</f>
        <v>1047.4000000000001</v>
      </c>
      <c r="O529" s="111">
        <f>O530+O532+N529</f>
        <v>3138</v>
      </c>
      <c r="P529" s="97">
        <f t="shared" si="108"/>
        <v>3138</v>
      </c>
      <c r="Q529" s="97">
        <f t="shared" si="109"/>
        <v>0</v>
      </c>
    </row>
    <row r="530" spans="1:17" ht="31.5" x14ac:dyDescent="0.2">
      <c r="A530" s="40"/>
      <c r="B530" s="113" t="s">
        <v>38</v>
      </c>
      <c r="C530" s="113" t="s">
        <v>477</v>
      </c>
      <c r="D530" s="133" t="s">
        <v>514</v>
      </c>
      <c r="E530" s="133" t="s">
        <v>522</v>
      </c>
      <c r="F530" s="134" t="s">
        <v>11</v>
      </c>
      <c r="G530" s="111">
        <f>G531+G534+G535</f>
        <v>2090.6</v>
      </c>
      <c r="H530" s="111"/>
      <c r="I530" s="111">
        <f>I531+I534+I535</f>
        <v>2090.6</v>
      </c>
      <c r="J530" s="114">
        <f>J531+J534</f>
        <v>0</v>
      </c>
      <c r="K530" s="111"/>
      <c r="L530" s="114">
        <f>L531+L534</f>
        <v>0</v>
      </c>
      <c r="M530" s="111">
        <f>M531+M534+M535</f>
        <v>2090.6</v>
      </c>
      <c r="N530" s="111"/>
      <c r="O530" s="111">
        <f>O531+O534+O535</f>
        <v>2090.6</v>
      </c>
      <c r="P530" s="97">
        <f t="shared" si="108"/>
        <v>2090.6</v>
      </c>
      <c r="Q530" s="97">
        <f t="shared" si="109"/>
        <v>0</v>
      </c>
    </row>
    <row r="531" spans="1:17" ht="78.75" x14ac:dyDescent="0.2">
      <c r="A531" s="40"/>
      <c r="B531" s="113" t="s">
        <v>61</v>
      </c>
      <c r="C531" s="113" t="s">
        <v>477</v>
      </c>
      <c r="D531" s="133" t="s">
        <v>514</v>
      </c>
      <c r="E531" s="133" t="s">
        <v>522</v>
      </c>
      <c r="F531" s="134" t="s">
        <v>62</v>
      </c>
      <c r="G531" s="111">
        <v>2080.1</v>
      </c>
      <c r="H531" s="111"/>
      <c r="I531" s="111">
        <f>SUM(G531)+H531</f>
        <v>2080.1</v>
      </c>
      <c r="J531" s="115">
        <v>0</v>
      </c>
      <c r="K531" s="111"/>
      <c r="L531" s="115">
        <v>0</v>
      </c>
      <c r="M531" s="111">
        <f t="shared" ref="M531:O535" si="118">SUM(G531)</f>
        <v>2080.1</v>
      </c>
      <c r="N531" s="111">
        <f t="shared" si="118"/>
        <v>0</v>
      </c>
      <c r="O531" s="111">
        <f t="shared" si="118"/>
        <v>2080.1</v>
      </c>
      <c r="P531" s="97">
        <f t="shared" si="108"/>
        <v>2080.1</v>
      </c>
      <c r="Q531" s="97">
        <f t="shared" si="109"/>
        <v>0</v>
      </c>
    </row>
    <row r="532" spans="1:17" ht="94.5" x14ac:dyDescent="0.2">
      <c r="A532" s="40"/>
      <c r="B532" s="135" t="s">
        <v>607</v>
      </c>
      <c r="C532" s="113">
        <v>993</v>
      </c>
      <c r="D532" s="133" t="s">
        <v>514</v>
      </c>
      <c r="E532" s="136" t="s">
        <v>608</v>
      </c>
      <c r="F532" s="134"/>
      <c r="G532" s="111"/>
      <c r="H532" s="111">
        <f>SUM(H533)</f>
        <v>0</v>
      </c>
      <c r="I532" s="111">
        <f>SUM(H532)</f>
        <v>0</v>
      </c>
      <c r="J532" s="115"/>
      <c r="K532" s="111"/>
      <c r="L532" s="115"/>
      <c r="M532" s="111"/>
      <c r="N532" s="111">
        <f>SUM(H532)</f>
        <v>0</v>
      </c>
      <c r="O532" s="111">
        <f>SUM(I532)</f>
        <v>0</v>
      </c>
      <c r="P532" s="97"/>
      <c r="Q532" s="97"/>
    </row>
    <row r="533" spans="1:17" ht="78.75" x14ac:dyDescent="0.2">
      <c r="A533" s="40"/>
      <c r="B533" s="113" t="s">
        <v>61</v>
      </c>
      <c r="C533" s="113">
        <v>993</v>
      </c>
      <c r="D533" s="133" t="s">
        <v>514</v>
      </c>
      <c r="E533" s="136" t="s">
        <v>608</v>
      </c>
      <c r="F533" s="134">
        <v>100</v>
      </c>
      <c r="G533" s="111"/>
      <c r="H533" s="111"/>
      <c r="I533" s="111">
        <f>SUM(H533)</f>
        <v>0</v>
      </c>
      <c r="J533" s="115"/>
      <c r="K533" s="111"/>
      <c r="L533" s="115"/>
      <c r="M533" s="111"/>
      <c r="N533" s="111">
        <f>SUM(H533)</f>
        <v>0</v>
      </c>
      <c r="O533" s="111">
        <f>SUM(I533)</f>
        <v>0</v>
      </c>
      <c r="P533" s="97"/>
      <c r="Q533" s="97"/>
    </row>
    <row r="534" spans="1:17" ht="31.5" x14ac:dyDescent="0.2">
      <c r="A534" s="40"/>
      <c r="B534" s="113" t="s">
        <v>40</v>
      </c>
      <c r="C534" s="113" t="s">
        <v>477</v>
      </c>
      <c r="D534" s="133" t="s">
        <v>514</v>
      </c>
      <c r="E534" s="133" t="s">
        <v>522</v>
      </c>
      <c r="F534" s="134" t="s">
        <v>41</v>
      </c>
      <c r="G534" s="111">
        <v>9.5</v>
      </c>
      <c r="H534" s="106"/>
      <c r="I534" s="111">
        <f>SUM(G534)</f>
        <v>9.5</v>
      </c>
      <c r="J534" s="115">
        <v>0</v>
      </c>
      <c r="K534" s="106"/>
      <c r="L534" s="115">
        <v>0</v>
      </c>
      <c r="M534" s="111">
        <f t="shared" si="118"/>
        <v>9.5</v>
      </c>
      <c r="N534" s="111">
        <f t="shared" si="118"/>
        <v>0</v>
      </c>
      <c r="O534" s="111">
        <f t="shared" si="118"/>
        <v>9.5</v>
      </c>
      <c r="P534" s="97">
        <f t="shared" si="108"/>
        <v>9.5</v>
      </c>
      <c r="Q534" s="97">
        <f t="shared" si="109"/>
        <v>0</v>
      </c>
    </row>
    <row r="535" spans="1:17" ht="15.75" x14ac:dyDescent="0.2">
      <c r="A535" s="40"/>
      <c r="B535" s="113" t="s">
        <v>70</v>
      </c>
      <c r="C535" s="113" t="s">
        <v>477</v>
      </c>
      <c r="D535" s="133" t="s">
        <v>514</v>
      </c>
      <c r="E535" s="133" t="s">
        <v>522</v>
      </c>
      <c r="F535" s="134">
        <v>800</v>
      </c>
      <c r="G535" s="111">
        <v>1</v>
      </c>
      <c r="H535" s="106">
        <v>0</v>
      </c>
      <c r="I535" s="111">
        <f>SUM(H535)+G535</f>
        <v>1</v>
      </c>
      <c r="J535" s="115"/>
      <c r="K535" s="106"/>
      <c r="L535" s="115"/>
      <c r="M535" s="111">
        <f t="shared" si="118"/>
        <v>1</v>
      </c>
      <c r="N535" s="111">
        <f t="shared" si="118"/>
        <v>0</v>
      </c>
      <c r="O535" s="111">
        <f t="shared" si="118"/>
        <v>1</v>
      </c>
      <c r="P535" s="97">
        <f t="shared" si="108"/>
        <v>1</v>
      </c>
      <c r="Q535" s="97">
        <f t="shared" si="109"/>
        <v>0</v>
      </c>
    </row>
    <row r="536" spans="1:17" ht="94.5" x14ac:dyDescent="0.2">
      <c r="A536" s="40"/>
      <c r="B536" s="135" t="s">
        <v>607</v>
      </c>
      <c r="C536" s="113">
        <v>993</v>
      </c>
      <c r="D536" s="133" t="s">
        <v>514</v>
      </c>
      <c r="E536" s="136" t="s">
        <v>608</v>
      </c>
      <c r="F536" s="134"/>
      <c r="G536" s="111"/>
      <c r="H536" s="106">
        <f>SUM(H537)</f>
        <v>1047.4000000000001</v>
      </c>
      <c r="I536" s="111">
        <f>SUM(I537)</f>
        <v>1047.4000000000001</v>
      </c>
      <c r="J536" s="115"/>
      <c r="K536" s="106"/>
      <c r="L536" s="115"/>
      <c r="M536" s="111"/>
      <c r="N536" s="111">
        <f>SUM(H536)</f>
        <v>1047.4000000000001</v>
      </c>
      <c r="O536" s="111">
        <f>SUM(O537)</f>
        <v>1047.4000000000001</v>
      </c>
      <c r="P536" s="97"/>
      <c r="Q536" s="97"/>
    </row>
    <row r="537" spans="1:17" ht="78.75" x14ac:dyDescent="0.2">
      <c r="A537" s="40"/>
      <c r="B537" s="113" t="s">
        <v>61</v>
      </c>
      <c r="C537" s="113">
        <v>993</v>
      </c>
      <c r="D537" s="133" t="s">
        <v>514</v>
      </c>
      <c r="E537" s="136" t="s">
        <v>608</v>
      </c>
      <c r="F537" s="134">
        <v>100</v>
      </c>
      <c r="G537" s="111"/>
      <c r="H537" s="106">
        <v>1047.4000000000001</v>
      </c>
      <c r="I537" s="111">
        <f>SUM(H537)</f>
        <v>1047.4000000000001</v>
      </c>
      <c r="J537" s="115"/>
      <c r="K537" s="106"/>
      <c r="L537" s="115"/>
      <c r="M537" s="111"/>
      <c r="N537" s="111">
        <f>SUM(H537)</f>
        <v>1047.4000000000001</v>
      </c>
      <c r="O537" s="111">
        <f>SUM(I537)</f>
        <v>1047.4000000000001</v>
      </c>
      <c r="P537" s="97"/>
      <c r="Q537" s="97"/>
    </row>
    <row r="538" spans="1:17" ht="47.25" x14ac:dyDescent="0.2">
      <c r="A538" s="20" t="s">
        <v>523</v>
      </c>
      <c r="B538" s="107" t="s">
        <v>524</v>
      </c>
      <c r="C538" s="107" t="s">
        <v>525</v>
      </c>
      <c r="D538" s="129" t="s">
        <v>11</v>
      </c>
      <c r="E538" s="129" t="s">
        <v>11</v>
      </c>
      <c r="F538" s="130" t="s">
        <v>11</v>
      </c>
      <c r="G538" s="106">
        <f>G539+G556</f>
        <v>24798.1</v>
      </c>
      <c r="H538" s="106">
        <f>H539+H556</f>
        <v>550.9</v>
      </c>
      <c r="I538" s="106">
        <f>I539+I556</f>
        <v>25349</v>
      </c>
      <c r="J538" s="108">
        <f>J539+J556</f>
        <v>0</v>
      </c>
      <c r="K538" s="106">
        <f>K539</f>
        <v>0</v>
      </c>
      <c r="L538" s="108">
        <f>L539+L556</f>
        <v>0</v>
      </c>
      <c r="M538" s="106">
        <f>M539+M556</f>
        <v>24798.1</v>
      </c>
      <c r="N538" s="106">
        <f>N539+N556</f>
        <v>550.9</v>
      </c>
      <c r="O538" s="106">
        <f>O539+O556</f>
        <v>25349</v>
      </c>
      <c r="P538" s="97">
        <f t="shared" si="108"/>
        <v>25349</v>
      </c>
      <c r="Q538" s="97">
        <f t="shared" si="109"/>
        <v>0</v>
      </c>
    </row>
    <row r="539" spans="1:17" ht="15.75" x14ac:dyDescent="0.2">
      <c r="A539" s="20" t="s">
        <v>526</v>
      </c>
      <c r="B539" s="107" t="s">
        <v>30</v>
      </c>
      <c r="C539" s="107" t="s">
        <v>525</v>
      </c>
      <c r="D539" s="129" t="s">
        <v>31</v>
      </c>
      <c r="E539" s="129" t="s">
        <v>11</v>
      </c>
      <c r="F539" s="130" t="s">
        <v>11</v>
      </c>
      <c r="G539" s="106">
        <f t="shared" ref="G539:O541" si="119">G540</f>
        <v>13161.599999999999</v>
      </c>
      <c r="H539" s="109">
        <f t="shared" si="119"/>
        <v>550.9</v>
      </c>
      <c r="I539" s="106">
        <f t="shared" si="119"/>
        <v>13712.5</v>
      </c>
      <c r="J539" s="108">
        <f t="shared" si="119"/>
        <v>0</v>
      </c>
      <c r="K539" s="109">
        <f>K540</f>
        <v>0</v>
      </c>
      <c r="L539" s="108">
        <f t="shared" si="119"/>
        <v>0</v>
      </c>
      <c r="M539" s="106">
        <f t="shared" si="119"/>
        <v>13161.599999999999</v>
      </c>
      <c r="N539" s="106">
        <f t="shared" si="119"/>
        <v>550.9</v>
      </c>
      <c r="O539" s="106">
        <f t="shared" si="119"/>
        <v>13712.5</v>
      </c>
      <c r="P539" s="97">
        <f t="shared" si="108"/>
        <v>13712.499999999998</v>
      </c>
      <c r="Q539" s="97">
        <f t="shared" si="109"/>
        <v>0</v>
      </c>
    </row>
    <row r="540" spans="1:17" ht="15.75" x14ac:dyDescent="0.2">
      <c r="A540" s="33" t="s">
        <v>527</v>
      </c>
      <c r="B540" s="110" t="s">
        <v>85</v>
      </c>
      <c r="C540" s="110" t="s">
        <v>525</v>
      </c>
      <c r="D540" s="131" t="s">
        <v>86</v>
      </c>
      <c r="E540" s="131" t="s">
        <v>11</v>
      </c>
      <c r="F540" s="132" t="s">
        <v>11</v>
      </c>
      <c r="G540" s="109">
        <f t="shared" si="119"/>
        <v>13161.599999999999</v>
      </c>
      <c r="H540" s="111">
        <f t="shared" si="119"/>
        <v>550.9</v>
      </c>
      <c r="I540" s="109">
        <f t="shared" si="119"/>
        <v>13712.5</v>
      </c>
      <c r="J540" s="112">
        <f t="shared" si="119"/>
        <v>0</v>
      </c>
      <c r="K540" s="111">
        <f>K541</f>
        <v>0</v>
      </c>
      <c r="L540" s="112">
        <f t="shared" si="119"/>
        <v>0</v>
      </c>
      <c r="M540" s="109">
        <f t="shared" si="119"/>
        <v>13161.599999999999</v>
      </c>
      <c r="N540" s="109">
        <f t="shared" si="119"/>
        <v>550.9</v>
      </c>
      <c r="O540" s="109">
        <f t="shared" si="119"/>
        <v>13712.5</v>
      </c>
      <c r="P540" s="97">
        <f t="shared" si="108"/>
        <v>13712.499999999998</v>
      </c>
      <c r="Q540" s="97">
        <f t="shared" si="109"/>
        <v>0</v>
      </c>
    </row>
    <row r="541" spans="1:17" ht="31.5" x14ac:dyDescent="0.2">
      <c r="A541" s="40"/>
      <c r="B541" s="113" t="s">
        <v>128</v>
      </c>
      <c r="C541" s="113" t="s">
        <v>525</v>
      </c>
      <c r="D541" s="133" t="s">
        <v>86</v>
      </c>
      <c r="E541" s="133" t="s">
        <v>129</v>
      </c>
      <c r="F541" s="134" t="s">
        <v>11</v>
      </c>
      <c r="G541" s="111">
        <f t="shared" si="119"/>
        <v>13161.599999999999</v>
      </c>
      <c r="H541" s="111">
        <f t="shared" si="119"/>
        <v>550.9</v>
      </c>
      <c r="I541" s="111">
        <f t="shared" si="119"/>
        <v>13712.5</v>
      </c>
      <c r="J541" s="114">
        <f t="shared" si="119"/>
        <v>0</v>
      </c>
      <c r="K541" s="111">
        <f>K542+K548</f>
        <v>0</v>
      </c>
      <c r="L541" s="114">
        <f t="shared" si="119"/>
        <v>0</v>
      </c>
      <c r="M541" s="111">
        <f t="shared" si="119"/>
        <v>13161.599999999999</v>
      </c>
      <c r="N541" s="111">
        <f t="shared" si="119"/>
        <v>550.9</v>
      </c>
      <c r="O541" s="111">
        <f t="shared" si="119"/>
        <v>13712.5</v>
      </c>
      <c r="P541" s="97">
        <f t="shared" si="108"/>
        <v>13712.499999999998</v>
      </c>
      <c r="Q541" s="97">
        <f t="shared" si="109"/>
        <v>0</v>
      </c>
    </row>
    <row r="542" spans="1:17" ht="31.5" x14ac:dyDescent="0.2">
      <c r="A542" s="40"/>
      <c r="B542" s="113" t="s">
        <v>528</v>
      </c>
      <c r="C542" s="113" t="s">
        <v>525</v>
      </c>
      <c r="D542" s="133" t="s">
        <v>86</v>
      </c>
      <c r="E542" s="133" t="s">
        <v>529</v>
      </c>
      <c r="F542" s="134" t="s">
        <v>11</v>
      </c>
      <c r="G542" s="111">
        <f>G543+G549</f>
        <v>13161.599999999999</v>
      </c>
      <c r="H542" s="111">
        <f>H543+H549</f>
        <v>550.9</v>
      </c>
      <c r="I542" s="111">
        <f>I543+I549</f>
        <v>13712.5</v>
      </c>
      <c r="J542" s="114">
        <f>J543+J549</f>
        <v>0</v>
      </c>
      <c r="K542" s="111">
        <f>K543</f>
        <v>0</v>
      </c>
      <c r="L542" s="114">
        <f>L543+L549</f>
        <v>0</v>
      </c>
      <c r="M542" s="111">
        <f>M543+M549</f>
        <v>13161.599999999999</v>
      </c>
      <c r="N542" s="111">
        <f>N543+N549</f>
        <v>550.9</v>
      </c>
      <c r="O542" s="111">
        <f>O543+O549</f>
        <v>13712.5</v>
      </c>
      <c r="P542" s="97">
        <f t="shared" si="108"/>
        <v>13712.499999999998</v>
      </c>
      <c r="Q542" s="97">
        <f t="shared" si="109"/>
        <v>0</v>
      </c>
    </row>
    <row r="543" spans="1:17" ht="47.25" x14ac:dyDescent="0.2">
      <c r="A543" s="40"/>
      <c r="B543" s="113" t="s">
        <v>530</v>
      </c>
      <c r="C543" s="113" t="s">
        <v>525</v>
      </c>
      <c r="D543" s="133" t="s">
        <v>86</v>
      </c>
      <c r="E543" s="133" t="s">
        <v>531</v>
      </c>
      <c r="F543" s="134" t="s">
        <v>11</v>
      </c>
      <c r="G543" s="111">
        <f>G544</f>
        <v>3784.2</v>
      </c>
      <c r="H543" s="111">
        <f>H544+H546</f>
        <v>550.9</v>
      </c>
      <c r="I543" s="111">
        <f>I544+I546</f>
        <v>4335.0999999999995</v>
      </c>
      <c r="J543" s="114">
        <f>J544</f>
        <v>0</v>
      </c>
      <c r="K543" s="111"/>
      <c r="L543" s="114">
        <f>L544</f>
        <v>0</v>
      </c>
      <c r="M543" s="111">
        <f>M544</f>
        <v>3784.2</v>
      </c>
      <c r="N543" s="111">
        <f>SUM(H543)</f>
        <v>550.9</v>
      </c>
      <c r="O543" s="111">
        <f>O544+O546</f>
        <v>4335.0999999999995</v>
      </c>
      <c r="P543" s="97">
        <f t="shared" si="108"/>
        <v>4335.0999999999995</v>
      </c>
      <c r="Q543" s="97">
        <f t="shared" si="109"/>
        <v>0</v>
      </c>
    </row>
    <row r="544" spans="1:17" ht="31.5" x14ac:dyDescent="0.2">
      <c r="A544" s="40"/>
      <c r="B544" s="113" t="s">
        <v>38</v>
      </c>
      <c r="C544" s="113" t="s">
        <v>525</v>
      </c>
      <c r="D544" s="133" t="s">
        <v>86</v>
      </c>
      <c r="E544" s="133" t="s">
        <v>532</v>
      </c>
      <c r="F544" s="134" t="s">
        <v>11</v>
      </c>
      <c r="G544" s="111">
        <f>G545+G548</f>
        <v>3784.2</v>
      </c>
      <c r="H544" s="111">
        <f>SUM(H545)+H548</f>
        <v>0</v>
      </c>
      <c r="I544" s="111">
        <f>I545+I548</f>
        <v>3784.2</v>
      </c>
      <c r="J544" s="114">
        <f>J545+J548</f>
        <v>0</v>
      </c>
      <c r="K544" s="111"/>
      <c r="L544" s="114">
        <f>L545+L548</f>
        <v>0</v>
      </c>
      <c r="M544" s="111">
        <f>M545+M548</f>
        <v>3784.2</v>
      </c>
      <c r="N544" s="111">
        <f>N545+N548</f>
        <v>0</v>
      </c>
      <c r="O544" s="111">
        <f>O545+O548</f>
        <v>3784.2</v>
      </c>
      <c r="P544" s="97">
        <f t="shared" si="108"/>
        <v>3784.2</v>
      </c>
      <c r="Q544" s="97">
        <f t="shared" si="109"/>
        <v>0</v>
      </c>
    </row>
    <row r="545" spans="1:17" ht="78.75" x14ac:dyDescent="0.2">
      <c r="A545" s="40"/>
      <c r="B545" s="113" t="s">
        <v>61</v>
      </c>
      <c r="C545" s="113" t="s">
        <v>525</v>
      </c>
      <c r="D545" s="133" t="s">
        <v>86</v>
      </c>
      <c r="E545" s="133" t="s">
        <v>532</v>
      </c>
      <c r="F545" s="134" t="s">
        <v>62</v>
      </c>
      <c r="G545" s="111">
        <v>3766.1</v>
      </c>
      <c r="H545" s="111"/>
      <c r="I545" s="111">
        <f>G545+H545</f>
        <v>3766.1</v>
      </c>
      <c r="J545" s="115">
        <v>0</v>
      </c>
      <c r="K545" s="111"/>
      <c r="L545" s="115">
        <v>0</v>
      </c>
      <c r="M545" s="111">
        <f t="shared" ref="M545:O548" si="120">SUM(G545)</f>
        <v>3766.1</v>
      </c>
      <c r="N545" s="111">
        <f t="shared" si="120"/>
        <v>0</v>
      </c>
      <c r="O545" s="111">
        <f t="shared" si="120"/>
        <v>3766.1</v>
      </c>
      <c r="P545" s="97">
        <f t="shared" si="108"/>
        <v>3766.1</v>
      </c>
      <c r="Q545" s="97">
        <f t="shared" si="109"/>
        <v>0</v>
      </c>
    </row>
    <row r="546" spans="1:17" ht="94.5" x14ac:dyDescent="0.2">
      <c r="A546" s="40"/>
      <c r="B546" s="135" t="s">
        <v>607</v>
      </c>
      <c r="C546" s="113">
        <v>995</v>
      </c>
      <c r="D546" s="133" t="s">
        <v>86</v>
      </c>
      <c r="E546" s="133">
        <v>1230100390</v>
      </c>
      <c r="F546" s="134"/>
      <c r="G546" s="111"/>
      <c r="H546" s="111">
        <f>SUM(H547)</f>
        <v>550.9</v>
      </c>
      <c r="I546" s="111">
        <f>SUM(H546)</f>
        <v>550.9</v>
      </c>
      <c r="J546" s="115"/>
      <c r="K546" s="111"/>
      <c r="L546" s="115"/>
      <c r="M546" s="111"/>
      <c r="N546" s="111">
        <f>SUM(H546)</f>
        <v>550.9</v>
      </c>
      <c r="O546" s="111">
        <f>SUM(I546)</f>
        <v>550.9</v>
      </c>
      <c r="P546" s="97"/>
      <c r="Q546" s="97"/>
    </row>
    <row r="547" spans="1:17" ht="78.75" x14ac:dyDescent="0.2">
      <c r="A547" s="40"/>
      <c r="B547" s="113" t="s">
        <v>61</v>
      </c>
      <c r="C547" s="113">
        <v>995</v>
      </c>
      <c r="D547" s="133" t="s">
        <v>86</v>
      </c>
      <c r="E547" s="133">
        <v>1230100390</v>
      </c>
      <c r="F547" s="134">
        <v>100</v>
      </c>
      <c r="G547" s="111"/>
      <c r="H547" s="111">
        <v>550.9</v>
      </c>
      <c r="I547" s="111">
        <f>SUM(H547)</f>
        <v>550.9</v>
      </c>
      <c r="J547" s="115"/>
      <c r="K547" s="111"/>
      <c r="L547" s="115"/>
      <c r="M547" s="111"/>
      <c r="N547" s="111">
        <f>SUM(H547)</f>
        <v>550.9</v>
      </c>
      <c r="O547" s="111">
        <f>SUM(I547)</f>
        <v>550.9</v>
      </c>
      <c r="P547" s="97"/>
      <c r="Q547" s="97"/>
    </row>
    <row r="548" spans="1:17" ht="31.5" x14ac:dyDescent="0.2">
      <c r="A548" s="40"/>
      <c r="B548" s="113" t="s">
        <v>40</v>
      </c>
      <c r="C548" s="113" t="s">
        <v>525</v>
      </c>
      <c r="D548" s="133" t="s">
        <v>86</v>
      </c>
      <c r="E548" s="133" t="s">
        <v>532</v>
      </c>
      <c r="F548" s="134" t="s">
        <v>41</v>
      </c>
      <c r="G548" s="111">
        <v>18.100000000000001</v>
      </c>
      <c r="H548" s="111"/>
      <c r="I548" s="111">
        <f>G548+H548</f>
        <v>18.100000000000001</v>
      </c>
      <c r="J548" s="115">
        <v>0</v>
      </c>
      <c r="K548" s="111">
        <f>K549</f>
        <v>0</v>
      </c>
      <c r="L548" s="115">
        <v>0</v>
      </c>
      <c r="M548" s="111">
        <f t="shared" si="120"/>
        <v>18.100000000000001</v>
      </c>
      <c r="N548" s="111">
        <f t="shared" si="120"/>
        <v>0</v>
      </c>
      <c r="O548" s="111">
        <f t="shared" si="120"/>
        <v>18.100000000000001</v>
      </c>
      <c r="P548" s="97">
        <f t="shared" si="108"/>
        <v>18.100000000000001</v>
      </c>
      <c r="Q548" s="97">
        <f t="shared" si="109"/>
        <v>0</v>
      </c>
    </row>
    <row r="549" spans="1:17" ht="47.25" x14ac:dyDescent="0.2">
      <c r="A549" s="40"/>
      <c r="B549" s="113" t="s">
        <v>533</v>
      </c>
      <c r="C549" s="113" t="s">
        <v>525</v>
      </c>
      <c r="D549" s="133" t="s">
        <v>86</v>
      </c>
      <c r="E549" s="133" t="s">
        <v>534</v>
      </c>
      <c r="F549" s="134" t="s">
        <v>11</v>
      </c>
      <c r="G549" s="111">
        <f>G550+G554</f>
        <v>9377.4</v>
      </c>
      <c r="H549" s="111">
        <f>SUM(H550)+H554</f>
        <v>0</v>
      </c>
      <c r="I549" s="111">
        <f>I550+I554</f>
        <v>9377.4</v>
      </c>
      <c r="J549" s="114">
        <f>J550</f>
        <v>0</v>
      </c>
      <c r="K549" s="111">
        <f>K550+K551</f>
        <v>0</v>
      </c>
      <c r="L549" s="114">
        <f>L550</f>
        <v>0</v>
      </c>
      <c r="M549" s="111">
        <f>M550+M554</f>
        <v>9377.4</v>
      </c>
      <c r="N549" s="111">
        <f>N550+N554</f>
        <v>0</v>
      </c>
      <c r="O549" s="111">
        <f>O550+O554</f>
        <v>9377.4</v>
      </c>
      <c r="P549" s="97">
        <f t="shared" si="108"/>
        <v>9377.4</v>
      </c>
      <c r="Q549" s="97">
        <f t="shared" si="109"/>
        <v>0</v>
      </c>
    </row>
    <row r="550" spans="1:17" ht="47.25" x14ac:dyDescent="0.2">
      <c r="A550" s="40"/>
      <c r="B550" s="113" t="s">
        <v>535</v>
      </c>
      <c r="C550" s="113" t="s">
        <v>525</v>
      </c>
      <c r="D550" s="133" t="s">
        <v>86</v>
      </c>
      <c r="E550" s="133" t="s">
        <v>536</v>
      </c>
      <c r="F550" s="134" t="s">
        <v>11</v>
      </c>
      <c r="G550" s="111">
        <f>G551+G552</f>
        <v>1517.4</v>
      </c>
      <c r="H550" s="111">
        <f>H551+H552</f>
        <v>0</v>
      </c>
      <c r="I550" s="111">
        <f>I551+I552</f>
        <v>1517.4</v>
      </c>
      <c r="J550" s="114">
        <f>J551+J552</f>
        <v>0</v>
      </c>
      <c r="K550" s="111"/>
      <c r="L550" s="114">
        <f>L551+L552</f>
        <v>0</v>
      </c>
      <c r="M550" s="111">
        <f>M551+M552</f>
        <v>1517.4</v>
      </c>
      <c r="N550" s="111">
        <f>N551+N552</f>
        <v>0</v>
      </c>
      <c r="O550" s="111">
        <f>O551+O552</f>
        <v>1517.4</v>
      </c>
      <c r="P550" s="97">
        <f t="shared" si="108"/>
        <v>1517.4</v>
      </c>
      <c r="Q550" s="97">
        <f t="shared" si="109"/>
        <v>0</v>
      </c>
    </row>
    <row r="551" spans="1:17" ht="31.5" x14ac:dyDescent="0.2">
      <c r="A551" s="40"/>
      <c r="B551" s="113" t="s">
        <v>40</v>
      </c>
      <c r="C551" s="113" t="s">
        <v>525</v>
      </c>
      <c r="D551" s="133" t="s">
        <v>86</v>
      </c>
      <c r="E551" s="133" t="s">
        <v>536</v>
      </c>
      <c r="F551" s="134" t="s">
        <v>41</v>
      </c>
      <c r="G551" s="111">
        <v>1517.4</v>
      </c>
      <c r="H551" s="111"/>
      <c r="I551" s="111">
        <f>SUM(G551)+H551</f>
        <v>1517.4</v>
      </c>
      <c r="J551" s="115">
        <v>0</v>
      </c>
      <c r="K551" s="111"/>
      <c r="L551" s="115">
        <v>0</v>
      </c>
      <c r="M551" s="111">
        <f>SUM(G551)</f>
        <v>1517.4</v>
      </c>
      <c r="N551" s="111">
        <f>SUM(H551)</f>
        <v>0</v>
      </c>
      <c r="O551" s="111">
        <f>SUM(I551)</f>
        <v>1517.4</v>
      </c>
      <c r="P551" s="97">
        <f t="shared" si="108"/>
        <v>1517.4</v>
      </c>
      <c r="Q551" s="97">
        <f t="shared" si="109"/>
        <v>0</v>
      </c>
    </row>
    <row r="552" spans="1:17" ht="15.75" x14ac:dyDescent="0.2">
      <c r="A552" s="40"/>
      <c r="B552" s="113" t="s">
        <v>70</v>
      </c>
      <c r="C552" s="113" t="s">
        <v>525</v>
      </c>
      <c r="D552" s="133" t="s">
        <v>86</v>
      </c>
      <c r="E552" s="133" t="s">
        <v>536</v>
      </c>
      <c r="F552" s="134" t="s">
        <v>71</v>
      </c>
      <c r="G552" s="111">
        <v>0</v>
      </c>
      <c r="H552" s="106"/>
      <c r="I552" s="111">
        <v>0</v>
      </c>
      <c r="J552" s="115">
        <v>0</v>
      </c>
      <c r="K552" s="106">
        <f>K556</f>
        <v>0</v>
      </c>
      <c r="L552" s="115">
        <v>0</v>
      </c>
      <c r="M552" s="111">
        <v>0</v>
      </c>
      <c r="N552" s="111">
        <f>SUM(H552)</f>
        <v>0</v>
      </c>
      <c r="O552" s="111">
        <v>0</v>
      </c>
      <c r="P552" s="97">
        <f t="shared" ref="P552:P566" si="121">G552+H552</f>
        <v>0</v>
      </c>
      <c r="Q552" s="97">
        <f t="shared" ref="Q552:Q566" si="122">I552-P552</f>
        <v>0</v>
      </c>
    </row>
    <row r="553" spans="1:17" ht="0.75" customHeight="1" x14ac:dyDescent="0.2">
      <c r="A553" s="40"/>
      <c r="B553" s="113"/>
      <c r="C553" s="113">
        <v>995</v>
      </c>
      <c r="D553" s="133" t="s">
        <v>86</v>
      </c>
      <c r="E553" s="133">
        <v>1230300000</v>
      </c>
      <c r="F553" s="134"/>
      <c r="G553" s="111"/>
      <c r="H553" s="106"/>
      <c r="I553" s="111"/>
      <c r="J553" s="115"/>
      <c r="K553" s="106"/>
      <c r="L553" s="115"/>
      <c r="M553" s="111"/>
      <c r="N553" s="111"/>
      <c r="O553" s="111"/>
      <c r="P553" s="97">
        <f t="shared" si="121"/>
        <v>0</v>
      </c>
      <c r="Q553" s="97">
        <f t="shared" si="122"/>
        <v>0</v>
      </c>
    </row>
    <row r="554" spans="1:17" ht="47.25" x14ac:dyDescent="0.2">
      <c r="A554" s="40"/>
      <c r="B554" s="113" t="s">
        <v>597</v>
      </c>
      <c r="C554" s="113">
        <v>995</v>
      </c>
      <c r="D554" s="133" t="s">
        <v>86</v>
      </c>
      <c r="E554" s="133">
        <v>1230320330</v>
      </c>
      <c r="F554" s="134"/>
      <c r="G554" s="111">
        <v>7860</v>
      </c>
      <c r="H554" s="111">
        <f>SUM(H555)</f>
        <v>0</v>
      </c>
      <c r="I554" s="111">
        <f>SUM(H554)+G554</f>
        <v>7860</v>
      </c>
      <c r="J554" s="115"/>
      <c r="K554" s="106"/>
      <c r="L554" s="115"/>
      <c r="M554" s="111">
        <f t="shared" ref="M554:O555" si="123">SUM(G554)</f>
        <v>7860</v>
      </c>
      <c r="N554" s="111">
        <f t="shared" si="123"/>
        <v>0</v>
      </c>
      <c r="O554" s="111">
        <f t="shared" si="123"/>
        <v>7860</v>
      </c>
      <c r="P554" s="97">
        <f t="shared" si="121"/>
        <v>7860</v>
      </c>
      <c r="Q554" s="97">
        <f t="shared" si="122"/>
        <v>0</v>
      </c>
    </row>
    <row r="555" spans="1:17" ht="31.5" x14ac:dyDescent="0.2">
      <c r="A555" s="40"/>
      <c r="B555" s="113" t="s">
        <v>225</v>
      </c>
      <c r="C555" s="113">
        <v>995</v>
      </c>
      <c r="D555" s="133" t="s">
        <v>86</v>
      </c>
      <c r="E555" s="133">
        <v>1230320330</v>
      </c>
      <c r="F555" s="134">
        <v>400</v>
      </c>
      <c r="G555" s="111">
        <v>7860</v>
      </c>
      <c r="H555" s="111"/>
      <c r="I555" s="111">
        <f>SUM(G555)</f>
        <v>7860</v>
      </c>
      <c r="J555" s="115"/>
      <c r="K555" s="106"/>
      <c r="L555" s="115"/>
      <c r="M555" s="111">
        <f t="shared" si="123"/>
        <v>7860</v>
      </c>
      <c r="N555" s="111">
        <f t="shared" si="123"/>
        <v>0</v>
      </c>
      <c r="O555" s="111">
        <f t="shared" si="123"/>
        <v>7860</v>
      </c>
      <c r="P555" s="97">
        <f t="shared" si="121"/>
        <v>7860</v>
      </c>
      <c r="Q555" s="97">
        <f t="shared" si="122"/>
        <v>0</v>
      </c>
    </row>
    <row r="556" spans="1:17" ht="15.75" x14ac:dyDescent="0.2">
      <c r="A556" s="20" t="s">
        <v>537</v>
      </c>
      <c r="B556" s="107" t="s">
        <v>213</v>
      </c>
      <c r="C556" s="107" t="s">
        <v>525</v>
      </c>
      <c r="D556" s="129" t="s">
        <v>214</v>
      </c>
      <c r="E556" s="129" t="s">
        <v>11</v>
      </c>
      <c r="F556" s="130" t="s">
        <v>11</v>
      </c>
      <c r="G556" s="106">
        <f t="shared" ref="G556:O561" si="124">G557</f>
        <v>11636.5</v>
      </c>
      <c r="H556" s="109">
        <f t="shared" si="124"/>
        <v>0</v>
      </c>
      <c r="I556" s="106">
        <f t="shared" si="124"/>
        <v>11636.5</v>
      </c>
      <c r="J556" s="108">
        <f t="shared" si="124"/>
        <v>0</v>
      </c>
      <c r="K556" s="109">
        <f t="shared" si="124"/>
        <v>0</v>
      </c>
      <c r="L556" s="108">
        <f t="shared" si="124"/>
        <v>0</v>
      </c>
      <c r="M556" s="106">
        <f t="shared" si="124"/>
        <v>11636.5</v>
      </c>
      <c r="N556" s="106">
        <f t="shared" si="124"/>
        <v>0</v>
      </c>
      <c r="O556" s="106">
        <f t="shared" si="124"/>
        <v>11636.5</v>
      </c>
      <c r="P556" s="97">
        <f t="shared" si="121"/>
        <v>11636.5</v>
      </c>
      <c r="Q556" s="97">
        <f t="shared" si="122"/>
        <v>0</v>
      </c>
    </row>
    <row r="557" spans="1:17" ht="26.45" customHeight="1" x14ac:dyDescent="0.2">
      <c r="A557" s="33" t="s">
        <v>538</v>
      </c>
      <c r="B557" s="110" t="s">
        <v>261</v>
      </c>
      <c r="C557" s="110" t="s">
        <v>525</v>
      </c>
      <c r="D557" s="131" t="s">
        <v>262</v>
      </c>
      <c r="E557" s="131" t="s">
        <v>11</v>
      </c>
      <c r="F557" s="132" t="s">
        <v>11</v>
      </c>
      <c r="G557" s="109">
        <f t="shared" si="124"/>
        <v>11636.5</v>
      </c>
      <c r="H557" s="111">
        <f t="shared" si="124"/>
        <v>0</v>
      </c>
      <c r="I557" s="109">
        <f t="shared" si="124"/>
        <v>11636.5</v>
      </c>
      <c r="J557" s="112">
        <f t="shared" si="124"/>
        <v>0</v>
      </c>
      <c r="K557" s="111">
        <f t="shared" si="124"/>
        <v>0</v>
      </c>
      <c r="L557" s="112">
        <f t="shared" si="124"/>
        <v>0</v>
      </c>
      <c r="M557" s="109">
        <f t="shared" si="124"/>
        <v>11636.5</v>
      </c>
      <c r="N557" s="109">
        <f t="shared" si="124"/>
        <v>0</v>
      </c>
      <c r="O557" s="109">
        <f t="shared" si="124"/>
        <v>11636.5</v>
      </c>
      <c r="P557" s="97">
        <f t="shared" si="121"/>
        <v>11636.5</v>
      </c>
      <c r="Q557" s="97">
        <f t="shared" si="122"/>
        <v>0</v>
      </c>
    </row>
    <row r="558" spans="1:17" ht="31.5" x14ac:dyDescent="0.2">
      <c r="A558" s="40"/>
      <c r="B558" s="113" t="s">
        <v>128</v>
      </c>
      <c r="C558" s="113" t="s">
        <v>525</v>
      </c>
      <c r="D558" s="133" t="s">
        <v>262</v>
      </c>
      <c r="E558" s="133" t="s">
        <v>129</v>
      </c>
      <c r="F558" s="134" t="s">
        <v>11</v>
      </c>
      <c r="G558" s="111">
        <f t="shared" si="124"/>
        <v>11636.5</v>
      </c>
      <c r="H558" s="111">
        <f t="shared" si="124"/>
        <v>0</v>
      </c>
      <c r="I558" s="111">
        <f t="shared" si="124"/>
        <v>11636.5</v>
      </c>
      <c r="J558" s="114">
        <f t="shared" si="124"/>
        <v>0</v>
      </c>
      <c r="K558" s="111">
        <f t="shared" si="124"/>
        <v>0</v>
      </c>
      <c r="L558" s="114">
        <f t="shared" si="124"/>
        <v>0</v>
      </c>
      <c r="M558" s="111">
        <f t="shared" si="124"/>
        <v>11636.5</v>
      </c>
      <c r="N558" s="111">
        <f t="shared" si="124"/>
        <v>0</v>
      </c>
      <c r="O558" s="111">
        <f t="shared" si="124"/>
        <v>11636.5</v>
      </c>
      <c r="P558" s="97">
        <f t="shared" si="121"/>
        <v>11636.5</v>
      </c>
      <c r="Q558" s="97">
        <f t="shared" si="122"/>
        <v>0</v>
      </c>
    </row>
    <row r="559" spans="1:17" ht="31.5" x14ac:dyDescent="0.2">
      <c r="A559" s="40"/>
      <c r="B559" s="113" t="s">
        <v>528</v>
      </c>
      <c r="C559" s="113" t="s">
        <v>525</v>
      </c>
      <c r="D559" s="133" t="s">
        <v>262</v>
      </c>
      <c r="E559" s="133" t="s">
        <v>529</v>
      </c>
      <c r="F559" s="134" t="s">
        <v>11</v>
      </c>
      <c r="G559" s="111">
        <f t="shared" si="124"/>
        <v>11636.5</v>
      </c>
      <c r="H559" s="111">
        <f t="shared" si="124"/>
        <v>0</v>
      </c>
      <c r="I559" s="111">
        <f t="shared" si="124"/>
        <v>11636.5</v>
      </c>
      <c r="J559" s="114">
        <f t="shared" si="124"/>
        <v>0</v>
      </c>
      <c r="K559" s="111">
        <f t="shared" si="124"/>
        <v>0</v>
      </c>
      <c r="L559" s="114">
        <f t="shared" si="124"/>
        <v>0</v>
      </c>
      <c r="M559" s="111">
        <f t="shared" si="124"/>
        <v>11636.5</v>
      </c>
      <c r="N559" s="111">
        <f t="shared" si="124"/>
        <v>0</v>
      </c>
      <c r="O559" s="111">
        <f t="shared" si="124"/>
        <v>11636.5</v>
      </c>
      <c r="P559" s="97">
        <f t="shared" si="121"/>
        <v>11636.5</v>
      </c>
      <c r="Q559" s="97">
        <f t="shared" si="122"/>
        <v>0</v>
      </c>
    </row>
    <row r="560" spans="1:17" ht="47.25" x14ac:dyDescent="0.2">
      <c r="A560" s="40"/>
      <c r="B560" s="113" t="s">
        <v>539</v>
      </c>
      <c r="C560" s="113" t="s">
        <v>525</v>
      </c>
      <c r="D560" s="133" t="s">
        <v>262</v>
      </c>
      <c r="E560" s="133" t="s">
        <v>540</v>
      </c>
      <c r="F560" s="134" t="s">
        <v>11</v>
      </c>
      <c r="G560" s="111">
        <f t="shared" si="124"/>
        <v>11636.5</v>
      </c>
      <c r="H560" s="111">
        <f t="shared" si="124"/>
        <v>0</v>
      </c>
      <c r="I560" s="111">
        <f t="shared" si="124"/>
        <v>11636.5</v>
      </c>
      <c r="J560" s="114">
        <f t="shared" si="124"/>
        <v>0</v>
      </c>
      <c r="K560" s="111">
        <f t="shared" si="124"/>
        <v>0</v>
      </c>
      <c r="L560" s="114">
        <f t="shared" si="124"/>
        <v>0</v>
      </c>
      <c r="M560" s="111">
        <f t="shared" si="124"/>
        <v>11636.5</v>
      </c>
      <c r="N560" s="111">
        <f t="shared" si="124"/>
        <v>0</v>
      </c>
      <c r="O560" s="111">
        <f t="shared" si="124"/>
        <v>11636.5</v>
      </c>
      <c r="P560" s="97">
        <f t="shared" si="121"/>
        <v>11636.5</v>
      </c>
      <c r="Q560" s="97">
        <f t="shared" si="122"/>
        <v>0</v>
      </c>
    </row>
    <row r="561" spans="1:17" ht="32.25" thickBot="1" x14ac:dyDescent="0.25">
      <c r="A561" s="40"/>
      <c r="B561" s="113" t="s">
        <v>134</v>
      </c>
      <c r="C561" s="113" t="s">
        <v>525</v>
      </c>
      <c r="D561" s="133" t="s">
        <v>262</v>
      </c>
      <c r="E561" s="133" t="s">
        <v>541</v>
      </c>
      <c r="F561" s="134" t="s">
        <v>11</v>
      </c>
      <c r="G561" s="111">
        <f t="shared" si="124"/>
        <v>11636.5</v>
      </c>
      <c r="H561" s="122">
        <f>SUM(H562)</f>
        <v>0</v>
      </c>
      <c r="I561" s="111">
        <f t="shared" si="124"/>
        <v>11636.5</v>
      </c>
      <c r="J561" s="114">
        <f t="shared" si="124"/>
        <v>0</v>
      </c>
      <c r="K561" s="122"/>
      <c r="L561" s="114">
        <f t="shared" si="124"/>
        <v>0</v>
      </c>
      <c r="M561" s="111">
        <f t="shared" si="124"/>
        <v>11636.5</v>
      </c>
      <c r="N561" s="111">
        <f t="shared" si="124"/>
        <v>0</v>
      </c>
      <c r="O561" s="111">
        <f t="shared" si="124"/>
        <v>11636.5</v>
      </c>
      <c r="P561" s="97">
        <f t="shared" si="121"/>
        <v>11636.5</v>
      </c>
      <c r="Q561" s="97">
        <f t="shared" si="122"/>
        <v>0</v>
      </c>
    </row>
    <row r="562" spans="1:17" ht="48" thickBot="1" x14ac:dyDescent="0.25">
      <c r="A562" s="49"/>
      <c r="B562" s="123" t="s">
        <v>95</v>
      </c>
      <c r="C562" s="123" t="s">
        <v>525</v>
      </c>
      <c r="D562" s="146" t="s">
        <v>262</v>
      </c>
      <c r="E562" s="146" t="s">
        <v>541</v>
      </c>
      <c r="F562" s="147" t="s">
        <v>96</v>
      </c>
      <c r="G562" s="122">
        <v>11636.5</v>
      </c>
      <c r="H562" s="124"/>
      <c r="I562" s="122">
        <f>SUM(G562)</f>
        <v>11636.5</v>
      </c>
      <c r="J562" s="125">
        <v>0</v>
      </c>
      <c r="K562" s="124"/>
      <c r="L562" s="125">
        <v>0</v>
      </c>
      <c r="M562" s="122">
        <f>SUM(G562)</f>
        <v>11636.5</v>
      </c>
      <c r="N562" s="122">
        <f>SUM(H562)</f>
        <v>0</v>
      </c>
      <c r="O562" s="122">
        <f>SUM(I562)</f>
        <v>11636.5</v>
      </c>
      <c r="P562" s="97">
        <f t="shared" si="121"/>
        <v>11636.5</v>
      </c>
      <c r="Q562" s="97">
        <f t="shared" si="122"/>
        <v>0</v>
      </c>
    </row>
    <row r="563" spans="1:17" x14ac:dyDescent="0.2">
      <c r="P563" s="97">
        <f t="shared" si="121"/>
        <v>0</v>
      </c>
      <c r="Q563" s="97">
        <f t="shared" si="122"/>
        <v>0</v>
      </c>
    </row>
    <row r="564" spans="1:17" x14ac:dyDescent="0.2">
      <c r="B564" s="302" t="s">
        <v>542</v>
      </c>
      <c r="C564" s="266"/>
      <c r="D564" s="266"/>
      <c r="E564" s="266"/>
      <c r="F564" s="266"/>
      <c r="G564" s="266"/>
      <c r="H564" s="266"/>
      <c r="I564" s="266"/>
      <c r="J564" s="266"/>
      <c r="K564" s="266"/>
      <c r="L564" s="266"/>
      <c r="M564" s="266"/>
      <c r="N564" s="266"/>
      <c r="O564" s="266"/>
      <c r="P564" s="97">
        <f t="shared" si="121"/>
        <v>0</v>
      </c>
      <c r="Q564" s="97">
        <f t="shared" si="122"/>
        <v>0</v>
      </c>
    </row>
    <row r="565" spans="1:17" x14ac:dyDescent="0.2">
      <c r="B565" s="266"/>
      <c r="C565" s="266"/>
      <c r="D565" s="266"/>
      <c r="E565" s="266"/>
      <c r="F565" s="266"/>
      <c r="G565" s="266"/>
      <c r="H565" s="266"/>
      <c r="I565" s="266"/>
      <c r="J565" s="266"/>
      <c r="K565" s="266"/>
      <c r="L565" s="266"/>
      <c r="M565" s="266"/>
      <c r="N565" s="266"/>
      <c r="O565" s="266"/>
      <c r="P565" s="97">
        <f t="shared" si="121"/>
        <v>0</v>
      </c>
      <c r="Q565" s="97">
        <f t="shared" si="122"/>
        <v>0</v>
      </c>
    </row>
    <row r="566" spans="1:17" x14ac:dyDescent="0.2">
      <c r="B566" s="266"/>
      <c r="C566" s="266"/>
      <c r="D566" s="266"/>
      <c r="E566" s="266"/>
      <c r="F566" s="266"/>
      <c r="G566" s="266"/>
      <c r="H566" s="266"/>
      <c r="I566" s="266"/>
      <c r="J566" s="266"/>
      <c r="K566" s="266"/>
      <c r="L566" s="266"/>
      <c r="M566" s="266"/>
      <c r="N566" s="266"/>
      <c r="O566" s="266"/>
      <c r="P566" s="97">
        <f t="shared" si="121"/>
        <v>0</v>
      </c>
      <c r="Q566" s="97">
        <f t="shared" si="122"/>
        <v>0</v>
      </c>
    </row>
  </sheetData>
  <mergeCells count="21">
    <mergeCell ref="C20:F20"/>
    <mergeCell ref="G20:O20"/>
    <mergeCell ref="B564:O566"/>
    <mergeCell ref="B16:G16"/>
    <mergeCell ref="B17:G17"/>
    <mergeCell ref="A18:A19"/>
    <mergeCell ref="B18:B19"/>
    <mergeCell ref="C18:F18"/>
    <mergeCell ref="G18:O18"/>
    <mergeCell ref="A9:O9"/>
    <mergeCell ref="A10:O10"/>
    <mergeCell ref="A11:O11"/>
    <mergeCell ref="C14:F14"/>
    <mergeCell ref="B15:C15"/>
    <mergeCell ref="D15:F15"/>
    <mergeCell ref="J7:O7"/>
    <mergeCell ref="J1:O1"/>
    <mergeCell ref="J3:O3"/>
    <mergeCell ref="J4:O4"/>
    <mergeCell ref="J5:O5"/>
    <mergeCell ref="J6:O6"/>
  </mergeCells>
  <pageMargins left="0.19685039370078741" right="0.31496062992125984" top="0.31496062992125984" bottom="0.39370078740157483" header="0.51181102362204722" footer="0.19685039370078741"/>
  <pageSetup paperSize="9" scale="55" firstPageNumber="4294967295" orientation="landscape" r:id="rId1"/>
  <headerFooter differentFirst="1" alignWithMargins="0">
    <oddFooter>&amp;C&amp;P</oddFooter>
  </headerFooter>
  <rowBreaks count="2" manualBreakCount="2">
    <brk id="122" max="14" man="1"/>
    <brk id="172" max="14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48"/>
  <sheetViews>
    <sheetView view="pageBreakPreview" topLeftCell="A270" zoomScale="60" zoomScaleNormal="60" workbookViewId="0">
      <selection activeCell="V285" sqref="V285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6.855468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" customWidth="1"/>
    <col min="11" max="11" width="16.5703125" customWidth="1"/>
    <col min="12" max="12" width="20.42578125" customWidth="1"/>
    <col min="13" max="13" width="22.28515625" customWidth="1"/>
    <col min="14" max="14" width="20" customWidth="1"/>
    <col min="15" max="16" width="18.28515625" customWidth="1"/>
    <col min="17" max="17" width="11.7109375" customWidth="1"/>
    <col min="18" max="18" width="10" bestFit="1" customWidth="1"/>
  </cols>
  <sheetData>
    <row r="1" spans="1:15" ht="43.5" customHeight="1" x14ac:dyDescent="0.25">
      <c r="B1" s="5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</row>
    <row r="2" spans="1:15" ht="43.5" customHeight="1" x14ac:dyDescent="0.25">
      <c r="B2" s="5"/>
      <c r="C2" s="5"/>
      <c r="D2" s="5"/>
      <c r="E2" s="5"/>
      <c r="F2" s="5"/>
      <c r="G2" s="5"/>
      <c r="H2" s="5"/>
      <c r="I2" s="5"/>
      <c r="J2" s="159" t="s">
        <v>601</v>
      </c>
      <c r="K2" s="159"/>
      <c r="L2" s="159"/>
      <c r="M2" s="159"/>
      <c r="N2" s="159"/>
      <c r="O2" s="15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1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2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3</v>
      </c>
      <c r="K5" s="279"/>
      <c r="L5" s="279"/>
      <c r="M5" s="279"/>
      <c r="N5" s="279"/>
      <c r="O5" s="279"/>
    </row>
    <row r="6" spans="1:15" ht="15" customHeight="1" x14ac:dyDescent="0.25">
      <c r="B6" s="1"/>
      <c r="C6" s="1"/>
      <c r="D6" s="1"/>
      <c r="E6" s="1"/>
      <c r="F6" s="1"/>
      <c r="G6" s="1"/>
      <c r="H6" s="1"/>
      <c r="I6" s="1"/>
      <c r="J6" s="279" t="s">
        <v>604</v>
      </c>
      <c r="K6" s="279"/>
      <c r="L6" s="279"/>
      <c r="M6" s="279"/>
      <c r="N6" s="279"/>
      <c r="O6" s="279"/>
    </row>
    <row r="7" spans="1:15" ht="15.6" customHeight="1" x14ac:dyDescent="0.25">
      <c r="B7" s="6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</row>
    <row r="8" spans="1:15" ht="15" customHeight="1" x14ac:dyDescent="0.2">
      <c r="B8" s="6"/>
      <c r="C8" s="6"/>
      <c r="D8" s="6"/>
      <c r="E8" s="6"/>
      <c r="F8" s="6"/>
      <c r="G8" s="3"/>
      <c r="H8" s="3"/>
      <c r="I8" s="3"/>
    </row>
    <row r="9" spans="1:15" ht="15.6" customHeight="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" customHeight="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ht="15.6" hidden="1" customHeight="1" x14ac:dyDescent="0.2">
      <c r="B12" s="6"/>
      <c r="C12" s="6"/>
      <c r="D12" s="6"/>
      <c r="E12" s="6"/>
      <c r="F12" s="6"/>
      <c r="G12" s="3"/>
      <c r="H12" s="3"/>
      <c r="I12" s="3"/>
    </row>
    <row r="13" spans="1:15" ht="18.600000000000001" customHeight="1" thickBot="1" x14ac:dyDescent="0.25">
      <c r="B13" s="6"/>
      <c r="C13" s="6"/>
      <c r="D13" s="7"/>
      <c r="E13" s="7"/>
      <c r="F13" s="7"/>
      <c r="G13" s="3"/>
      <c r="H13" s="3"/>
      <c r="I13" s="3"/>
      <c r="O13" s="8" t="s">
        <v>8</v>
      </c>
    </row>
    <row r="14" spans="1:15" ht="15" hidden="1" customHeight="1" x14ac:dyDescent="0.2">
      <c r="B14" s="161" t="s">
        <v>9</v>
      </c>
      <c r="C14" s="278"/>
      <c r="D14" s="278"/>
      <c r="E14" s="278"/>
      <c r="F14" s="278"/>
      <c r="G14" s="3"/>
      <c r="H14" s="3"/>
      <c r="I14" s="3"/>
    </row>
    <row r="15" spans="1:15" ht="6.6" hidden="1" customHeight="1" x14ac:dyDescent="0.2">
      <c r="B15" s="261" t="s">
        <v>10</v>
      </c>
      <c r="C15" s="261"/>
      <c r="D15" s="261"/>
      <c r="E15" s="261"/>
      <c r="F15" s="261"/>
      <c r="G15" s="3"/>
      <c r="H15" s="3"/>
      <c r="I15" s="3"/>
    </row>
    <row r="16" spans="1:15" ht="7.15" hidden="1" customHeight="1" thickBot="1" x14ac:dyDescent="0.25">
      <c r="B16" s="261" t="s">
        <v>11</v>
      </c>
      <c r="C16" s="261"/>
      <c r="D16" s="261"/>
      <c r="E16" s="261"/>
      <c r="F16" s="261"/>
      <c r="G16" s="261"/>
      <c r="H16" s="161"/>
      <c r="I16" s="161"/>
    </row>
    <row r="17" spans="1:17" ht="13.9" hidden="1" customHeight="1" thickBot="1" x14ac:dyDescent="0.25">
      <c r="B17" s="262" t="s">
        <v>11</v>
      </c>
      <c r="C17" s="262"/>
      <c r="D17" s="262"/>
      <c r="E17" s="262"/>
      <c r="F17" s="262"/>
      <c r="G17" s="262"/>
      <c r="H17" s="162"/>
      <c r="I17" s="162"/>
    </row>
    <row r="18" spans="1:17" ht="13.9" customHeight="1" x14ac:dyDescent="0.2">
      <c r="A18" s="289" t="s">
        <v>12</v>
      </c>
      <c r="B18" s="291" t="s">
        <v>13</v>
      </c>
      <c r="C18" s="291" t="s">
        <v>14</v>
      </c>
      <c r="D18" s="291"/>
      <c r="E18" s="291"/>
      <c r="F18" s="293"/>
      <c r="G18" s="294" t="s">
        <v>15</v>
      </c>
      <c r="H18" s="295"/>
      <c r="I18" s="295"/>
      <c r="J18" s="291"/>
      <c r="K18" s="293"/>
      <c r="L18" s="293"/>
      <c r="M18" s="293"/>
      <c r="N18" s="293"/>
      <c r="O18" s="296"/>
    </row>
    <row r="19" spans="1:17" ht="30" customHeight="1" x14ac:dyDescent="0.2">
      <c r="A19" s="290"/>
      <c r="B19" s="292"/>
      <c r="C19" s="160" t="s">
        <v>16</v>
      </c>
      <c r="D19" s="160" t="s">
        <v>17</v>
      </c>
      <c r="E19" s="160" t="s">
        <v>18</v>
      </c>
      <c r="F19" s="12" t="s">
        <v>19</v>
      </c>
      <c r="G19" s="13" t="s">
        <v>20</v>
      </c>
      <c r="H19" s="62" t="s">
        <v>21</v>
      </c>
      <c r="I19" s="62" t="s">
        <v>15</v>
      </c>
      <c r="J19" s="165" t="s">
        <v>22</v>
      </c>
      <c r="K19" s="103" t="s">
        <v>21</v>
      </c>
      <c r="L19" s="103" t="s">
        <v>15</v>
      </c>
      <c r="M19" s="13" t="s">
        <v>20</v>
      </c>
      <c r="N19" s="62" t="s">
        <v>21</v>
      </c>
      <c r="O19" s="166" t="s">
        <v>23</v>
      </c>
      <c r="P19" s="164">
        <v>20027.900000000001</v>
      </c>
    </row>
    <row r="20" spans="1:17" ht="13.9" customHeight="1" thickBot="1" x14ac:dyDescent="0.25">
      <c r="A20" s="10" t="s">
        <v>24</v>
      </c>
      <c r="B20" s="11">
        <v>2</v>
      </c>
      <c r="C20" s="298">
        <v>3</v>
      </c>
      <c r="D20" s="299"/>
      <c r="E20" s="299"/>
      <c r="F20" s="299"/>
      <c r="G20" s="300">
        <v>4</v>
      </c>
      <c r="H20" s="299"/>
      <c r="I20" s="299"/>
      <c r="J20" s="299"/>
      <c r="K20" s="299"/>
      <c r="L20" s="299"/>
      <c r="M20" s="299"/>
      <c r="N20" s="299"/>
      <c r="O20" s="301"/>
    </row>
    <row r="21" spans="1:17" ht="20.45" customHeight="1" x14ac:dyDescent="0.2">
      <c r="A21" s="27"/>
      <c r="B21" s="126" t="s">
        <v>25</v>
      </c>
      <c r="C21" s="127"/>
      <c r="D21" s="127"/>
      <c r="E21" s="127"/>
      <c r="F21" s="128"/>
      <c r="G21" s="104">
        <f>G22+G34+G459+G522</f>
        <v>730412.80000000016</v>
      </c>
      <c r="H21" s="104">
        <f>H22+H34+H459+H522</f>
        <v>23079.5</v>
      </c>
      <c r="I21" s="104">
        <f>I22+I34+I459+I522</f>
        <v>753492.3</v>
      </c>
      <c r="J21" s="105">
        <f>J22+J34+J459+J522</f>
        <v>2674884.8000000007</v>
      </c>
      <c r="K21" s="106">
        <f>SUM(K34+K22+K459+K522)</f>
        <v>-729105.2</v>
      </c>
      <c r="L21" s="105">
        <f>L22+L34+L459+L522</f>
        <v>1945779.6</v>
      </c>
      <c r="M21" s="104">
        <f>M22+M34+M459+M522</f>
        <v>3405009.3999999994</v>
      </c>
      <c r="N21" s="104">
        <f>N22+N34+N459+N522+N29</f>
        <v>-706025.70000000007</v>
      </c>
      <c r="O21" s="104">
        <f>O22+O34+O459+O522</f>
        <v>2698983.6999999997</v>
      </c>
      <c r="P21" s="97">
        <f>G21+H21</f>
        <v>753492.30000000016</v>
      </c>
      <c r="Q21" s="97">
        <f>I21-P21</f>
        <v>0</v>
      </c>
    </row>
    <row r="22" spans="1:17" ht="31.5" x14ac:dyDescent="0.2">
      <c r="A22" s="20" t="s">
        <v>26</v>
      </c>
      <c r="B22" s="107" t="s">
        <v>27</v>
      </c>
      <c r="C22" s="107" t="s">
        <v>28</v>
      </c>
      <c r="D22" s="129" t="s">
        <v>11</v>
      </c>
      <c r="E22" s="129" t="s">
        <v>11</v>
      </c>
      <c r="F22" s="130" t="s">
        <v>11</v>
      </c>
      <c r="G22" s="106">
        <f>G23</f>
        <v>1601.8999999999999</v>
      </c>
      <c r="H22" s="106">
        <f>H23+H29</f>
        <v>0</v>
      </c>
      <c r="I22" s="106">
        <f>I23</f>
        <v>1601.8999999999999</v>
      </c>
      <c r="J22" s="108">
        <f>J23</f>
        <v>0</v>
      </c>
      <c r="K22" s="106">
        <f>K23+K28</f>
        <v>0</v>
      </c>
      <c r="L22" s="108">
        <f>L23</f>
        <v>0</v>
      </c>
      <c r="M22" s="106">
        <f>M23</f>
        <v>1601.8999999999999</v>
      </c>
      <c r="N22" s="106">
        <f>N23</f>
        <v>0</v>
      </c>
      <c r="O22" s="106">
        <f>O23</f>
        <v>1601.8999999999999</v>
      </c>
      <c r="P22" s="97">
        <f t="shared" ref="P22:P85" si="0">G22+H22</f>
        <v>1601.8999999999999</v>
      </c>
      <c r="Q22" s="97">
        <f t="shared" ref="Q22:Q85" si="1">I22-P22</f>
        <v>0</v>
      </c>
    </row>
    <row r="23" spans="1:17" ht="15.75" x14ac:dyDescent="0.2">
      <c r="A23" s="20" t="s">
        <v>29</v>
      </c>
      <c r="B23" s="107" t="s">
        <v>30</v>
      </c>
      <c r="C23" s="107" t="s">
        <v>28</v>
      </c>
      <c r="D23" s="129" t="s">
        <v>31</v>
      </c>
      <c r="E23" s="129" t="s">
        <v>11</v>
      </c>
      <c r="F23" s="130" t="s">
        <v>11</v>
      </c>
      <c r="G23" s="106">
        <f>G24+G29</f>
        <v>1601.8999999999999</v>
      </c>
      <c r="H23" s="109">
        <f>H24</f>
        <v>0</v>
      </c>
      <c r="I23" s="106">
        <f>I24+I29</f>
        <v>1601.8999999999999</v>
      </c>
      <c r="J23" s="108">
        <f>J24+J29</f>
        <v>0</v>
      </c>
      <c r="K23" s="109">
        <f>K24</f>
        <v>0</v>
      </c>
      <c r="L23" s="108">
        <f>L24+L29</f>
        <v>0</v>
      </c>
      <c r="M23" s="106">
        <f>M24+M29</f>
        <v>1601.8999999999999</v>
      </c>
      <c r="N23" s="106">
        <f>N24+N29</f>
        <v>0</v>
      </c>
      <c r="O23" s="106">
        <f>O24+O29</f>
        <v>1601.8999999999999</v>
      </c>
      <c r="P23" s="97">
        <f t="shared" si="0"/>
        <v>1601.8999999999999</v>
      </c>
      <c r="Q23" s="97">
        <f t="shared" si="1"/>
        <v>0</v>
      </c>
    </row>
    <row r="24" spans="1:17" ht="63" x14ac:dyDescent="0.2">
      <c r="A24" s="33" t="s">
        <v>32</v>
      </c>
      <c r="B24" s="110" t="s">
        <v>33</v>
      </c>
      <c r="C24" s="110" t="s">
        <v>28</v>
      </c>
      <c r="D24" s="131" t="s">
        <v>34</v>
      </c>
      <c r="E24" s="131" t="s">
        <v>11</v>
      </c>
      <c r="F24" s="132" t="s">
        <v>11</v>
      </c>
      <c r="G24" s="109">
        <f>G25</f>
        <v>8.1</v>
      </c>
      <c r="H24" s="111">
        <f>H25</f>
        <v>0</v>
      </c>
      <c r="I24" s="109">
        <f>I25</f>
        <v>8.1</v>
      </c>
      <c r="J24" s="112">
        <f t="shared" ref="J24:O27" si="2">J25</f>
        <v>0</v>
      </c>
      <c r="K24" s="111">
        <f>K25</f>
        <v>0</v>
      </c>
      <c r="L24" s="112">
        <f t="shared" si="2"/>
        <v>0</v>
      </c>
      <c r="M24" s="109">
        <f t="shared" si="2"/>
        <v>8.1</v>
      </c>
      <c r="N24" s="109">
        <f t="shared" si="2"/>
        <v>0</v>
      </c>
      <c r="O24" s="109">
        <f t="shared" si="2"/>
        <v>8.1</v>
      </c>
      <c r="P24" s="97">
        <f t="shared" si="0"/>
        <v>8.1</v>
      </c>
      <c r="Q24" s="97">
        <f t="shared" si="1"/>
        <v>0</v>
      </c>
    </row>
    <row r="25" spans="1:17" ht="31.5" x14ac:dyDescent="0.2">
      <c r="A25" s="40"/>
      <c r="B25" s="113" t="s">
        <v>35</v>
      </c>
      <c r="C25" s="113" t="s">
        <v>28</v>
      </c>
      <c r="D25" s="133" t="s">
        <v>34</v>
      </c>
      <c r="E25" s="133" t="s">
        <v>36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2"/>
        <v>0</v>
      </c>
      <c r="K25" s="111">
        <f>K26</f>
        <v>0</v>
      </c>
      <c r="L25" s="114">
        <f t="shared" si="2"/>
        <v>0</v>
      </c>
      <c r="M25" s="111">
        <f t="shared" si="2"/>
        <v>8.1</v>
      </c>
      <c r="N25" s="111">
        <f t="shared" si="2"/>
        <v>0</v>
      </c>
      <c r="O25" s="111">
        <f t="shared" si="2"/>
        <v>8.1</v>
      </c>
      <c r="P25" s="97">
        <f t="shared" si="0"/>
        <v>8.1</v>
      </c>
      <c r="Q25" s="97">
        <f t="shared" si="1"/>
        <v>0</v>
      </c>
    </row>
    <row r="26" spans="1:17" ht="31.5" x14ac:dyDescent="0.2">
      <c r="A26" s="40"/>
      <c r="B26" s="113" t="s">
        <v>27</v>
      </c>
      <c r="C26" s="113" t="s">
        <v>28</v>
      </c>
      <c r="D26" s="133" t="s">
        <v>34</v>
      </c>
      <c r="E26" s="133" t="s">
        <v>37</v>
      </c>
      <c r="F26" s="134" t="s">
        <v>11</v>
      </c>
      <c r="G26" s="111">
        <f>G27</f>
        <v>8.1</v>
      </c>
      <c r="H26" s="111">
        <f>H27</f>
        <v>0</v>
      </c>
      <c r="I26" s="111">
        <f>I27</f>
        <v>8.1</v>
      </c>
      <c r="J26" s="114">
        <f t="shared" si="2"/>
        <v>0</v>
      </c>
      <c r="K26" s="111">
        <f>K27</f>
        <v>0</v>
      </c>
      <c r="L26" s="114">
        <f t="shared" si="2"/>
        <v>0</v>
      </c>
      <c r="M26" s="111">
        <f t="shared" si="2"/>
        <v>8.1</v>
      </c>
      <c r="N26" s="111">
        <f t="shared" si="2"/>
        <v>0</v>
      </c>
      <c r="O26" s="111">
        <f t="shared" si="2"/>
        <v>8.1</v>
      </c>
      <c r="P26" s="97">
        <f t="shared" si="0"/>
        <v>8.1</v>
      </c>
      <c r="Q26" s="97">
        <f t="shared" si="1"/>
        <v>0</v>
      </c>
    </row>
    <row r="27" spans="1:17" ht="31.5" x14ac:dyDescent="0.2">
      <c r="A27" s="40"/>
      <c r="B27" s="113" t="s">
        <v>38</v>
      </c>
      <c r="C27" s="113" t="s">
        <v>28</v>
      </c>
      <c r="D27" s="133" t="s">
        <v>34</v>
      </c>
      <c r="E27" s="133" t="s">
        <v>39</v>
      </c>
      <c r="F27" s="134" t="s">
        <v>11</v>
      </c>
      <c r="G27" s="111">
        <f>G28</f>
        <v>8.1</v>
      </c>
      <c r="H27" s="111"/>
      <c r="I27" s="111">
        <f>I28</f>
        <v>8.1</v>
      </c>
      <c r="J27" s="114">
        <f t="shared" si="2"/>
        <v>0</v>
      </c>
      <c r="K27" s="111"/>
      <c r="L27" s="114">
        <f t="shared" si="2"/>
        <v>0</v>
      </c>
      <c r="M27" s="111">
        <f t="shared" si="2"/>
        <v>8.1</v>
      </c>
      <c r="N27" s="111">
        <f t="shared" si="2"/>
        <v>0</v>
      </c>
      <c r="O27" s="111">
        <f t="shared" si="2"/>
        <v>8.1</v>
      </c>
      <c r="P27" s="97">
        <f t="shared" si="0"/>
        <v>8.1</v>
      </c>
      <c r="Q27" s="97">
        <f t="shared" si="1"/>
        <v>0</v>
      </c>
    </row>
    <row r="28" spans="1:17" ht="31.5" x14ac:dyDescent="0.2">
      <c r="A28" s="40"/>
      <c r="B28" s="113" t="s">
        <v>40</v>
      </c>
      <c r="C28" s="113" t="s">
        <v>28</v>
      </c>
      <c r="D28" s="133" t="s">
        <v>34</v>
      </c>
      <c r="E28" s="133" t="s">
        <v>39</v>
      </c>
      <c r="F28" s="134" t="s">
        <v>41</v>
      </c>
      <c r="G28" s="111">
        <f>8+0.1</f>
        <v>8.1</v>
      </c>
      <c r="H28" s="109"/>
      <c r="I28" s="111">
        <f>8+0.1</f>
        <v>8.1</v>
      </c>
      <c r="J28" s="115">
        <v>0</v>
      </c>
      <c r="K28" s="109"/>
      <c r="L28" s="115">
        <v>0</v>
      </c>
      <c r="M28" s="111">
        <f>8+0.1</f>
        <v>8.1</v>
      </c>
      <c r="N28" s="111"/>
      <c r="O28" s="111">
        <f>8+0.1</f>
        <v>8.1</v>
      </c>
      <c r="P28" s="97">
        <f t="shared" si="0"/>
        <v>8.1</v>
      </c>
      <c r="Q28" s="97">
        <f t="shared" si="1"/>
        <v>0</v>
      </c>
    </row>
    <row r="29" spans="1:17" ht="47.25" x14ac:dyDescent="0.2">
      <c r="A29" s="33" t="s">
        <v>42</v>
      </c>
      <c r="B29" s="110" t="s">
        <v>43</v>
      </c>
      <c r="C29" s="110" t="s">
        <v>28</v>
      </c>
      <c r="D29" s="131" t="s">
        <v>44</v>
      </c>
      <c r="E29" s="131" t="s">
        <v>11</v>
      </c>
      <c r="F29" s="132" t="s">
        <v>11</v>
      </c>
      <c r="G29" s="109">
        <f t="shared" ref="G29:O32" si="3">G30</f>
        <v>1593.8</v>
      </c>
      <c r="H29" s="111">
        <f t="shared" si="3"/>
        <v>0</v>
      </c>
      <c r="I29" s="109">
        <f t="shared" si="3"/>
        <v>1593.8</v>
      </c>
      <c r="J29" s="112">
        <f t="shared" si="3"/>
        <v>0</v>
      </c>
      <c r="K29" s="111">
        <f>K30</f>
        <v>0</v>
      </c>
      <c r="L29" s="112">
        <f t="shared" si="3"/>
        <v>0</v>
      </c>
      <c r="M29" s="109">
        <f t="shared" si="3"/>
        <v>1593.8</v>
      </c>
      <c r="N29" s="109">
        <f t="shared" si="3"/>
        <v>0</v>
      </c>
      <c r="O29" s="109">
        <f t="shared" si="3"/>
        <v>1593.8</v>
      </c>
      <c r="P29" s="97">
        <f t="shared" si="0"/>
        <v>1593.8</v>
      </c>
      <c r="Q29" s="97">
        <f t="shared" si="1"/>
        <v>0</v>
      </c>
    </row>
    <row r="30" spans="1:17" ht="31.5" x14ac:dyDescent="0.2">
      <c r="A30" s="40"/>
      <c r="B30" s="113" t="s">
        <v>35</v>
      </c>
      <c r="C30" s="113" t="s">
        <v>28</v>
      </c>
      <c r="D30" s="133" t="s">
        <v>44</v>
      </c>
      <c r="E30" s="133" t="s">
        <v>36</v>
      </c>
      <c r="F30" s="134" t="s">
        <v>11</v>
      </c>
      <c r="G30" s="111">
        <f t="shared" si="3"/>
        <v>1593.8</v>
      </c>
      <c r="H30" s="111">
        <f t="shared" si="3"/>
        <v>0</v>
      </c>
      <c r="I30" s="111">
        <f t="shared" si="3"/>
        <v>1593.8</v>
      </c>
      <c r="J30" s="114">
        <f t="shared" si="3"/>
        <v>0</v>
      </c>
      <c r="K30" s="111">
        <f>K31</f>
        <v>0</v>
      </c>
      <c r="L30" s="114">
        <f t="shared" si="3"/>
        <v>0</v>
      </c>
      <c r="M30" s="111">
        <f t="shared" si="3"/>
        <v>1593.8</v>
      </c>
      <c r="N30" s="111">
        <f t="shared" si="3"/>
        <v>0</v>
      </c>
      <c r="O30" s="111">
        <f t="shared" si="3"/>
        <v>1593.8</v>
      </c>
      <c r="P30" s="97">
        <f t="shared" si="0"/>
        <v>1593.8</v>
      </c>
      <c r="Q30" s="97">
        <f t="shared" si="1"/>
        <v>0</v>
      </c>
    </row>
    <row r="31" spans="1:17" ht="31.5" x14ac:dyDescent="0.2">
      <c r="A31" s="40"/>
      <c r="B31" s="113" t="s">
        <v>27</v>
      </c>
      <c r="C31" s="113" t="s">
        <v>28</v>
      </c>
      <c r="D31" s="133" t="s">
        <v>44</v>
      </c>
      <c r="E31" s="133" t="s">
        <v>37</v>
      </c>
      <c r="F31" s="134" t="s">
        <v>11</v>
      </c>
      <c r="G31" s="111">
        <f t="shared" si="3"/>
        <v>1593.8</v>
      </c>
      <c r="H31" s="111">
        <f t="shared" si="3"/>
        <v>0</v>
      </c>
      <c r="I31" s="111">
        <f t="shared" si="3"/>
        <v>1593.8</v>
      </c>
      <c r="J31" s="114">
        <f t="shared" si="3"/>
        <v>0</v>
      </c>
      <c r="K31" s="111">
        <f>K32</f>
        <v>0</v>
      </c>
      <c r="L31" s="114">
        <f t="shared" si="3"/>
        <v>0</v>
      </c>
      <c r="M31" s="111">
        <f t="shared" si="3"/>
        <v>1593.8</v>
      </c>
      <c r="N31" s="111">
        <f t="shared" si="3"/>
        <v>0</v>
      </c>
      <c r="O31" s="111">
        <f t="shared" si="3"/>
        <v>1593.8</v>
      </c>
      <c r="P31" s="97">
        <f t="shared" si="0"/>
        <v>1593.8</v>
      </c>
      <c r="Q31" s="97">
        <f t="shared" si="1"/>
        <v>0</v>
      </c>
    </row>
    <row r="32" spans="1:17" ht="63" x14ac:dyDescent="0.2">
      <c r="A32" s="40"/>
      <c r="B32" s="113" t="s">
        <v>45</v>
      </c>
      <c r="C32" s="113" t="s">
        <v>28</v>
      </c>
      <c r="D32" s="133" t="s">
        <v>44</v>
      </c>
      <c r="E32" s="133" t="s">
        <v>46</v>
      </c>
      <c r="F32" s="134" t="s">
        <v>11</v>
      </c>
      <c r="G32" s="111">
        <f>G33</f>
        <v>1593.8</v>
      </c>
      <c r="H32" s="111">
        <f>SUM(H33)</f>
        <v>0</v>
      </c>
      <c r="I32" s="111">
        <f>I33</f>
        <v>1593.8</v>
      </c>
      <c r="J32" s="114">
        <f t="shared" si="3"/>
        <v>0</v>
      </c>
      <c r="K32" s="111"/>
      <c r="L32" s="114">
        <f t="shared" si="3"/>
        <v>0</v>
      </c>
      <c r="M32" s="111">
        <f t="shared" si="3"/>
        <v>1593.8</v>
      </c>
      <c r="N32" s="111">
        <f t="shared" si="3"/>
        <v>0</v>
      </c>
      <c r="O32" s="111">
        <f t="shared" si="3"/>
        <v>1593.8</v>
      </c>
      <c r="P32" s="97">
        <f t="shared" si="0"/>
        <v>1593.8</v>
      </c>
      <c r="Q32" s="97">
        <f t="shared" si="1"/>
        <v>0</v>
      </c>
    </row>
    <row r="33" spans="1:17" ht="15.75" x14ac:dyDescent="0.2">
      <c r="A33" s="40"/>
      <c r="B33" s="113" t="s">
        <v>47</v>
      </c>
      <c r="C33" s="113" t="s">
        <v>28</v>
      </c>
      <c r="D33" s="133" t="s">
        <v>44</v>
      </c>
      <c r="E33" s="133" t="s">
        <v>46</v>
      </c>
      <c r="F33" s="134" t="s">
        <v>48</v>
      </c>
      <c r="G33" s="111">
        <v>1593.8</v>
      </c>
      <c r="H33" s="106"/>
      <c r="I33" s="111">
        <f>SUM(G33)</f>
        <v>1593.8</v>
      </c>
      <c r="J33" s="115">
        <v>0</v>
      </c>
      <c r="K33" s="106"/>
      <c r="L33" s="115">
        <v>0</v>
      </c>
      <c r="M33" s="111">
        <f>SUM(G33)</f>
        <v>1593.8</v>
      </c>
      <c r="N33" s="111">
        <f>SUM(H33)</f>
        <v>0</v>
      </c>
      <c r="O33" s="111">
        <f>SUM(I33)</f>
        <v>1593.8</v>
      </c>
      <c r="P33" s="97">
        <f t="shared" si="0"/>
        <v>1593.8</v>
      </c>
      <c r="Q33" s="97">
        <f t="shared" si="1"/>
        <v>0</v>
      </c>
    </row>
    <row r="34" spans="1:17" ht="31.5" x14ac:dyDescent="0.2">
      <c r="A34" s="20" t="s">
        <v>49</v>
      </c>
      <c r="B34" s="107" t="s">
        <v>50</v>
      </c>
      <c r="C34" s="107" t="s">
        <v>51</v>
      </c>
      <c r="D34" s="129" t="s">
        <v>11</v>
      </c>
      <c r="E34" s="129" t="s">
        <v>11</v>
      </c>
      <c r="F34" s="130" t="s">
        <v>11</v>
      </c>
      <c r="G34" s="106">
        <f t="shared" ref="G34:O34" si="4">G35+G117+G170+G254+G393+G416+G441+G452</f>
        <v>562542.50000000012</v>
      </c>
      <c r="H34" s="106">
        <f>H35+H117+H170+H254+H393+H416+H441+H452</f>
        <v>21763.9</v>
      </c>
      <c r="I34" s="106">
        <f t="shared" si="4"/>
        <v>584306.4</v>
      </c>
      <c r="J34" s="106">
        <f t="shared" si="4"/>
        <v>2652760.7000000007</v>
      </c>
      <c r="K34" s="106">
        <f t="shared" si="4"/>
        <v>-734900.7</v>
      </c>
      <c r="L34" s="106">
        <f t="shared" si="4"/>
        <v>1917860</v>
      </c>
      <c r="M34" s="106">
        <f t="shared" si="4"/>
        <v>3215014.9999999995</v>
      </c>
      <c r="N34" s="106">
        <f t="shared" si="4"/>
        <v>-713136.8</v>
      </c>
      <c r="O34" s="106">
        <f t="shared" si="4"/>
        <v>2501878.1999999997</v>
      </c>
      <c r="P34" s="97">
        <f t="shared" si="0"/>
        <v>584306.40000000014</v>
      </c>
      <c r="Q34" s="97">
        <f t="shared" si="1"/>
        <v>0</v>
      </c>
    </row>
    <row r="35" spans="1:17" ht="15.75" x14ac:dyDescent="0.2">
      <c r="A35" s="20" t="s">
        <v>52</v>
      </c>
      <c r="B35" s="107" t="s">
        <v>30</v>
      </c>
      <c r="C35" s="107" t="s">
        <v>51</v>
      </c>
      <c r="D35" s="129" t="s">
        <v>31</v>
      </c>
      <c r="E35" s="129" t="s">
        <v>11</v>
      </c>
      <c r="F35" s="130" t="s">
        <v>11</v>
      </c>
      <c r="G35" s="106">
        <f t="shared" ref="G35:O35" si="5">G36+G41+G55+G60</f>
        <v>104536.20000000001</v>
      </c>
      <c r="H35" s="106">
        <f>H36+H41+H55+H60</f>
        <v>4327.3</v>
      </c>
      <c r="I35" s="106">
        <f t="shared" si="5"/>
        <v>108863.5</v>
      </c>
      <c r="J35" s="106">
        <f t="shared" si="5"/>
        <v>868.1</v>
      </c>
      <c r="K35" s="106">
        <f t="shared" si="5"/>
        <v>0</v>
      </c>
      <c r="L35" s="106">
        <f t="shared" si="5"/>
        <v>868.1</v>
      </c>
      <c r="M35" s="106">
        <f t="shared" si="5"/>
        <v>105404.3</v>
      </c>
      <c r="N35" s="106">
        <f t="shared" si="5"/>
        <v>4327.3</v>
      </c>
      <c r="O35" s="106">
        <f t="shared" si="5"/>
        <v>109731.59999999999</v>
      </c>
      <c r="P35" s="97">
        <f t="shared" si="0"/>
        <v>108863.50000000001</v>
      </c>
      <c r="Q35" s="97">
        <f t="shared" si="1"/>
        <v>0</v>
      </c>
    </row>
    <row r="36" spans="1:17" ht="47.25" x14ac:dyDescent="0.2">
      <c r="A36" s="33" t="s">
        <v>53</v>
      </c>
      <c r="B36" s="110" t="s">
        <v>54</v>
      </c>
      <c r="C36" s="110" t="s">
        <v>51</v>
      </c>
      <c r="D36" s="131" t="s">
        <v>55</v>
      </c>
      <c r="E36" s="131" t="s">
        <v>11</v>
      </c>
      <c r="F36" s="132" t="s">
        <v>11</v>
      </c>
      <c r="G36" s="109">
        <f t="shared" ref="G36:O39" si="6">G37</f>
        <v>2268.1</v>
      </c>
      <c r="H36" s="111">
        <f t="shared" si="6"/>
        <v>0</v>
      </c>
      <c r="I36" s="109">
        <f t="shared" si="6"/>
        <v>2268.1</v>
      </c>
      <c r="J36" s="112">
        <f t="shared" si="6"/>
        <v>0</v>
      </c>
      <c r="K36" s="111">
        <f>K37</f>
        <v>0</v>
      </c>
      <c r="L36" s="112">
        <f t="shared" si="6"/>
        <v>0</v>
      </c>
      <c r="M36" s="109">
        <f t="shared" si="6"/>
        <v>2268.1</v>
      </c>
      <c r="N36" s="109">
        <f t="shared" si="6"/>
        <v>0</v>
      </c>
      <c r="O36" s="109">
        <f t="shared" si="6"/>
        <v>2268.1</v>
      </c>
      <c r="P36" s="97">
        <f t="shared" si="0"/>
        <v>2268.1</v>
      </c>
      <c r="Q36" s="97">
        <f t="shared" si="1"/>
        <v>0</v>
      </c>
    </row>
    <row r="37" spans="1:17" ht="31.5" x14ac:dyDescent="0.2">
      <c r="A37" s="40"/>
      <c r="B37" s="113" t="s">
        <v>56</v>
      </c>
      <c r="C37" s="113" t="s">
        <v>51</v>
      </c>
      <c r="D37" s="133" t="s">
        <v>55</v>
      </c>
      <c r="E37" s="133" t="s">
        <v>57</v>
      </c>
      <c r="F37" s="134" t="s">
        <v>11</v>
      </c>
      <c r="G37" s="111">
        <f t="shared" si="6"/>
        <v>2268.1</v>
      </c>
      <c r="H37" s="111">
        <f t="shared" si="6"/>
        <v>0</v>
      </c>
      <c r="I37" s="111">
        <f t="shared" si="6"/>
        <v>2268.1</v>
      </c>
      <c r="J37" s="114">
        <f t="shared" si="6"/>
        <v>0</v>
      </c>
      <c r="K37" s="111">
        <f>K38</f>
        <v>0</v>
      </c>
      <c r="L37" s="114">
        <f t="shared" si="6"/>
        <v>0</v>
      </c>
      <c r="M37" s="111">
        <f t="shared" si="6"/>
        <v>2268.1</v>
      </c>
      <c r="N37" s="111">
        <f t="shared" si="6"/>
        <v>0</v>
      </c>
      <c r="O37" s="111">
        <f t="shared" si="6"/>
        <v>2268.1</v>
      </c>
      <c r="P37" s="97">
        <f t="shared" si="0"/>
        <v>2268.1</v>
      </c>
      <c r="Q37" s="97">
        <f t="shared" si="1"/>
        <v>0</v>
      </c>
    </row>
    <row r="38" spans="1:17" ht="31.5" x14ac:dyDescent="0.2">
      <c r="A38" s="40"/>
      <c r="B38" s="113" t="s">
        <v>58</v>
      </c>
      <c r="C38" s="113" t="s">
        <v>51</v>
      </c>
      <c r="D38" s="133" t="s">
        <v>55</v>
      </c>
      <c r="E38" s="133" t="s">
        <v>59</v>
      </c>
      <c r="F38" s="134" t="s">
        <v>11</v>
      </c>
      <c r="G38" s="111">
        <f t="shared" si="6"/>
        <v>2268.1</v>
      </c>
      <c r="H38" s="111">
        <f t="shared" si="6"/>
        <v>0</v>
      </c>
      <c r="I38" s="111">
        <f t="shared" si="6"/>
        <v>2268.1</v>
      </c>
      <c r="J38" s="114">
        <f t="shared" si="6"/>
        <v>0</v>
      </c>
      <c r="K38" s="111">
        <f>K39</f>
        <v>0</v>
      </c>
      <c r="L38" s="114">
        <f t="shared" si="6"/>
        <v>0</v>
      </c>
      <c r="M38" s="111">
        <f t="shared" si="6"/>
        <v>2268.1</v>
      </c>
      <c r="N38" s="111">
        <f t="shared" si="6"/>
        <v>0</v>
      </c>
      <c r="O38" s="111">
        <f t="shared" si="6"/>
        <v>2268.1</v>
      </c>
      <c r="P38" s="97">
        <f t="shared" si="0"/>
        <v>2268.1</v>
      </c>
      <c r="Q38" s="97">
        <f t="shared" si="1"/>
        <v>0</v>
      </c>
    </row>
    <row r="39" spans="1:17" ht="31.5" x14ac:dyDescent="0.2">
      <c r="A39" s="40"/>
      <c r="B39" s="113" t="s">
        <v>38</v>
      </c>
      <c r="C39" s="113" t="s">
        <v>51</v>
      </c>
      <c r="D39" s="133" t="s">
        <v>55</v>
      </c>
      <c r="E39" s="133" t="s">
        <v>60</v>
      </c>
      <c r="F39" s="134" t="s">
        <v>11</v>
      </c>
      <c r="G39" s="111">
        <f>G40</f>
        <v>2268.1</v>
      </c>
      <c r="H39" s="109"/>
      <c r="I39" s="111">
        <f>I40</f>
        <v>2268.1</v>
      </c>
      <c r="J39" s="114">
        <f t="shared" si="6"/>
        <v>0</v>
      </c>
      <c r="K39" s="111"/>
      <c r="L39" s="114">
        <f t="shared" si="6"/>
        <v>0</v>
      </c>
      <c r="M39" s="111">
        <f t="shared" si="6"/>
        <v>2268.1</v>
      </c>
      <c r="N39" s="111">
        <f t="shared" si="6"/>
        <v>0</v>
      </c>
      <c r="O39" s="111">
        <f t="shared" si="6"/>
        <v>2268.1</v>
      </c>
      <c r="P39" s="97">
        <f t="shared" si="0"/>
        <v>2268.1</v>
      </c>
      <c r="Q39" s="97">
        <f t="shared" si="1"/>
        <v>0</v>
      </c>
    </row>
    <row r="40" spans="1:17" ht="31.15" customHeight="1" x14ac:dyDescent="0.2">
      <c r="A40" s="40"/>
      <c r="B40" s="113" t="s">
        <v>61</v>
      </c>
      <c r="C40" s="113" t="s">
        <v>51</v>
      </c>
      <c r="D40" s="133" t="s">
        <v>55</v>
      </c>
      <c r="E40" s="133" t="s">
        <v>60</v>
      </c>
      <c r="F40" s="134" t="s">
        <v>62</v>
      </c>
      <c r="G40" s="111">
        <v>2268.1</v>
      </c>
      <c r="H40" s="109"/>
      <c r="I40" s="111">
        <f>SUM(G40)</f>
        <v>2268.1</v>
      </c>
      <c r="J40" s="115">
        <v>0</v>
      </c>
      <c r="K40" s="109"/>
      <c r="L40" s="115">
        <v>0</v>
      </c>
      <c r="M40" s="111">
        <f>SUM(G40)</f>
        <v>2268.1</v>
      </c>
      <c r="N40" s="111">
        <f>SUM(H40)</f>
        <v>0</v>
      </c>
      <c r="O40" s="111">
        <f>SUM(I40)</f>
        <v>2268.1</v>
      </c>
      <c r="P40" s="97">
        <f t="shared" si="0"/>
        <v>2268.1</v>
      </c>
      <c r="Q40" s="97">
        <f t="shared" si="1"/>
        <v>0</v>
      </c>
    </row>
    <row r="41" spans="1:17" ht="63" x14ac:dyDescent="0.2">
      <c r="A41" s="33" t="s">
        <v>63</v>
      </c>
      <c r="B41" s="110" t="s">
        <v>64</v>
      </c>
      <c r="C41" s="110" t="s">
        <v>51</v>
      </c>
      <c r="D41" s="131" t="s">
        <v>65</v>
      </c>
      <c r="E41" s="131" t="s">
        <v>11</v>
      </c>
      <c r="F41" s="132" t="s">
        <v>11</v>
      </c>
      <c r="G41" s="109">
        <f>G42</f>
        <v>35728.5</v>
      </c>
      <c r="H41" s="111">
        <f>H42</f>
        <v>0</v>
      </c>
      <c r="I41" s="109">
        <f>I42</f>
        <v>35728.5</v>
      </c>
      <c r="J41" s="112">
        <f>J42</f>
        <v>768.1</v>
      </c>
      <c r="K41" s="111">
        <f>K42+K47</f>
        <v>0</v>
      </c>
      <c r="L41" s="112">
        <f>L42</f>
        <v>768.1</v>
      </c>
      <c r="M41" s="109">
        <f>M42</f>
        <v>36496.6</v>
      </c>
      <c r="N41" s="109">
        <f>N42</f>
        <v>0</v>
      </c>
      <c r="O41" s="109">
        <f>O42</f>
        <v>36496.6</v>
      </c>
      <c r="P41" s="97">
        <f t="shared" si="0"/>
        <v>35728.5</v>
      </c>
      <c r="Q41" s="97">
        <f t="shared" si="1"/>
        <v>0</v>
      </c>
    </row>
    <row r="42" spans="1:17" ht="31.5" x14ac:dyDescent="0.2">
      <c r="A42" s="40"/>
      <c r="B42" s="113" t="s">
        <v>66</v>
      </c>
      <c r="C42" s="113" t="s">
        <v>51</v>
      </c>
      <c r="D42" s="133" t="s">
        <v>65</v>
      </c>
      <c r="E42" s="133" t="s">
        <v>67</v>
      </c>
      <c r="F42" s="134" t="s">
        <v>11</v>
      </c>
      <c r="G42" s="111">
        <f>G43+G48</f>
        <v>35728.5</v>
      </c>
      <c r="H42" s="111">
        <f>H43</f>
        <v>0</v>
      </c>
      <c r="I42" s="111">
        <f>I43+I48</f>
        <v>35728.5</v>
      </c>
      <c r="J42" s="114">
        <f>J43+J48</f>
        <v>768.1</v>
      </c>
      <c r="K42" s="111">
        <f>K43</f>
        <v>0</v>
      </c>
      <c r="L42" s="114">
        <f>L43+L48</f>
        <v>768.1</v>
      </c>
      <c r="M42" s="111">
        <f>M43+M48</f>
        <v>36496.6</v>
      </c>
      <c r="N42" s="111">
        <f>N43+N48</f>
        <v>0</v>
      </c>
      <c r="O42" s="111">
        <f>O43+O48</f>
        <v>36496.6</v>
      </c>
      <c r="P42" s="97">
        <f t="shared" si="0"/>
        <v>35728.5</v>
      </c>
      <c r="Q42" s="97">
        <f t="shared" si="1"/>
        <v>0</v>
      </c>
    </row>
    <row r="43" spans="1:17" ht="31.5" x14ac:dyDescent="0.2">
      <c r="A43" s="40"/>
      <c r="B43" s="113" t="s">
        <v>50</v>
      </c>
      <c r="C43" s="113" t="s">
        <v>51</v>
      </c>
      <c r="D43" s="133" t="s">
        <v>65</v>
      </c>
      <c r="E43" s="133" t="s">
        <v>68</v>
      </c>
      <c r="F43" s="134" t="s">
        <v>11</v>
      </c>
      <c r="G43" s="111">
        <f>G44</f>
        <v>35728.5</v>
      </c>
      <c r="H43" s="111">
        <f>H44</f>
        <v>0</v>
      </c>
      <c r="I43" s="111">
        <f>I44</f>
        <v>35728.5</v>
      </c>
      <c r="J43" s="114">
        <f>J44</f>
        <v>0</v>
      </c>
      <c r="K43" s="111">
        <f>K44+K45+K46</f>
        <v>0</v>
      </c>
      <c r="L43" s="114">
        <f>L44</f>
        <v>0</v>
      </c>
      <c r="M43" s="111">
        <f>M44</f>
        <v>35728.5</v>
      </c>
      <c r="N43" s="111">
        <f>N44</f>
        <v>0</v>
      </c>
      <c r="O43" s="111">
        <f>O44</f>
        <v>35728.5</v>
      </c>
      <c r="P43" s="97">
        <f t="shared" si="0"/>
        <v>35728.5</v>
      </c>
      <c r="Q43" s="97">
        <f t="shared" si="1"/>
        <v>0</v>
      </c>
    </row>
    <row r="44" spans="1:17" ht="31.5" x14ac:dyDescent="0.2">
      <c r="A44" s="40"/>
      <c r="B44" s="113" t="s">
        <v>38</v>
      </c>
      <c r="C44" s="113" t="s">
        <v>51</v>
      </c>
      <c r="D44" s="133" t="s">
        <v>65</v>
      </c>
      <c r="E44" s="133" t="s">
        <v>69</v>
      </c>
      <c r="F44" s="134" t="s">
        <v>11</v>
      </c>
      <c r="G44" s="111">
        <f>G45+G46+G47</f>
        <v>35728.5</v>
      </c>
      <c r="H44" s="111">
        <f>SUM(H45)+H46+H47</f>
        <v>0</v>
      </c>
      <c r="I44" s="111">
        <f>I45+I46+I47</f>
        <v>35728.5</v>
      </c>
      <c r="J44" s="114">
        <f>J45+J46+J47</f>
        <v>0</v>
      </c>
      <c r="K44" s="111"/>
      <c r="L44" s="114">
        <f>L45+L46+L47</f>
        <v>0</v>
      </c>
      <c r="M44" s="111">
        <f>M45+M46+M47</f>
        <v>35728.5</v>
      </c>
      <c r="N44" s="111">
        <f>N45+N46+N47</f>
        <v>0</v>
      </c>
      <c r="O44" s="111">
        <f>O45+O46+O47</f>
        <v>35728.5</v>
      </c>
      <c r="P44" s="97">
        <f t="shared" si="0"/>
        <v>35728.5</v>
      </c>
      <c r="Q44" s="97">
        <f t="shared" si="1"/>
        <v>0</v>
      </c>
    </row>
    <row r="45" spans="1:17" ht="78.75" x14ac:dyDescent="0.2">
      <c r="A45" s="40"/>
      <c r="B45" s="113" t="s">
        <v>61</v>
      </c>
      <c r="C45" s="113" t="s">
        <v>51</v>
      </c>
      <c r="D45" s="133" t="s">
        <v>65</v>
      </c>
      <c r="E45" s="133" t="s">
        <v>69</v>
      </c>
      <c r="F45" s="134" t="s">
        <v>62</v>
      </c>
      <c r="G45" s="111">
        <v>35427.800000000003</v>
      </c>
      <c r="H45" s="111"/>
      <c r="I45" s="111">
        <f>SUM(G45)+H45</f>
        <v>35427.800000000003</v>
      </c>
      <c r="J45" s="115">
        <v>0</v>
      </c>
      <c r="K45" s="111"/>
      <c r="L45" s="115">
        <v>0</v>
      </c>
      <c r="M45" s="111">
        <f t="shared" ref="M45:N47" si="7">SUM(G45)</f>
        <v>35427.800000000003</v>
      </c>
      <c r="N45" s="111">
        <f t="shared" si="7"/>
        <v>0</v>
      </c>
      <c r="O45" s="111">
        <f>SUM(N45)+M45</f>
        <v>35427.800000000003</v>
      </c>
      <c r="P45" s="97">
        <f t="shared" si="0"/>
        <v>35427.800000000003</v>
      </c>
      <c r="Q45" s="97">
        <f t="shared" si="1"/>
        <v>0</v>
      </c>
    </row>
    <row r="46" spans="1:17" ht="31.5" x14ac:dyDescent="0.2">
      <c r="A46" s="40"/>
      <c r="B46" s="113" t="s">
        <v>40</v>
      </c>
      <c r="C46" s="113" t="s">
        <v>51</v>
      </c>
      <c r="D46" s="133" t="s">
        <v>65</v>
      </c>
      <c r="E46" s="133" t="s">
        <v>69</v>
      </c>
      <c r="F46" s="134" t="s">
        <v>41</v>
      </c>
      <c r="G46" s="111">
        <v>260.7</v>
      </c>
      <c r="H46" s="111"/>
      <c r="I46" s="111">
        <v>260.7</v>
      </c>
      <c r="J46" s="115">
        <v>0</v>
      </c>
      <c r="K46" s="111"/>
      <c r="L46" s="115">
        <v>0</v>
      </c>
      <c r="M46" s="111">
        <f t="shared" si="7"/>
        <v>260.7</v>
      </c>
      <c r="N46" s="111">
        <f t="shared" si="7"/>
        <v>0</v>
      </c>
      <c r="O46" s="111">
        <f>SUM(I46)</f>
        <v>260.7</v>
      </c>
      <c r="P46" s="97">
        <f t="shared" si="0"/>
        <v>260.7</v>
      </c>
      <c r="Q46" s="97">
        <f t="shared" si="1"/>
        <v>0</v>
      </c>
    </row>
    <row r="47" spans="1:17" ht="15.75" x14ac:dyDescent="0.2">
      <c r="A47" s="40"/>
      <c r="B47" s="113" t="s">
        <v>70</v>
      </c>
      <c r="C47" s="113" t="s">
        <v>51</v>
      </c>
      <c r="D47" s="133" t="s">
        <v>65</v>
      </c>
      <c r="E47" s="133" t="s">
        <v>69</v>
      </c>
      <c r="F47" s="134" t="s">
        <v>71</v>
      </c>
      <c r="G47" s="111">
        <v>40</v>
      </c>
      <c r="H47" s="111"/>
      <c r="I47" s="111">
        <f>SUM(G47)+H47</f>
        <v>40</v>
      </c>
      <c r="J47" s="115">
        <v>0</v>
      </c>
      <c r="K47" s="111">
        <f>K52</f>
        <v>0</v>
      </c>
      <c r="L47" s="115">
        <v>0</v>
      </c>
      <c r="M47" s="111">
        <f t="shared" si="7"/>
        <v>40</v>
      </c>
      <c r="N47" s="111">
        <f t="shared" si="7"/>
        <v>0</v>
      </c>
      <c r="O47" s="111">
        <f>SUM(I47)</f>
        <v>40</v>
      </c>
      <c r="P47" s="97">
        <f t="shared" si="0"/>
        <v>40</v>
      </c>
      <c r="Q47" s="97">
        <f t="shared" si="1"/>
        <v>0</v>
      </c>
    </row>
    <row r="48" spans="1:17" ht="31.5" x14ac:dyDescent="0.2">
      <c r="A48" s="40"/>
      <c r="B48" s="113" t="s">
        <v>72</v>
      </c>
      <c r="C48" s="113" t="s">
        <v>51</v>
      </c>
      <c r="D48" s="133" t="s">
        <v>65</v>
      </c>
      <c r="E48" s="133" t="s">
        <v>73</v>
      </c>
      <c r="F48" s="134" t="s">
        <v>11</v>
      </c>
      <c r="G48" s="111">
        <f>G53</f>
        <v>0</v>
      </c>
      <c r="H48" s="111">
        <f>H49</f>
        <v>0</v>
      </c>
      <c r="I48" s="111">
        <f>I53</f>
        <v>0</v>
      </c>
      <c r="J48" s="115">
        <f>J53+J49</f>
        <v>768.1</v>
      </c>
      <c r="K48" s="111">
        <f>K49</f>
        <v>0</v>
      </c>
      <c r="L48" s="115">
        <f>L53+L49</f>
        <v>768.1</v>
      </c>
      <c r="M48" s="111">
        <f>M53+M49</f>
        <v>768.1</v>
      </c>
      <c r="N48" s="111">
        <f>N53</f>
        <v>0</v>
      </c>
      <c r="O48" s="111">
        <f>O53+O49</f>
        <v>768.1</v>
      </c>
      <c r="P48" s="97">
        <f t="shared" si="0"/>
        <v>0</v>
      </c>
      <c r="Q48" s="97">
        <f t="shared" si="1"/>
        <v>0</v>
      </c>
    </row>
    <row r="49" spans="1:17" ht="129" customHeight="1" x14ac:dyDescent="0.2">
      <c r="A49" s="40"/>
      <c r="B49" s="135" t="s">
        <v>74</v>
      </c>
      <c r="C49" s="113">
        <v>992</v>
      </c>
      <c r="D49" s="133" t="s">
        <v>65</v>
      </c>
      <c r="E49" s="133">
        <v>5220060140</v>
      </c>
      <c r="F49" s="134"/>
      <c r="G49" s="111">
        <f>G50</f>
        <v>0</v>
      </c>
      <c r="H49" s="111">
        <v>0</v>
      </c>
      <c r="I49" s="111">
        <f>I50</f>
        <v>0</v>
      </c>
      <c r="J49" s="115">
        <f>SUM(J51+J50)</f>
        <v>755.7</v>
      </c>
      <c r="K49" s="111">
        <v>0</v>
      </c>
      <c r="L49" s="115">
        <f>SUM(L51+L50)</f>
        <v>755.7</v>
      </c>
      <c r="M49" s="111">
        <f>M50+M51</f>
        <v>755.7</v>
      </c>
      <c r="N49" s="111"/>
      <c r="O49" s="111">
        <f>O50+O51</f>
        <v>755.7</v>
      </c>
      <c r="P49" s="97">
        <f t="shared" si="0"/>
        <v>0</v>
      </c>
      <c r="Q49" s="97">
        <f t="shared" si="1"/>
        <v>0</v>
      </c>
    </row>
    <row r="50" spans="1:17" ht="78.75" x14ac:dyDescent="0.2">
      <c r="A50" s="40"/>
      <c r="B50" s="113" t="s">
        <v>61</v>
      </c>
      <c r="C50" s="113">
        <v>992</v>
      </c>
      <c r="D50" s="133" t="s">
        <v>65</v>
      </c>
      <c r="E50" s="133">
        <v>5220060140</v>
      </c>
      <c r="F50" s="134">
        <v>100</v>
      </c>
      <c r="G50" s="111">
        <v>0</v>
      </c>
      <c r="H50" s="111">
        <v>0</v>
      </c>
      <c r="I50" s="111">
        <v>0</v>
      </c>
      <c r="J50" s="115">
        <v>755.7</v>
      </c>
      <c r="K50" s="111">
        <v>0</v>
      </c>
      <c r="L50" s="115">
        <f>J50+K50</f>
        <v>755.7</v>
      </c>
      <c r="M50" s="111">
        <f>G50+J50</f>
        <v>755.7</v>
      </c>
      <c r="N50" s="111">
        <f>SUM(K50)</f>
        <v>0</v>
      </c>
      <c r="O50" s="111">
        <f>M50+N50</f>
        <v>755.7</v>
      </c>
      <c r="P50" s="97">
        <f t="shared" si="0"/>
        <v>0</v>
      </c>
      <c r="Q50" s="97">
        <f t="shared" si="1"/>
        <v>0</v>
      </c>
    </row>
    <row r="51" spans="1:17" ht="31.5" x14ac:dyDescent="0.2">
      <c r="A51" s="40"/>
      <c r="B51" s="113" t="s">
        <v>40</v>
      </c>
      <c r="C51" s="113">
        <v>992</v>
      </c>
      <c r="D51" s="133" t="s">
        <v>65</v>
      </c>
      <c r="E51" s="133">
        <v>5220060140</v>
      </c>
      <c r="F51" s="134">
        <v>200</v>
      </c>
      <c r="G51" s="111">
        <v>0</v>
      </c>
      <c r="H51" s="111"/>
      <c r="I51" s="111">
        <v>0</v>
      </c>
      <c r="J51" s="115">
        <v>0</v>
      </c>
      <c r="K51" s="111">
        <v>0</v>
      </c>
      <c r="L51" s="115">
        <f>J51+K51</f>
        <v>0</v>
      </c>
      <c r="M51" s="111">
        <f>G51+J51</f>
        <v>0</v>
      </c>
      <c r="N51" s="111">
        <f>SUM(K51)</f>
        <v>0</v>
      </c>
      <c r="O51" s="111">
        <v>0</v>
      </c>
      <c r="P51" s="97">
        <f t="shared" si="0"/>
        <v>0</v>
      </c>
      <c r="Q51" s="97">
        <f t="shared" si="1"/>
        <v>0</v>
      </c>
    </row>
    <row r="52" spans="1:17" ht="15.75" hidden="1" x14ac:dyDescent="0.2">
      <c r="A52" s="40"/>
      <c r="B52" s="113"/>
      <c r="C52" s="113"/>
      <c r="D52" s="133"/>
      <c r="E52" s="133"/>
      <c r="F52" s="134"/>
      <c r="G52" s="111"/>
      <c r="H52" s="111">
        <f t="shared" ref="G52:O53" si="8">H53</f>
        <v>0</v>
      </c>
      <c r="I52" s="111"/>
      <c r="J52" s="115"/>
      <c r="K52" s="111">
        <f t="shared" si="8"/>
        <v>0</v>
      </c>
      <c r="L52" s="115"/>
      <c r="M52" s="111"/>
      <c r="N52" s="111"/>
      <c r="O52" s="111"/>
      <c r="P52" s="97">
        <f t="shared" si="0"/>
        <v>0</v>
      </c>
      <c r="Q52" s="97">
        <f t="shared" si="1"/>
        <v>0</v>
      </c>
    </row>
    <row r="53" spans="1:17" ht="47.25" x14ac:dyDescent="0.2">
      <c r="A53" s="40"/>
      <c r="B53" s="113" t="s">
        <v>75</v>
      </c>
      <c r="C53" s="113" t="s">
        <v>51</v>
      </c>
      <c r="D53" s="133" t="s">
        <v>65</v>
      </c>
      <c r="E53" s="133" t="s">
        <v>76</v>
      </c>
      <c r="F53" s="134" t="s">
        <v>11</v>
      </c>
      <c r="G53" s="111">
        <f t="shared" si="8"/>
        <v>0</v>
      </c>
      <c r="H53" s="111">
        <v>0</v>
      </c>
      <c r="I53" s="111">
        <f t="shared" si="8"/>
        <v>0</v>
      </c>
      <c r="J53" s="115">
        <f t="shared" si="8"/>
        <v>12.4</v>
      </c>
      <c r="K53" s="111">
        <v>0</v>
      </c>
      <c r="L53" s="115">
        <f t="shared" si="8"/>
        <v>12.4</v>
      </c>
      <c r="M53" s="111">
        <f t="shared" si="8"/>
        <v>12.4</v>
      </c>
      <c r="N53" s="111">
        <f t="shared" si="8"/>
        <v>0</v>
      </c>
      <c r="O53" s="111">
        <f t="shared" si="8"/>
        <v>12.4</v>
      </c>
      <c r="P53" s="97">
        <f t="shared" si="0"/>
        <v>0</v>
      </c>
      <c r="Q53" s="97">
        <f t="shared" si="1"/>
        <v>0</v>
      </c>
    </row>
    <row r="54" spans="1:17" ht="31.5" x14ac:dyDescent="0.2">
      <c r="A54" s="40"/>
      <c r="B54" s="113" t="s">
        <v>40</v>
      </c>
      <c r="C54" s="113" t="s">
        <v>51</v>
      </c>
      <c r="D54" s="133" t="s">
        <v>65</v>
      </c>
      <c r="E54" s="133" t="s">
        <v>76</v>
      </c>
      <c r="F54" s="134" t="s">
        <v>41</v>
      </c>
      <c r="G54" s="111">
        <v>0</v>
      </c>
      <c r="H54" s="109"/>
      <c r="I54" s="111">
        <v>0</v>
      </c>
      <c r="J54" s="115">
        <v>12.4</v>
      </c>
      <c r="K54" s="109"/>
      <c r="L54" s="115">
        <v>12.4</v>
      </c>
      <c r="M54" s="111">
        <v>12.4</v>
      </c>
      <c r="N54" s="111">
        <v>0</v>
      </c>
      <c r="O54" s="111">
        <v>12.4</v>
      </c>
      <c r="P54" s="97">
        <f t="shared" si="0"/>
        <v>0</v>
      </c>
      <c r="Q54" s="97">
        <f t="shared" si="1"/>
        <v>0</v>
      </c>
    </row>
    <row r="55" spans="1:17" ht="15.75" x14ac:dyDescent="0.2">
      <c r="A55" s="33" t="s">
        <v>77</v>
      </c>
      <c r="B55" s="110" t="s">
        <v>78</v>
      </c>
      <c r="C55" s="110" t="s">
        <v>51</v>
      </c>
      <c r="D55" s="131" t="s">
        <v>79</v>
      </c>
      <c r="E55" s="131" t="s">
        <v>11</v>
      </c>
      <c r="F55" s="132" t="s">
        <v>11</v>
      </c>
      <c r="G55" s="109">
        <f t="shared" ref="G55:O58" si="9">G56</f>
        <v>2047.1</v>
      </c>
      <c r="H55" s="111">
        <f t="shared" si="9"/>
        <v>-126.39999999999999</v>
      </c>
      <c r="I55" s="109">
        <f t="shared" si="9"/>
        <v>1920.6999999999998</v>
      </c>
      <c r="J55" s="112">
        <f t="shared" si="9"/>
        <v>0</v>
      </c>
      <c r="K55" s="111">
        <f>K56</f>
        <v>0</v>
      </c>
      <c r="L55" s="112">
        <f t="shared" si="9"/>
        <v>0</v>
      </c>
      <c r="M55" s="109">
        <f t="shared" si="9"/>
        <v>2047.1</v>
      </c>
      <c r="N55" s="109">
        <f t="shared" si="9"/>
        <v>-126.39999999999999</v>
      </c>
      <c r="O55" s="109">
        <f t="shared" si="9"/>
        <v>1920.6999999999998</v>
      </c>
      <c r="P55" s="97">
        <f t="shared" si="0"/>
        <v>1920.6999999999998</v>
      </c>
      <c r="Q55" s="97">
        <f t="shared" si="1"/>
        <v>0</v>
      </c>
    </row>
    <row r="56" spans="1:17" ht="31.5" x14ac:dyDescent="0.2">
      <c r="A56" s="40"/>
      <c r="B56" s="113" t="s">
        <v>66</v>
      </c>
      <c r="C56" s="113" t="s">
        <v>51</v>
      </c>
      <c r="D56" s="133" t="s">
        <v>79</v>
      </c>
      <c r="E56" s="133" t="s">
        <v>67</v>
      </c>
      <c r="F56" s="134" t="s">
        <v>11</v>
      </c>
      <c r="G56" s="111">
        <f t="shared" si="9"/>
        <v>2047.1</v>
      </c>
      <c r="H56" s="111">
        <f t="shared" si="9"/>
        <v>-126.39999999999999</v>
      </c>
      <c r="I56" s="111">
        <f t="shared" si="9"/>
        <v>1920.6999999999998</v>
      </c>
      <c r="J56" s="114">
        <f t="shared" si="9"/>
        <v>0</v>
      </c>
      <c r="K56" s="111">
        <f>K57</f>
        <v>0</v>
      </c>
      <c r="L56" s="114">
        <f t="shared" si="9"/>
        <v>0</v>
      </c>
      <c r="M56" s="111">
        <f t="shared" si="9"/>
        <v>2047.1</v>
      </c>
      <c r="N56" s="111">
        <f t="shared" si="9"/>
        <v>-126.39999999999999</v>
      </c>
      <c r="O56" s="111">
        <f t="shared" si="9"/>
        <v>1920.6999999999998</v>
      </c>
      <c r="P56" s="97">
        <f t="shared" si="0"/>
        <v>1920.6999999999998</v>
      </c>
      <c r="Q56" s="97">
        <f t="shared" si="1"/>
        <v>0</v>
      </c>
    </row>
    <row r="57" spans="1:17" ht="31.5" x14ac:dyDescent="0.2">
      <c r="A57" s="40"/>
      <c r="B57" s="113" t="s">
        <v>80</v>
      </c>
      <c r="C57" s="113" t="s">
        <v>51</v>
      </c>
      <c r="D57" s="133" t="s">
        <v>79</v>
      </c>
      <c r="E57" s="133" t="s">
        <v>81</v>
      </c>
      <c r="F57" s="134" t="s">
        <v>11</v>
      </c>
      <c r="G57" s="111">
        <f t="shared" si="9"/>
        <v>2047.1</v>
      </c>
      <c r="H57" s="111">
        <f t="shared" si="9"/>
        <v>-126.39999999999999</v>
      </c>
      <c r="I57" s="111">
        <f t="shared" si="9"/>
        <v>1920.6999999999998</v>
      </c>
      <c r="J57" s="114">
        <f t="shared" si="9"/>
        <v>0</v>
      </c>
      <c r="K57" s="111">
        <f>K58</f>
        <v>0</v>
      </c>
      <c r="L57" s="114">
        <f t="shared" si="9"/>
        <v>0</v>
      </c>
      <c r="M57" s="111">
        <f t="shared" si="9"/>
        <v>2047.1</v>
      </c>
      <c r="N57" s="111">
        <f t="shared" si="9"/>
        <v>-126.39999999999999</v>
      </c>
      <c r="O57" s="111">
        <f t="shared" si="9"/>
        <v>1920.6999999999998</v>
      </c>
      <c r="P57" s="97">
        <f t="shared" si="0"/>
        <v>1920.6999999999998</v>
      </c>
      <c r="Q57" s="97">
        <f t="shared" si="1"/>
        <v>0</v>
      </c>
    </row>
    <row r="58" spans="1:17" ht="31.5" x14ac:dyDescent="0.2">
      <c r="A58" s="40"/>
      <c r="B58" s="113" t="s">
        <v>82</v>
      </c>
      <c r="C58" s="113" t="s">
        <v>51</v>
      </c>
      <c r="D58" s="133" t="s">
        <v>79</v>
      </c>
      <c r="E58" s="133" t="s">
        <v>83</v>
      </c>
      <c r="F58" s="134" t="s">
        <v>11</v>
      </c>
      <c r="G58" s="111">
        <f>G59</f>
        <v>2047.1</v>
      </c>
      <c r="H58" s="109">
        <f>H59</f>
        <v>-126.39999999999999</v>
      </c>
      <c r="I58" s="111">
        <f>I59</f>
        <v>1920.6999999999998</v>
      </c>
      <c r="J58" s="114">
        <f t="shared" si="9"/>
        <v>0</v>
      </c>
      <c r="K58" s="111"/>
      <c r="L58" s="114">
        <f t="shared" si="9"/>
        <v>0</v>
      </c>
      <c r="M58" s="111">
        <f t="shared" si="9"/>
        <v>2047.1</v>
      </c>
      <c r="N58" s="111">
        <f t="shared" si="9"/>
        <v>-126.39999999999999</v>
      </c>
      <c r="O58" s="111">
        <f t="shared" si="9"/>
        <v>1920.6999999999998</v>
      </c>
      <c r="P58" s="97">
        <f t="shared" si="0"/>
        <v>1920.6999999999998</v>
      </c>
      <c r="Q58" s="97">
        <f t="shared" si="1"/>
        <v>0</v>
      </c>
    </row>
    <row r="59" spans="1:17" ht="15.75" x14ac:dyDescent="0.2">
      <c r="A59" s="40"/>
      <c r="B59" s="113" t="s">
        <v>70</v>
      </c>
      <c r="C59" s="113" t="s">
        <v>51</v>
      </c>
      <c r="D59" s="133" t="s">
        <v>79</v>
      </c>
      <c r="E59" s="133" t="s">
        <v>83</v>
      </c>
      <c r="F59" s="134" t="s">
        <v>71</v>
      </c>
      <c r="G59" s="111">
        <v>2047.1</v>
      </c>
      <c r="H59" s="109">
        <f>-45.7-1.8-51.1-27.8</f>
        <v>-126.39999999999999</v>
      </c>
      <c r="I59" s="111">
        <f>SUM(G59)+H59</f>
        <v>1920.6999999999998</v>
      </c>
      <c r="J59" s="115">
        <v>0</v>
      </c>
      <c r="K59" s="109"/>
      <c r="L59" s="115">
        <v>0</v>
      </c>
      <c r="M59" s="111">
        <f>SUM(G59)</f>
        <v>2047.1</v>
      </c>
      <c r="N59" s="111">
        <f>SUM(H59)</f>
        <v>-126.39999999999999</v>
      </c>
      <c r="O59" s="111">
        <f>SUM(I59)</f>
        <v>1920.6999999999998</v>
      </c>
      <c r="P59" s="97">
        <f t="shared" si="0"/>
        <v>1920.6999999999998</v>
      </c>
      <c r="Q59" s="97">
        <f t="shared" si="1"/>
        <v>0</v>
      </c>
    </row>
    <row r="60" spans="1:17" ht="15.75" x14ac:dyDescent="0.2">
      <c r="A60" s="33" t="s">
        <v>84</v>
      </c>
      <c r="B60" s="110" t="s">
        <v>85</v>
      </c>
      <c r="C60" s="110" t="s">
        <v>51</v>
      </c>
      <c r="D60" s="131" t="s">
        <v>86</v>
      </c>
      <c r="E60" s="131" t="s">
        <v>11</v>
      </c>
      <c r="F60" s="132" t="s">
        <v>11</v>
      </c>
      <c r="G60" s="109">
        <f>G61+G66+G71+G91+G113+G109</f>
        <v>64492.500000000007</v>
      </c>
      <c r="H60" s="109">
        <f>H61+H66+H71+H91+H114+H109</f>
        <v>4453.7</v>
      </c>
      <c r="I60" s="109">
        <f>I61+I66+I71+I91+I113+I109</f>
        <v>68946.2</v>
      </c>
      <c r="J60" s="112">
        <f>J61+J66+J71+J91+J113</f>
        <v>100</v>
      </c>
      <c r="K60" s="111">
        <f>K61+K71</f>
        <v>0</v>
      </c>
      <c r="L60" s="112">
        <f>L61+L66+L71+L91+L113</f>
        <v>100</v>
      </c>
      <c r="M60" s="109">
        <f>M61+M66+M71+M91+M113+M109</f>
        <v>64592.500000000007</v>
      </c>
      <c r="N60" s="109">
        <f>N61+N66+N71+N91+N113+N109</f>
        <v>4453.7</v>
      </c>
      <c r="O60" s="109">
        <f>O61+O66+O71+O91+O113+O109</f>
        <v>69046.2</v>
      </c>
      <c r="P60" s="97">
        <f t="shared" si="0"/>
        <v>68946.200000000012</v>
      </c>
      <c r="Q60" s="97">
        <f t="shared" si="1"/>
        <v>0</v>
      </c>
    </row>
    <row r="61" spans="1:17" ht="31.5" x14ac:dyDescent="0.2">
      <c r="A61" s="40"/>
      <c r="B61" s="113" t="s">
        <v>87</v>
      </c>
      <c r="C61" s="113" t="s">
        <v>51</v>
      </c>
      <c r="D61" s="133" t="s">
        <v>86</v>
      </c>
      <c r="E61" s="133" t="s">
        <v>88</v>
      </c>
      <c r="F61" s="134" t="s">
        <v>11</v>
      </c>
      <c r="G61" s="111">
        <f t="shared" ref="G61:O64" si="10">G62</f>
        <v>80</v>
      </c>
      <c r="H61" s="111">
        <f t="shared" si="10"/>
        <v>250</v>
      </c>
      <c r="I61" s="111">
        <f t="shared" si="10"/>
        <v>330</v>
      </c>
      <c r="J61" s="114">
        <f t="shared" si="10"/>
        <v>0</v>
      </c>
      <c r="K61" s="111">
        <f>K62</f>
        <v>0</v>
      </c>
      <c r="L61" s="114">
        <f t="shared" si="10"/>
        <v>0</v>
      </c>
      <c r="M61" s="111">
        <f t="shared" si="10"/>
        <v>80</v>
      </c>
      <c r="N61" s="111">
        <f t="shared" si="10"/>
        <v>250</v>
      </c>
      <c r="O61" s="111">
        <f t="shared" si="10"/>
        <v>330</v>
      </c>
      <c r="P61" s="97">
        <f t="shared" si="0"/>
        <v>330</v>
      </c>
      <c r="Q61" s="97">
        <f t="shared" si="1"/>
        <v>0</v>
      </c>
    </row>
    <row r="62" spans="1:17" ht="47.25" x14ac:dyDescent="0.2">
      <c r="A62" s="40"/>
      <c r="B62" s="113" t="s">
        <v>89</v>
      </c>
      <c r="C62" s="113" t="s">
        <v>51</v>
      </c>
      <c r="D62" s="133" t="s">
        <v>86</v>
      </c>
      <c r="E62" s="133" t="s">
        <v>90</v>
      </c>
      <c r="F62" s="134" t="s">
        <v>11</v>
      </c>
      <c r="G62" s="111">
        <f t="shared" si="10"/>
        <v>80</v>
      </c>
      <c r="H62" s="111">
        <f t="shared" si="10"/>
        <v>250</v>
      </c>
      <c r="I62" s="111">
        <f t="shared" si="10"/>
        <v>330</v>
      </c>
      <c r="J62" s="114">
        <f t="shared" si="10"/>
        <v>0</v>
      </c>
      <c r="K62" s="111">
        <f>K63</f>
        <v>0</v>
      </c>
      <c r="L62" s="114">
        <f t="shared" si="10"/>
        <v>0</v>
      </c>
      <c r="M62" s="111">
        <f t="shared" si="10"/>
        <v>80</v>
      </c>
      <c r="N62" s="111">
        <f t="shared" si="10"/>
        <v>250</v>
      </c>
      <c r="O62" s="111">
        <f t="shared" si="10"/>
        <v>330</v>
      </c>
      <c r="P62" s="97">
        <f t="shared" si="0"/>
        <v>330</v>
      </c>
      <c r="Q62" s="97">
        <f t="shared" si="1"/>
        <v>0</v>
      </c>
    </row>
    <row r="63" spans="1:17" ht="81.599999999999994" customHeight="1" x14ac:dyDescent="0.2">
      <c r="A63" s="40"/>
      <c r="B63" s="113" t="s">
        <v>91</v>
      </c>
      <c r="C63" s="113" t="s">
        <v>51</v>
      </c>
      <c r="D63" s="133" t="s">
        <v>86</v>
      </c>
      <c r="E63" s="133" t="s">
        <v>92</v>
      </c>
      <c r="F63" s="134" t="s">
        <v>11</v>
      </c>
      <c r="G63" s="111">
        <f t="shared" si="10"/>
        <v>80</v>
      </c>
      <c r="H63" s="111">
        <f t="shared" si="10"/>
        <v>250</v>
      </c>
      <c r="I63" s="111">
        <f t="shared" si="10"/>
        <v>330</v>
      </c>
      <c r="J63" s="114">
        <f t="shared" si="10"/>
        <v>0</v>
      </c>
      <c r="K63" s="111">
        <f>K64</f>
        <v>0</v>
      </c>
      <c r="L63" s="114">
        <f t="shared" si="10"/>
        <v>0</v>
      </c>
      <c r="M63" s="111">
        <f t="shared" si="10"/>
        <v>80</v>
      </c>
      <c r="N63" s="111">
        <f t="shared" si="10"/>
        <v>250</v>
      </c>
      <c r="O63" s="111">
        <f t="shared" si="10"/>
        <v>330</v>
      </c>
      <c r="P63" s="97">
        <f t="shared" si="0"/>
        <v>330</v>
      </c>
      <c r="Q63" s="97">
        <f t="shared" si="1"/>
        <v>0</v>
      </c>
    </row>
    <row r="64" spans="1:17" ht="47.25" x14ac:dyDescent="0.2">
      <c r="A64" s="40"/>
      <c r="B64" s="113" t="s">
        <v>93</v>
      </c>
      <c r="C64" s="113" t="s">
        <v>51</v>
      </c>
      <c r="D64" s="133" t="s">
        <v>86</v>
      </c>
      <c r="E64" s="133" t="s">
        <v>94</v>
      </c>
      <c r="F64" s="134" t="s">
        <v>11</v>
      </c>
      <c r="G64" s="111">
        <f>G65</f>
        <v>80</v>
      </c>
      <c r="H64" s="111">
        <f>H65</f>
        <v>250</v>
      </c>
      <c r="I64" s="111">
        <f>I65</f>
        <v>330</v>
      </c>
      <c r="J64" s="114">
        <f t="shared" si="10"/>
        <v>0</v>
      </c>
      <c r="K64" s="111"/>
      <c r="L64" s="114">
        <f t="shared" si="10"/>
        <v>0</v>
      </c>
      <c r="M64" s="111">
        <f t="shared" si="10"/>
        <v>80</v>
      </c>
      <c r="N64" s="111">
        <f t="shared" si="10"/>
        <v>250</v>
      </c>
      <c r="O64" s="111">
        <f t="shared" si="10"/>
        <v>330</v>
      </c>
      <c r="P64" s="97">
        <f t="shared" si="0"/>
        <v>330</v>
      </c>
      <c r="Q64" s="97">
        <f t="shared" si="1"/>
        <v>0</v>
      </c>
    </row>
    <row r="65" spans="1:17" ht="47.25" x14ac:dyDescent="0.2">
      <c r="A65" s="40"/>
      <c r="B65" s="113" t="s">
        <v>95</v>
      </c>
      <c r="C65" s="113" t="s">
        <v>51</v>
      </c>
      <c r="D65" s="133" t="s">
        <v>86</v>
      </c>
      <c r="E65" s="133" t="s">
        <v>94</v>
      </c>
      <c r="F65" s="134" t="s">
        <v>96</v>
      </c>
      <c r="G65" s="111">
        <v>80</v>
      </c>
      <c r="H65" s="111">
        <v>250</v>
      </c>
      <c r="I65" s="111">
        <f>G65+H65</f>
        <v>330</v>
      </c>
      <c r="J65" s="115"/>
      <c r="K65" s="111"/>
      <c r="L65" s="115"/>
      <c r="M65" s="111">
        <v>80</v>
      </c>
      <c r="N65" s="111">
        <f>H65+K65</f>
        <v>250</v>
      </c>
      <c r="O65" s="111">
        <f>I65+L65</f>
        <v>330</v>
      </c>
      <c r="P65" s="97">
        <f t="shared" si="0"/>
        <v>330</v>
      </c>
      <c r="Q65" s="97">
        <f t="shared" si="1"/>
        <v>0</v>
      </c>
    </row>
    <row r="66" spans="1:17" ht="31.5" x14ac:dyDescent="0.2">
      <c r="A66" s="40"/>
      <c r="B66" s="113" t="s">
        <v>97</v>
      </c>
      <c r="C66" s="113" t="s">
        <v>51</v>
      </c>
      <c r="D66" s="133" t="s">
        <v>86</v>
      </c>
      <c r="E66" s="133" t="s">
        <v>98</v>
      </c>
      <c r="F66" s="134" t="s">
        <v>11</v>
      </c>
      <c r="G66" s="111">
        <f t="shared" ref="G66:O69" si="11">G67</f>
        <v>3500</v>
      </c>
      <c r="H66" s="111">
        <f t="shared" si="11"/>
        <v>0</v>
      </c>
      <c r="I66" s="111">
        <f t="shared" si="11"/>
        <v>3500</v>
      </c>
      <c r="J66" s="114">
        <f t="shared" si="11"/>
        <v>0</v>
      </c>
      <c r="K66" s="111">
        <f>K67</f>
        <v>0</v>
      </c>
      <c r="L66" s="114">
        <f t="shared" si="11"/>
        <v>0</v>
      </c>
      <c r="M66" s="111">
        <f t="shared" si="11"/>
        <v>3500</v>
      </c>
      <c r="N66" s="111">
        <f t="shared" si="11"/>
        <v>0</v>
      </c>
      <c r="O66" s="111">
        <f t="shared" si="11"/>
        <v>3500</v>
      </c>
      <c r="P66" s="97">
        <f t="shared" si="0"/>
        <v>3500</v>
      </c>
      <c r="Q66" s="97">
        <f t="shared" si="1"/>
        <v>0</v>
      </c>
    </row>
    <row r="67" spans="1:17" ht="15.75" x14ac:dyDescent="0.2">
      <c r="A67" s="40"/>
      <c r="B67" s="113" t="s">
        <v>99</v>
      </c>
      <c r="C67" s="113" t="s">
        <v>51</v>
      </c>
      <c r="D67" s="133" t="s">
        <v>86</v>
      </c>
      <c r="E67" s="133" t="s">
        <v>100</v>
      </c>
      <c r="F67" s="134" t="s">
        <v>11</v>
      </c>
      <c r="G67" s="111">
        <f t="shared" si="11"/>
        <v>3500</v>
      </c>
      <c r="H67" s="111">
        <f t="shared" si="11"/>
        <v>0</v>
      </c>
      <c r="I67" s="111">
        <f t="shared" si="11"/>
        <v>3500</v>
      </c>
      <c r="J67" s="114">
        <f t="shared" si="11"/>
        <v>0</v>
      </c>
      <c r="K67" s="111">
        <f>K68</f>
        <v>0</v>
      </c>
      <c r="L67" s="114">
        <f t="shared" si="11"/>
        <v>0</v>
      </c>
      <c r="M67" s="111">
        <f t="shared" si="11"/>
        <v>3500</v>
      </c>
      <c r="N67" s="111">
        <f t="shared" si="11"/>
        <v>0</v>
      </c>
      <c r="O67" s="111">
        <f t="shared" si="11"/>
        <v>3500</v>
      </c>
      <c r="P67" s="97">
        <f t="shared" si="0"/>
        <v>3500</v>
      </c>
      <c r="Q67" s="97">
        <f t="shared" si="1"/>
        <v>0</v>
      </c>
    </row>
    <row r="68" spans="1:17" ht="31.5" x14ac:dyDescent="0.2">
      <c r="A68" s="40"/>
      <c r="B68" s="113" t="s">
        <v>101</v>
      </c>
      <c r="C68" s="113" t="s">
        <v>51</v>
      </c>
      <c r="D68" s="133" t="s">
        <v>86</v>
      </c>
      <c r="E68" s="133" t="s">
        <v>102</v>
      </c>
      <c r="F68" s="134" t="s">
        <v>11</v>
      </c>
      <c r="G68" s="111">
        <f t="shared" si="11"/>
        <v>3500</v>
      </c>
      <c r="H68" s="111">
        <f t="shared" si="11"/>
        <v>0</v>
      </c>
      <c r="I68" s="111">
        <f t="shared" si="11"/>
        <v>3500</v>
      </c>
      <c r="J68" s="114">
        <f t="shared" si="11"/>
        <v>0</v>
      </c>
      <c r="K68" s="111">
        <f>K69</f>
        <v>0</v>
      </c>
      <c r="L68" s="114">
        <f t="shared" si="11"/>
        <v>0</v>
      </c>
      <c r="M68" s="111">
        <f t="shared" si="11"/>
        <v>3500</v>
      </c>
      <c r="N68" s="111">
        <f t="shared" si="11"/>
        <v>0</v>
      </c>
      <c r="O68" s="111">
        <f t="shared" si="11"/>
        <v>3500</v>
      </c>
      <c r="P68" s="97">
        <f t="shared" si="0"/>
        <v>3500</v>
      </c>
      <c r="Q68" s="97">
        <f t="shared" si="1"/>
        <v>0</v>
      </c>
    </row>
    <row r="69" spans="1:17" ht="36.6" customHeight="1" x14ac:dyDescent="0.2">
      <c r="A69" s="40"/>
      <c r="B69" s="113" t="s">
        <v>103</v>
      </c>
      <c r="C69" s="113" t="s">
        <v>51</v>
      </c>
      <c r="D69" s="133" t="s">
        <v>86</v>
      </c>
      <c r="E69" s="133" t="s">
        <v>104</v>
      </c>
      <c r="F69" s="134" t="s">
        <v>11</v>
      </c>
      <c r="G69" s="111">
        <f>G70</f>
        <v>3500</v>
      </c>
      <c r="H69" s="111"/>
      <c r="I69" s="111">
        <f>I70</f>
        <v>3500</v>
      </c>
      <c r="J69" s="114">
        <f t="shared" si="11"/>
        <v>0</v>
      </c>
      <c r="K69" s="111"/>
      <c r="L69" s="114">
        <f t="shared" si="11"/>
        <v>0</v>
      </c>
      <c r="M69" s="111">
        <f t="shared" si="11"/>
        <v>3500</v>
      </c>
      <c r="N69" s="111">
        <f t="shared" si="11"/>
        <v>0</v>
      </c>
      <c r="O69" s="111">
        <f t="shared" si="11"/>
        <v>3500</v>
      </c>
      <c r="P69" s="97">
        <f t="shared" si="0"/>
        <v>3500</v>
      </c>
      <c r="Q69" s="97">
        <f t="shared" si="1"/>
        <v>0</v>
      </c>
    </row>
    <row r="70" spans="1:17" ht="31.5" x14ac:dyDescent="0.2">
      <c r="A70" s="40"/>
      <c r="B70" s="113" t="s">
        <v>40</v>
      </c>
      <c r="C70" s="113" t="s">
        <v>51</v>
      </c>
      <c r="D70" s="133" t="s">
        <v>86</v>
      </c>
      <c r="E70" s="133" t="s">
        <v>104</v>
      </c>
      <c r="F70" s="134" t="s">
        <v>41</v>
      </c>
      <c r="G70" s="111">
        <v>3500</v>
      </c>
      <c r="H70" s="111"/>
      <c r="I70" s="111">
        <v>3500</v>
      </c>
      <c r="J70" s="115">
        <v>0</v>
      </c>
      <c r="K70" s="111"/>
      <c r="L70" s="115">
        <v>0</v>
      </c>
      <c r="M70" s="111">
        <v>3500</v>
      </c>
      <c r="N70" s="111"/>
      <c r="O70" s="111">
        <v>3500</v>
      </c>
      <c r="P70" s="97">
        <f t="shared" si="0"/>
        <v>3500</v>
      </c>
      <c r="Q70" s="97">
        <f t="shared" si="1"/>
        <v>0</v>
      </c>
    </row>
    <row r="71" spans="1:17" ht="47.25" x14ac:dyDescent="0.2">
      <c r="A71" s="40"/>
      <c r="B71" s="113" t="s">
        <v>105</v>
      </c>
      <c r="C71" s="113" t="s">
        <v>51</v>
      </c>
      <c r="D71" s="133" t="s">
        <v>86</v>
      </c>
      <c r="E71" s="133" t="s">
        <v>106</v>
      </c>
      <c r="F71" s="134" t="s">
        <v>11</v>
      </c>
      <c r="G71" s="111">
        <f>G72+G79+G83</f>
        <v>5988.4</v>
      </c>
      <c r="H71" s="111">
        <f>H72+H83+H79</f>
        <v>1600</v>
      </c>
      <c r="I71" s="111">
        <f>I72+I79+I83</f>
        <v>7588.4</v>
      </c>
      <c r="J71" s="114">
        <f>J72+J79+J83</f>
        <v>100</v>
      </c>
      <c r="K71" s="111">
        <f>K72+K83</f>
        <v>0</v>
      </c>
      <c r="L71" s="114">
        <f>L72+L79+L83</f>
        <v>100</v>
      </c>
      <c r="M71" s="111">
        <f>M72+M79+M83</f>
        <v>6088.4</v>
      </c>
      <c r="N71" s="111">
        <f>N72+N79+N83</f>
        <v>1600</v>
      </c>
      <c r="O71" s="111">
        <f>O72+O79+O83</f>
        <v>7688.4</v>
      </c>
      <c r="P71" s="97">
        <f t="shared" si="0"/>
        <v>7588.4</v>
      </c>
      <c r="Q71" s="97">
        <f t="shared" si="1"/>
        <v>0</v>
      </c>
    </row>
    <row r="72" spans="1:17" ht="31.5" x14ac:dyDescent="0.2">
      <c r="A72" s="40"/>
      <c r="B72" s="113" t="s">
        <v>107</v>
      </c>
      <c r="C72" s="113" t="s">
        <v>51</v>
      </c>
      <c r="D72" s="133" t="s">
        <v>86</v>
      </c>
      <c r="E72" s="133" t="s">
        <v>108</v>
      </c>
      <c r="F72" s="134" t="s">
        <v>11</v>
      </c>
      <c r="G72" s="111">
        <f>G73</f>
        <v>2328.4</v>
      </c>
      <c r="H72" s="111">
        <f>H73</f>
        <v>0</v>
      </c>
      <c r="I72" s="111">
        <f>I73</f>
        <v>2328.4</v>
      </c>
      <c r="J72" s="114">
        <f>J73</f>
        <v>0</v>
      </c>
      <c r="K72" s="111">
        <f>K73+K76</f>
        <v>0</v>
      </c>
      <c r="L72" s="114">
        <f>L73</f>
        <v>0</v>
      </c>
      <c r="M72" s="111">
        <f>M73</f>
        <v>2328.4</v>
      </c>
      <c r="N72" s="111">
        <f>N73</f>
        <v>0</v>
      </c>
      <c r="O72" s="111">
        <f>O73</f>
        <v>2328.4</v>
      </c>
      <c r="P72" s="97">
        <f t="shared" si="0"/>
        <v>2328.4</v>
      </c>
      <c r="Q72" s="97">
        <f t="shared" si="1"/>
        <v>0</v>
      </c>
    </row>
    <row r="73" spans="1:17" ht="31.5" x14ac:dyDescent="0.2">
      <c r="A73" s="40"/>
      <c r="B73" s="113" t="s">
        <v>109</v>
      </c>
      <c r="C73" s="113" t="s">
        <v>51</v>
      </c>
      <c r="D73" s="133" t="s">
        <v>86</v>
      </c>
      <c r="E73" s="133" t="s">
        <v>110</v>
      </c>
      <c r="F73" s="134" t="s">
        <v>11</v>
      </c>
      <c r="G73" s="111">
        <f>G74+G77</f>
        <v>2328.4</v>
      </c>
      <c r="H73" s="111">
        <f>H74</f>
        <v>0</v>
      </c>
      <c r="I73" s="111">
        <f>I74+I77</f>
        <v>2328.4</v>
      </c>
      <c r="J73" s="114">
        <f>J74+J77</f>
        <v>0</v>
      </c>
      <c r="K73" s="111">
        <f>K74</f>
        <v>0</v>
      </c>
      <c r="L73" s="114">
        <f>L74+L77</f>
        <v>0</v>
      </c>
      <c r="M73" s="111">
        <f>M74+M77</f>
        <v>2328.4</v>
      </c>
      <c r="N73" s="111">
        <f>N74+N77</f>
        <v>0</v>
      </c>
      <c r="O73" s="111">
        <f>O74+O77</f>
        <v>2328.4</v>
      </c>
      <c r="P73" s="97">
        <f t="shared" si="0"/>
        <v>2328.4</v>
      </c>
      <c r="Q73" s="97">
        <f t="shared" si="1"/>
        <v>0</v>
      </c>
    </row>
    <row r="74" spans="1:17" ht="31.5" x14ac:dyDescent="0.2">
      <c r="A74" s="40"/>
      <c r="B74" s="113" t="s">
        <v>107</v>
      </c>
      <c r="C74" s="113" t="s">
        <v>51</v>
      </c>
      <c r="D74" s="133" t="s">
        <v>86</v>
      </c>
      <c r="E74" s="133" t="s">
        <v>111</v>
      </c>
      <c r="F74" s="134" t="s">
        <v>11</v>
      </c>
      <c r="G74" s="111">
        <f>G76+G75</f>
        <v>2318.4</v>
      </c>
      <c r="H74" s="111">
        <f>H76</f>
        <v>0</v>
      </c>
      <c r="I74" s="111">
        <f>I76+I75</f>
        <v>2318.4</v>
      </c>
      <c r="J74" s="114">
        <f>J76</f>
        <v>0</v>
      </c>
      <c r="K74" s="111"/>
      <c r="L74" s="114">
        <f>L76</f>
        <v>0</v>
      </c>
      <c r="M74" s="111">
        <f>M76+M75</f>
        <v>2318.4</v>
      </c>
      <c r="N74" s="111">
        <f>N76</f>
        <v>0</v>
      </c>
      <c r="O74" s="111">
        <f>O76+O75</f>
        <v>2318.4</v>
      </c>
      <c r="P74" s="97">
        <f t="shared" si="0"/>
        <v>2318.4</v>
      </c>
      <c r="Q74" s="97">
        <f t="shared" si="1"/>
        <v>0</v>
      </c>
    </row>
    <row r="75" spans="1:17" ht="31.5" x14ac:dyDescent="0.2">
      <c r="A75" s="40"/>
      <c r="B75" s="113" t="s">
        <v>40</v>
      </c>
      <c r="C75" s="113" t="s">
        <v>51</v>
      </c>
      <c r="D75" s="133" t="s">
        <v>86</v>
      </c>
      <c r="E75" s="133" t="s">
        <v>111</v>
      </c>
      <c r="F75" s="134">
        <v>200</v>
      </c>
      <c r="G75" s="111">
        <v>232.4</v>
      </c>
      <c r="H75" s="111"/>
      <c r="I75" s="111">
        <f>SUM(G75)</f>
        <v>232.4</v>
      </c>
      <c r="J75" s="114"/>
      <c r="K75" s="111"/>
      <c r="L75" s="114"/>
      <c r="M75" s="111">
        <f>SUM(G75)</f>
        <v>232.4</v>
      </c>
      <c r="N75" s="111"/>
      <c r="O75" s="111">
        <f>SUM(I75)</f>
        <v>232.4</v>
      </c>
      <c r="P75" s="97">
        <f t="shared" si="0"/>
        <v>232.4</v>
      </c>
      <c r="Q75" s="97">
        <f t="shared" si="1"/>
        <v>0</v>
      </c>
    </row>
    <row r="76" spans="1:17" ht="31.5" x14ac:dyDescent="0.2">
      <c r="A76" s="40"/>
      <c r="B76" s="113" t="s">
        <v>112</v>
      </c>
      <c r="C76" s="113" t="s">
        <v>51</v>
      </c>
      <c r="D76" s="133" t="s">
        <v>86</v>
      </c>
      <c r="E76" s="133" t="s">
        <v>111</v>
      </c>
      <c r="F76" s="134" t="s">
        <v>113</v>
      </c>
      <c r="G76" s="111">
        <v>2086</v>
      </c>
      <c r="H76" s="111"/>
      <c r="I76" s="111">
        <f>SUM(G76:H76)</f>
        <v>2086</v>
      </c>
      <c r="J76" s="115">
        <v>0</v>
      </c>
      <c r="K76" s="111"/>
      <c r="L76" s="115">
        <v>0</v>
      </c>
      <c r="M76" s="111">
        <f>SUM(G76)</f>
        <v>2086</v>
      </c>
      <c r="N76" s="111">
        <f>H76+K76</f>
        <v>0</v>
      </c>
      <c r="O76" s="111">
        <f>SUM(M76:N76)</f>
        <v>2086</v>
      </c>
      <c r="P76" s="97">
        <f t="shared" si="0"/>
        <v>2086</v>
      </c>
      <c r="Q76" s="97">
        <f t="shared" si="1"/>
        <v>0</v>
      </c>
    </row>
    <row r="77" spans="1:17" ht="31.5" x14ac:dyDescent="0.2">
      <c r="A77" s="40"/>
      <c r="B77" s="113" t="s">
        <v>114</v>
      </c>
      <c r="C77" s="113" t="s">
        <v>51</v>
      </c>
      <c r="D77" s="133" t="s">
        <v>86</v>
      </c>
      <c r="E77" s="133" t="s">
        <v>115</v>
      </c>
      <c r="F77" s="134" t="s">
        <v>11</v>
      </c>
      <c r="G77" s="111">
        <f>G78</f>
        <v>10</v>
      </c>
      <c r="H77" s="111"/>
      <c r="I77" s="111">
        <f>I78</f>
        <v>10</v>
      </c>
      <c r="J77" s="114">
        <f>J78</f>
        <v>0</v>
      </c>
      <c r="K77" s="111"/>
      <c r="L77" s="114">
        <f>L78</f>
        <v>0</v>
      </c>
      <c r="M77" s="111">
        <f>M78</f>
        <v>10</v>
      </c>
      <c r="N77" s="111">
        <f>N78</f>
        <v>0</v>
      </c>
      <c r="O77" s="111">
        <f>O78</f>
        <v>10</v>
      </c>
      <c r="P77" s="97">
        <f t="shared" si="0"/>
        <v>10</v>
      </c>
      <c r="Q77" s="97">
        <f t="shared" si="1"/>
        <v>0</v>
      </c>
    </row>
    <row r="78" spans="1:17" ht="31.5" x14ac:dyDescent="0.2">
      <c r="A78" s="40"/>
      <c r="B78" s="113" t="s">
        <v>112</v>
      </c>
      <c r="C78" s="113" t="s">
        <v>51</v>
      </c>
      <c r="D78" s="133" t="s">
        <v>86</v>
      </c>
      <c r="E78" s="133" t="s">
        <v>115</v>
      </c>
      <c r="F78" s="134" t="s">
        <v>113</v>
      </c>
      <c r="G78" s="111">
        <v>10</v>
      </c>
      <c r="H78" s="111"/>
      <c r="I78" s="111">
        <v>10</v>
      </c>
      <c r="J78" s="115">
        <v>0</v>
      </c>
      <c r="K78" s="111"/>
      <c r="L78" s="115">
        <v>0</v>
      </c>
      <c r="M78" s="111">
        <v>10</v>
      </c>
      <c r="N78" s="111"/>
      <c r="O78" s="111">
        <v>10</v>
      </c>
      <c r="P78" s="97">
        <f t="shared" si="0"/>
        <v>10</v>
      </c>
      <c r="Q78" s="97">
        <f t="shared" si="1"/>
        <v>0</v>
      </c>
    </row>
    <row r="79" spans="1:17" ht="31.5" x14ac:dyDescent="0.2">
      <c r="A79" s="40"/>
      <c r="B79" s="113" t="s">
        <v>116</v>
      </c>
      <c r="C79" s="113" t="s">
        <v>51</v>
      </c>
      <c r="D79" s="133" t="s">
        <v>86</v>
      </c>
      <c r="E79" s="133" t="s">
        <v>117</v>
      </c>
      <c r="F79" s="134" t="s">
        <v>11</v>
      </c>
      <c r="G79" s="111">
        <f t="shared" ref="G79:O81" si="12">G80</f>
        <v>150</v>
      </c>
      <c r="H79" s="111">
        <f t="shared" si="12"/>
        <v>0</v>
      </c>
      <c r="I79" s="111">
        <f t="shared" si="12"/>
        <v>150</v>
      </c>
      <c r="J79" s="114">
        <f t="shared" si="12"/>
        <v>0</v>
      </c>
      <c r="K79" s="111">
        <f>K80</f>
        <v>0</v>
      </c>
      <c r="L79" s="114">
        <f t="shared" si="12"/>
        <v>0</v>
      </c>
      <c r="M79" s="111">
        <f t="shared" si="12"/>
        <v>150</v>
      </c>
      <c r="N79" s="111">
        <f t="shared" si="12"/>
        <v>0</v>
      </c>
      <c r="O79" s="111">
        <f t="shared" si="12"/>
        <v>150</v>
      </c>
      <c r="P79" s="97">
        <f t="shared" si="0"/>
        <v>150</v>
      </c>
      <c r="Q79" s="97">
        <f t="shared" si="1"/>
        <v>0</v>
      </c>
    </row>
    <row r="80" spans="1:17" ht="63" x14ac:dyDescent="0.2">
      <c r="A80" s="40"/>
      <c r="B80" s="113" t="s">
        <v>118</v>
      </c>
      <c r="C80" s="113" t="s">
        <v>51</v>
      </c>
      <c r="D80" s="133" t="s">
        <v>86</v>
      </c>
      <c r="E80" s="133" t="s">
        <v>119</v>
      </c>
      <c r="F80" s="134" t="s">
        <v>11</v>
      </c>
      <c r="G80" s="111">
        <f t="shared" si="12"/>
        <v>150</v>
      </c>
      <c r="H80" s="111">
        <f t="shared" si="12"/>
        <v>0</v>
      </c>
      <c r="I80" s="111">
        <f t="shared" si="12"/>
        <v>150</v>
      </c>
      <c r="J80" s="114">
        <f t="shared" si="12"/>
        <v>0</v>
      </c>
      <c r="K80" s="111">
        <f>K81</f>
        <v>0</v>
      </c>
      <c r="L80" s="114">
        <f t="shared" si="12"/>
        <v>0</v>
      </c>
      <c r="M80" s="111">
        <f t="shared" si="12"/>
        <v>150</v>
      </c>
      <c r="N80" s="111">
        <f t="shared" si="12"/>
        <v>0</v>
      </c>
      <c r="O80" s="111">
        <f t="shared" si="12"/>
        <v>150</v>
      </c>
      <c r="P80" s="97">
        <f t="shared" si="0"/>
        <v>150</v>
      </c>
      <c r="Q80" s="97">
        <f t="shared" si="1"/>
        <v>0</v>
      </c>
    </row>
    <row r="81" spans="1:17" ht="47.25" x14ac:dyDescent="0.2">
      <c r="A81" s="40"/>
      <c r="B81" s="113" t="s">
        <v>120</v>
      </c>
      <c r="C81" s="113" t="s">
        <v>51</v>
      </c>
      <c r="D81" s="133" t="s">
        <v>86</v>
      </c>
      <c r="E81" s="133" t="s">
        <v>121</v>
      </c>
      <c r="F81" s="134" t="s">
        <v>11</v>
      </c>
      <c r="G81" s="111">
        <f>G82</f>
        <v>150</v>
      </c>
      <c r="H81" s="111"/>
      <c r="I81" s="111">
        <f>I82</f>
        <v>150</v>
      </c>
      <c r="J81" s="114">
        <f t="shared" si="12"/>
        <v>0</v>
      </c>
      <c r="K81" s="111"/>
      <c r="L81" s="114">
        <f t="shared" si="12"/>
        <v>0</v>
      </c>
      <c r="M81" s="111">
        <f t="shared" si="12"/>
        <v>150</v>
      </c>
      <c r="N81" s="111">
        <f t="shared" si="12"/>
        <v>0</v>
      </c>
      <c r="O81" s="111">
        <f t="shared" si="12"/>
        <v>150</v>
      </c>
      <c r="P81" s="97">
        <f t="shared" si="0"/>
        <v>150</v>
      </c>
      <c r="Q81" s="97">
        <f t="shared" si="1"/>
        <v>0</v>
      </c>
    </row>
    <row r="82" spans="1:17" ht="31.5" x14ac:dyDescent="0.2">
      <c r="A82" s="40"/>
      <c r="B82" s="113" t="s">
        <v>40</v>
      </c>
      <c r="C82" s="113" t="s">
        <v>51</v>
      </c>
      <c r="D82" s="133" t="s">
        <v>86</v>
      </c>
      <c r="E82" s="133" t="s">
        <v>121</v>
      </c>
      <c r="F82" s="134" t="s">
        <v>41</v>
      </c>
      <c r="G82" s="111">
        <v>150</v>
      </c>
      <c r="H82" s="111"/>
      <c r="I82" s="111">
        <v>150</v>
      </c>
      <c r="J82" s="115">
        <v>0</v>
      </c>
      <c r="K82" s="111"/>
      <c r="L82" s="115">
        <v>0</v>
      </c>
      <c r="M82" s="111">
        <v>150</v>
      </c>
      <c r="N82" s="111"/>
      <c r="O82" s="111">
        <v>150</v>
      </c>
      <c r="P82" s="97">
        <f t="shared" si="0"/>
        <v>150</v>
      </c>
      <c r="Q82" s="97">
        <f t="shared" si="1"/>
        <v>0</v>
      </c>
    </row>
    <row r="83" spans="1:17" ht="31.5" x14ac:dyDescent="0.2">
      <c r="A83" s="40"/>
      <c r="B83" s="113" t="s">
        <v>122</v>
      </c>
      <c r="C83" s="113" t="s">
        <v>51</v>
      </c>
      <c r="D83" s="133" t="s">
        <v>86</v>
      </c>
      <c r="E83" s="133" t="s">
        <v>123</v>
      </c>
      <c r="F83" s="134" t="s">
        <v>11</v>
      </c>
      <c r="G83" s="111">
        <f t="shared" ref="G83:O84" si="13">G84</f>
        <v>3510</v>
      </c>
      <c r="H83" s="111">
        <f t="shared" si="13"/>
        <v>1600</v>
      </c>
      <c r="I83" s="111">
        <f t="shared" si="13"/>
        <v>5110</v>
      </c>
      <c r="J83" s="114">
        <f t="shared" ref="J83:O83" si="14">J84+J88</f>
        <v>100</v>
      </c>
      <c r="K83" s="111">
        <f t="shared" si="14"/>
        <v>0</v>
      </c>
      <c r="L83" s="111">
        <f t="shared" si="14"/>
        <v>100</v>
      </c>
      <c r="M83" s="111">
        <f t="shared" si="14"/>
        <v>3610</v>
      </c>
      <c r="N83" s="111">
        <f t="shared" si="14"/>
        <v>1600</v>
      </c>
      <c r="O83" s="111">
        <f t="shared" si="14"/>
        <v>5210</v>
      </c>
      <c r="P83" s="97">
        <f t="shared" si="0"/>
        <v>5110</v>
      </c>
      <c r="Q83" s="97">
        <f t="shared" si="1"/>
        <v>0</v>
      </c>
    </row>
    <row r="84" spans="1:17" ht="110.25" x14ac:dyDescent="0.2">
      <c r="A84" s="40"/>
      <c r="B84" s="113" t="s">
        <v>124</v>
      </c>
      <c r="C84" s="113" t="s">
        <v>51</v>
      </c>
      <c r="D84" s="133" t="s">
        <v>86</v>
      </c>
      <c r="E84" s="133" t="s">
        <v>125</v>
      </c>
      <c r="F84" s="134" t="s">
        <v>11</v>
      </c>
      <c r="G84" s="111">
        <f t="shared" si="13"/>
        <v>3510</v>
      </c>
      <c r="H84" s="111">
        <f>H85</f>
        <v>1600</v>
      </c>
      <c r="I84" s="111">
        <f t="shared" si="13"/>
        <v>5110</v>
      </c>
      <c r="J84" s="114">
        <f t="shared" si="13"/>
        <v>0</v>
      </c>
      <c r="K84" s="111">
        <f>K85+K86</f>
        <v>0</v>
      </c>
      <c r="L84" s="114">
        <f t="shared" si="13"/>
        <v>0</v>
      </c>
      <c r="M84" s="111">
        <f t="shared" si="13"/>
        <v>3510</v>
      </c>
      <c r="N84" s="111">
        <f t="shared" si="13"/>
        <v>1600</v>
      </c>
      <c r="O84" s="111">
        <f t="shared" si="13"/>
        <v>5110</v>
      </c>
      <c r="P84" s="97">
        <f t="shared" si="0"/>
        <v>5110</v>
      </c>
      <c r="Q84" s="97">
        <f t="shared" si="1"/>
        <v>0</v>
      </c>
    </row>
    <row r="85" spans="1:17" ht="31.5" x14ac:dyDescent="0.2">
      <c r="A85" s="40"/>
      <c r="B85" s="113" t="s">
        <v>126</v>
      </c>
      <c r="C85" s="113" t="s">
        <v>51</v>
      </c>
      <c r="D85" s="133" t="s">
        <v>86</v>
      </c>
      <c r="E85" s="133" t="s">
        <v>127</v>
      </c>
      <c r="F85" s="134" t="s">
        <v>11</v>
      </c>
      <c r="G85" s="111">
        <f>G86+G87</f>
        <v>3510</v>
      </c>
      <c r="H85" s="111">
        <f>H86+H87</f>
        <v>1600</v>
      </c>
      <c r="I85" s="111">
        <f>I86+I87</f>
        <v>5110</v>
      </c>
      <c r="J85" s="114">
        <f>J86+J87</f>
        <v>0</v>
      </c>
      <c r="K85" s="111"/>
      <c r="L85" s="114">
        <f>L86+L87</f>
        <v>0</v>
      </c>
      <c r="M85" s="111">
        <f>M86+M87</f>
        <v>3510</v>
      </c>
      <c r="N85" s="111">
        <f>N86+N87</f>
        <v>1600</v>
      </c>
      <c r="O85" s="111">
        <f>O86+O87</f>
        <v>5110</v>
      </c>
      <c r="P85" s="97">
        <f t="shared" si="0"/>
        <v>5110</v>
      </c>
      <c r="Q85" s="97">
        <f t="shared" si="1"/>
        <v>0</v>
      </c>
    </row>
    <row r="86" spans="1:17" ht="31.5" x14ac:dyDescent="0.2">
      <c r="A86" s="40"/>
      <c r="B86" s="113" t="s">
        <v>40</v>
      </c>
      <c r="C86" s="113" t="s">
        <v>51</v>
      </c>
      <c r="D86" s="133" t="s">
        <v>86</v>
      </c>
      <c r="E86" s="133" t="s">
        <v>127</v>
      </c>
      <c r="F86" s="134" t="s">
        <v>41</v>
      </c>
      <c r="G86" s="111">
        <v>3446.8</v>
      </c>
      <c r="H86" s="111">
        <v>1600</v>
      </c>
      <c r="I86" s="111">
        <f>SUM(G86:H86)</f>
        <v>5046.8</v>
      </c>
      <c r="J86" s="115">
        <v>0</v>
      </c>
      <c r="K86" s="111"/>
      <c r="L86" s="115">
        <v>0</v>
      </c>
      <c r="M86" s="111">
        <f>SUM(G86)</f>
        <v>3446.8</v>
      </c>
      <c r="N86" s="111">
        <f>SUM(H86)</f>
        <v>1600</v>
      </c>
      <c r="O86" s="111">
        <f>SUM(I86)</f>
        <v>5046.8</v>
      </c>
      <c r="P86" s="97">
        <f t="shared" ref="P86:P149" si="15">G86+H86</f>
        <v>5046.8</v>
      </c>
      <c r="Q86" s="97">
        <f t="shared" ref="Q86:Q149" si="16">I86-P86</f>
        <v>0</v>
      </c>
    </row>
    <row r="87" spans="1:17" ht="15.75" x14ac:dyDescent="0.2">
      <c r="A87" s="40"/>
      <c r="B87" s="113" t="s">
        <v>70</v>
      </c>
      <c r="C87" s="113" t="s">
        <v>51</v>
      </c>
      <c r="D87" s="133" t="s">
        <v>86</v>
      </c>
      <c r="E87" s="133" t="s">
        <v>127</v>
      </c>
      <c r="F87" s="134" t="s">
        <v>71</v>
      </c>
      <c r="G87" s="111">
        <v>63.2</v>
      </c>
      <c r="H87" s="111"/>
      <c r="I87" s="111">
        <v>63.2</v>
      </c>
      <c r="J87" s="115">
        <v>0</v>
      </c>
      <c r="K87" s="111"/>
      <c r="L87" s="115">
        <v>0</v>
      </c>
      <c r="M87" s="111">
        <v>63.2</v>
      </c>
      <c r="N87" s="111"/>
      <c r="O87" s="111">
        <v>63.2</v>
      </c>
      <c r="P87" s="97">
        <f t="shared" si="15"/>
        <v>63.2</v>
      </c>
      <c r="Q87" s="97">
        <f t="shared" si="16"/>
        <v>0</v>
      </c>
    </row>
    <row r="88" spans="1:17" ht="47.25" x14ac:dyDescent="0.2">
      <c r="A88" s="40"/>
      <c r="B88" s="113" t="s">
        <v>564</v>
      </c>
      <c r="C88" s="113">
        <v>992</v>
      </c>
      <c r="D88" s="133" t="s">
        <v>86</v>
      </c>
      <c r="E88" s="133">
        <v>1030200000</v>
      </c>
      <c r="F88" s="134"/>
      <c r="G88" s="111"/>
      <c r="H88" s="111"/>
      <c r="I88" s="111"/>
      <c r="J88" s="115">
        <f t="shared" ref="J88:L89" si="17">SUM(J89)</f>
        <v>100</v>
      </c>
      <c r="K88" s="111">
        <f t="shared" si="17"/>
        <v>0</v>
      </c>
      <c r="L88" s="111">
        <f t="shared" si="17"/>
        <v>100</v>
      </c>
      <c r="M88" s="111">
        <f>SUM(J88)</f>
        <v>100</v>
      </c>
      <c r="N88" s="111">
        <f t="shared" ref="N88:O90" si="18">SUM(K88)</f>
        <v>0</v>
      </c>
      <c r="O88" s="111">
        <f t="shared" si="18"/>
        <v>100</v>
      </c>
      <c r="P88" s="97">
        <f t="shared" si="15"/>
        <v>0</v>
      </c>
      <c r="Q88" s="97">
        <f t="shared" si="16"/>
        <v>0</v>
      </c>
    </row>
    <row r="89" spans="1:17" ht="47.25" x14ac:dyDescent="0.2">
      <c r="A89" s="40"/>
      <c r="B89" s="113" t="s">
        <v>565</v>
      </c>
      <c r="C89" s="113">
        <v>992</v>
      </c>
      <c r="D89" s="133" t="s">
        <v>86</v>
      </c>
      <c r="E89" s="133">
        <v>1030222500</v>
      </c>
      <c r="F89" s="134"/>
      <c r="G89" s="111"/>
      <c r="H89" s="111"/>
      <c r="I89" s="111"/>
      <c r="J89" s="115">
        <f t="shared" si="17"/>
        <v>100</v>
      </c>
      <c r="K89" s="111">
        <f t="shared" si="17"/>
        <v>0</v>
      </c>
      <c r="L89" s="111">
        <f t="shared" si="17"/>
        <v>100</v>
      </c>
      <c r="M89" s="111">
        <f>SUM(J89)</f>
        <v>100</v>
      </c>
      <c r="N89" s="111">
        <f t="shared" si="18"/>
        <v>0</v>
      </c>
      <c r="O89" s="111">
        <f t="shared" si="18"/>
        <v>100</v>
      </c>
      <c r="P89" s="97">
        <f t="shared" si="15"/>
        <v>0</v>
      </c>
      <c r="Q89" s="97">
        <f t="shared" si="16"/>
        <v>0</v>
      </c>
    </row>
    <row r="90" spans="1:17" ht="31.5" x14ac:dyDescent="0.2">
      <c r="A90" s="40"/>
      <c r="B90" s="113" t="s">
        <v>40</v>
      </c>
      <c r="C90" s="113">
        <v>992</v>
      </c>
      <c r="D90" s="133" t="s">
        <v>86</v>
      </c>
      <c r="E90" s="133">
        <v>1030222500</v>
      </c>
      <c r="F90" s="134">
        <v>200</v>
      </c>
      <c r="G90" s="111"/>
      <c r="H90" s="111"/>
      <c r="I90" s="111"/>
      <c r="J90" s="115">
        <v>100</v>
      </c>
      <c r="K90" s="111"/>
      <c r="L90" s="115">
        <f>SUM(J90)</f>
        <v>100</v>
      </c>
      <c r="M90" s="111">
        <f>SUM(J90)</f>
        <v>100</v>
      </c>
      <c r="N90" s="111">
        <f t="shared" si="18"/>
        <v>0</v>
      </c>
      <c r="O90" s="111">
        <f t="shared" si="18"/>
        <v>100</v>
      </c>
      <c r="P90" s="97">
        <f t="shared" si="15"/>
        <v>0</v>
      </c>
      <c r="Q90" s="97">
        <f t="shared" si="16"/>
        <v>0</v>
      </c>
    </row>
    <row r="91" spans="1:17" ht="31.5" x14ac:dyDescent="0.2">
      <c r="A91" s="40"/>
      <c r="B91" s="113" t="s">
        <v>128</v>
      </c>
      <c r="C91" s="113" t="s">
        <v>51</v>
      </c>
      <c r="D91" s="133" t="s">
        <v>86</v>
      </c>
      <c r="E91" s="133" t="s">
        <v>129</v>
      </c>
      <c r="F91" s="134" t="s">
        <v>11</v>
      </c>
      <c r="G91" s="111">
        <f>G92+G105</f>
        <v>54014.700000000004</v>
      </c>
      <c r="H91" s="111">
        <f>H92+H105</f>
        <v>1998.7</v>
      </c>
      <c r="I91" s="111">
        <f>I92+I105</f>
        <v>56013.4</v>
      </c>
      <c r="J91" s="114">
        <f>J92+J105</f>
        <v>0</v>
      </c>
      <c r="K91" s="111">
        <f>K92+K97</f>
        <v>0</v>
      </c>
      <c r="L91" s="114">
        <f>L92+L105</f>
        <v>0</v>
      </c>
      <c r="M91" s="111">
        <f>M92+M105</f>
        <v>54014.700000000004</v>
      </c>
      <c r="N91" s="111">
        <f>N92+N105</f>
        <v>1998.7</v>
      </c>
      <c r="O91" s="111">
        <f>O92+O105</f>
        <v>56013.4</v>
      </c>
      <c r="P91" s="97">
        <f t="shared" si="15"/>
        <v>56013.4</v>
      </c>
      <c r="Q91" s="97">
        <f t="shared" si="16"/>
        <v>0</v>
      </c>
    </row>
    <row r="92" spans="1:17" ht="15.75" x14ac:dyDescent="0.2">
      <c r="A92" s="40"/>
      <c r="B92" s="113" t="s">
        <v>130</v>
      </c>
      <c r="C92" s="113" t="s">
        <v>51</v>
      </c>
      <c r="D92" s="133" t="s">
        <v>86</v>
      </c>
      <c r="E92" s="133" t="s">
        <v>131</v>
      </c>
      <c r="F92" s="134" t="s">
        <v>11</v>
      </c>
      <c r="G92" s="111">
        <f>G93+G98</f>
        <v>53814.700000000004</v>
      </c>
      <c r="H92" s="111">
        <f>H93+H98</f>
        <v>1998.7</v>
      </c>
      <c r="I92" s="111">
        <f>I93+I98</f>
        <v>55813.4</v>
      </c>
      <c r="J92" s="114">
        <f>J93+J98</f>
        <v>0</v>
      </c>
      <c r="K92" s="111">
        <f>K93</f>
        <v>0</v>
      </c>
      <c r="L92" s="114">
        <f>L93+L98</f>
        <v>0</v>
      </c>
      <c r="M92" s="111">
        <f>M93+M98</f>
        <v>53814.700000000004</v>
      </c>
      <c r="N92" s="111">
        <f>N93+N98</f>
        <v>1998.7</v>
      </c>
      <c r="O92" s="111">
        <f>O93+O98</f>
        <v>55813.4</v>
      </c>
      <c r="P92" s="97">
        <f t="shared" si="15"/>
        <v>55813.4</v>
      </c>
      <c r="Q92" s="97">
        <f t="shared" si="16"/>
        <v>0</v>
      </c>
    </row>
    <row r="93" spans="1:17" ht="15.75" x14ac:dyDescent="0.2">
      <c r="A93" s="40"/>
      <c r="B93" s="113" t="s">
        <v>132</v>
      </c>
      <c r="C93" s="113" t="s">
        <v>51</v>
      </c>
      <c r="D93" s="133" t="s">
        <v>86</v>
      </c>
      <c r="E93" s="133" t="s">
        <v>133</v>
      </c>
      <c r="F93" s="134" t="s">
        <v>11</v>
      </c>
      <c r="G93" s="111">
        <f>G94</f>
        <v>40652.300000000003</v>
      </c>
      <c r="H93" s="111">
        <f>SUM(H94)</f>
        <v>1923.2</v>
      </c>
      <c r="I93" s="111">
        <f>I94</f>
        <v>42575.5</v>
      </c>
      <c r="J93" s="114">
        <f>J94</f>
        <v>0</v>
      </c>
      <c r="K93" s="111">
        <f>K94+K95+K96</f>
        <v>0</v>
      </c>
      <c r="L93" s="114">
        <f>L94</f>
        <v>0</v>
      </c>
      <c r="M93" s="111">
        <f>M94</f>
        <v>40652.300000000003</v>
      </c>
      <c r="N93" s="111">
        <f>N94</f>
        <v>1923.2</v>
      </c>
      <c r="O93" s="111">
        <f>O94</f>
        <v>42575.5</v>
      </c>
      <c r="P93" s="97">
        <f t="shared" si="15"/>
        <v>42575.5</v>
      </c>
      <c r="Q93" s="97">
        <f t="shared" si="16"/>
        <v>0</v>
      </c>
    </row>
    <row r="94" spans="1:17" ht="31.5" x14ac:dyDescent="0.2">
      <c r="A94" s="40"/>
      <c r="B94" s="113" t="s">
        <v>134</v>
      </c>
      <c r="C94" s="113" t="s">
        <v>51</v>
      </c>
      <c r="D94" s="133" t="s">
        <v>86</v>
      </c>
      <c r="E94" s="133" t="s">
        <v>135</v>
      </c>
      <c r="F94" s="134" t="s">
        <v>11</v>
      </c>
      <c r="G94" s="111">
        <f>G95+G96+G97</f>
        <v>40652.300000000003</v>
      </c>
      <c r="H94" s="111">
        <f>SUM(H95:H97)</f>
        <v>1923.2</v>
      </c>
      <c r="I94" s="111">
        <f>I95+I96+I97</f>
        <v>42575.5</v>
      </c>
      <c r="J94" s="114">
        <f>J95+J96+J97</f>
        <v>0</v>
      </c>
      <c r="K94" s="111"/>
      <c r="L94" s="114">
        <f>L95+L96+L97</f>
        <v>0</v>
      </c>
      <c r="M94" s="111">
        <f>M95+M96+M97</f>
        <v>40652.300000000003</v>
      </c>
      <c r="N94" s="111">
        <f>N95+N96+N97</f>
        <v>1923.2</v>
      </c>
      <c r="O94" s="111">
        <f>O95+O96+O97</f>
        <v>42575.5</v>
      </c>
      <c r="P94" s="97">
        <f t="shared" si="15"/>
        <v>42575.5</v>
      </c>
      <c r="Q94" s="97">
        <f t="shared" si="16"/>
        <v>0</v>
      </c>
    </row>
    <row r="95" spans="1:17" ht="37.9" customHeight="1" x14ac:dyDescent="0.2">
      <c r="A95" s="40"/>
      <c r="B95" s="113" t="s">
        <v>61</v>
      </c>
      <c r="C95" s="113" t="s">
        <v>51</v>
      </c>
      <c r="D95" s="133" t="s">
        <v>86</v>
      </c>
      <c r="E95" s="133" t="s">
        <v>135</v>
      </c>
      <c r="F95" s="134" t="s">
        <v>62</v>
      </c>
      <c r="G95" s="111">
        <v>27266.5</v>
      </c>
      <c r="H95" s="111">
        <f>260+318</f>
        <v>578</v>
      </c>
      <c r="I95" s="111">
        <f>SUM(G95)+H95</f>
        <v>27844.5</v>
      </c>
      <c r="J95" s="115">
        <v>0</v>
      </c>
      <c r="K95" s="111"/>
      <c r="L95" s="115">
        <v>0</v>
      </c>
      <c r="M95" s="111">
        <f t="shared" ref="M95:O96" si="19">SUM(G95)</f>
        <v>27266.5</v>
      </c>
      <c r="N95" s="111">
        <f t="shared" si="19"/>
        <v>578</v>
      </c>
      <c r="O95" s="111">
        <f t="shared" si="19"/>
        <v>27844.5</v>
      </c>
      <c r="P95" s="97">
        <f t="shared" si="15"/>
        <v>27844.5</v>
      </c>
      <c r="Q95" s="97">
        <f t="shared" si="16"/>
        <v>0</v>
      </c>
    </row>
    <row r="96" spans="1:17" ht="31.5" x14ac:dyDescent="0.2">
      <c r="A96" s="40"/>
      <c r="B96" s="113" t="s">
        <v>40</v>
      </c>
      <c r="C96" s="113" t="s">
        <v>51</v>
      </c>
      <c r="D96" s="133" t="s">
        <v>86</v>
      </c>
      <c r="E96" s="133" t="s">
        <v>135</v>
      </c>
      <c r="F96" s="134" t="s">
        <v>41</v>
      </c>
      <c r="G96" s="111">
        <v>13308.4</v>
      </c>
      <c r="H96" s="111">
        <f>1000-260+605.2</f>
        <v>1345.2</v>
      </c>
      <c r="I96" s="111">
        <f>SUM(G96)+H96</f>
        <v>14653.6</v>
      </c>
      <c r="J96" s="115">
        <v>0</v>
      </c>
      <c r="K96" s="111"/>
      <c r="L96" s="115">
        <v>0</v>
      </c>
      <c r="M96" s="111">
        <f t="shared" si="19"/>
        <v>13308.4</v>
      </c>
      <c r="N96" s="111">
        <f t="shared" si="19"/>
        <v>1345.2</v>
      </c>
      <c r="O96" s="111">
        <f t="shared" si="19"/>
        <v>14653.6</v>
      </c>
      <c r="P96" s="97">
        <f t="shared" si="15"/>
        <v>14653.6</v>
      </c>
      <c r="Q96" s="97">
        <f t="shared" si="16"/>
        <v>0</v>
      </c>
    </row>
    <row r="97" spans="1:17" ht="15.75" x14ac:dyDescent="0.2">
      <c r="A97" s="40"/>
      <c r="B97" s="113" t="s">
        <v>70</v>
      </c>
      <c r="C97" s="113" t="s">
        <v>51</v>
      </c>
      <c r="D97" s="133" t="s">
        <v>86</v>
      </c>
      <c r="E97" s="133" t="s">
        <v>135</v>
      </c>
      <c r="F97" s="134" t="s">
        <v>71</v>
      </c>
      <c r="G97" s="111">
        <v>77.400000000000006</v>
      </c>
      <c r="H97" s="111"/>
      <c r="I97" s="111">
        <v>77.400000000000006</v>
      </c>
      <c r="J97" s="115">
        <v>0</v>
      </c>
      <c r="K97" s="111"/>
      <c r="L97" s="115">
        <v>0</v>
      </c>
      <c r="M97" s="111">
        <v>77.400000000000006</v>
      </c>
      <c r="N97" s="111"/>
      <c r="O97" s="111">
        <v>77.400000000000006</v>
      </c>
      <c r="P97" s="97">
        <f t="shared" si="15"/>
        <v>77.400000000000006</v>
      </c>
      <c r="Q97" s="97">
        <f t="shared" si="16"/>
        <v>0</v>
      </c>
    </row>
    <row r="98" spans="1:17" ht="31.5" x14ac:dyDescent="0.2">
      <c r="A98" s="40"/>
      <c r="B98" s="113" t="s">
        <v>136</v>
      </c>
      <c r="C98" s="113" t="s">
        <v>51</v>
      </c>
      <c r="D98" s="133" t="s">
        <v>86</v>
      </c>
      <c r="E98" s="133" t="s">
        <v>137</v>
      </c>
      <c r="F98" s="134" t="s">
        <v>11</v>
      </c>
      <c r="G98" s="111">
        <f>G99+G102</f>
        <v>13162.4</v>
      </c>
      <c r="H98" s="111">
        <f>H99+H102</f>
        <v>75.5</v>
      </c>
      <c r="I98" s="111">
        <f>I99+I102</f>
        <v>13237.9</v>
      </c>
      <c r="J98" s="114">
        <f>J99+J102</f>
        <v>0</v>
      </c>
      <c r="K98" s="111">
        <f>K99+K100</f>
        <v>0</v>
      </c>
      <c r="L98" s="114">
        <f>L99+L102</f>
        <v>0</v>
      </c>
      <c r="M98" s="111">
        <f>M99+M102</f>
        <v>13162.4</v>
      </c>
      <c r="N98" s="111">
        <f>N99+N102</f>
        <v>75.5</v>
      </c>
      <c r="O98" s="111">
        <f>O99+O102</f>
        <v>13237.9</v>
      </c>
      <c r="P98" s="97">
        <f t="shared" si="15"/>
        <v>13237.9</v>
      </c>
      <c r="Q98" s="97">
        <f t="shared" si="16"/>
        <v>0</v>
      </c>
    </row>
    <row r="99" spans="1:17" ht="31.5" x14ac:dyDescent="0.2">
      <c r="A99" s="40"/>
      <c r="B99" s="113" t="s">
        <v>134</v>
      </c>
      <c r="C99" s="113" t="s">
        <v>51</v>
      </c>
      <c r="D99" s="133" t="s">
        <v>86</v>
      </c>
      <c r="E99" s="133" t="s">
        <v>138</v>
      </c>
      <c r="F99" s="134" t="s">
        <v>11</v>
      </c>
      <c r="G99" s="111">
        <f>G100+G101</f>
        <v>10245</v>
      </c>
      <c r="H99" s="111">
        <f>SUM(H100)+H101</f>
        <v>0</v>
      </c>
      <c r="I99" s="111">
        <f>I100+I101+H99</f>
        <v>10245</v>
      </c>
      <c r="J99" s="114">
        <f>J100+J101</f>
        <v>0</v>
      </c>
      <c r="K99" s="111"/>
      <c r="L99" s="114">
        <f>L100+L101</f>
        <v>0</v>
      </c>
      <c r="M99" s="111">
        <f>M100+M101</f>
        <v>10245</v>
      </c>
      <c r="N99" s="111">
        <f>SUM(N100)+N101</f>
        <v>0</v>
      </c>
      <c r="O99" s="111">
        <f>O100+O101+N99</f>
        <v>10245</v>
      </c>
      <c r="P99" s="97">
        <f t="shared" si="15"/>
        <v>10245</v>
      </c>
      <c r="Q99" s="97">
        <f t="shared" si="16"/>
        <v>0</v>
      </c>
    </row>
    <row r="100" spans="1:17" ht="78.75" x14ac:dyDescent="0.2">
      <c r="A100" s="40"/>
      <c r="B100" s="113" t="s">
        <v>61</v>
      </c>
      <c r="C100" s="113" t="s">
        <v>51</v>
      </c>
      <c r="D100" s="133" t="s">
        <v>86</v>
      </c>
      <c r="E100" s="133" t="s">
        <v>138</v>
      </c>
      <c r="F100" s="134" t="s">
        <v>62</v>
      </c>
      <c r="G100" s="111">
        <v>9545</v>
      </c>
      <c r="H100" s="111"/>
      <c r="I100" s="111">
        <f>SUM(G100)+H100</f>
        <v>9545</v>
      </c>
      <c r="J100" s="115">
        <v>0</v>
      </c>
      <c r="K100" s="111"/>
      <c r="L100" s="115">
        <v>0</v>
      </c>
      <c r="M100" s="111">
        <f>SUM(G100)</f>
        <v>9545</v>
      </c>
      <c r="N100" s="111">
        <f>SUM(H100)</f>
        <v>0</v>
      </c>
      <c r="O100" s="111">
        <f>SUM(I100)</f>
        <v>9545</v>
      </c>
      <c r="P100" s="97">
        <f t="shared" si="15"/>
        <v>9545</v>
      </c>
      <c r="Q100" s="97">
        <f t="shared" si="16"/>
        <v>0</v>
      </c>
    </row>
    <row r="101" spans="1:17" ht="31.5" x14ac:dyDescent="0.2">
      <c r="A101" s="40"/>
      <c r="B101" s="113" t="s">
        <v>40</v>
      </c>
      <c r="C101" s="113" t="s">
        <v>51</v>
      </c>
      <c r="D101" s="133" t="s">
        <v>86</v>
      </c>
      <c r="E101" s="133" t="s">
        <v>138</v>
      </c>
      <c r="F101" s="134" t="s">
        <v>41</v>
      </c>
      <c r="G101" s="111">
        <v>700</v>
      </c>
      <c r="H101" s="111"/>
      <c r="I101" s="111">
        <f>700+H101</f>
        <v>700</v>
      </c>
      <c r="J101" s="115">
        <v>0</v>
      </c>
      <c r="K101" s="111"/>
      <c r="L101" s="115">
        <v>0</v>
      </c>
      <c r="M101" s="111">
        <v>700</v>
      </c>
      <c r="N101" s="111">
        <f>SUM(H101)</f>
        <v>0</v>
      </c>
      <c r="O101" s="111">
        <f>SUM(I101)</f>
        <v>700</v>
      </c>
      <c r="P101" s="97">
        <f t="shared" si="15"/>
        <v>700</v>
      </c>
      <c r="Q101" s="97">
        <f t="shared" si="16"/>
        <v>0</v>
      </c>
    </row>
    <row r="102" spans="1:17" ht="47.25" x14ac:dyDescent="0.2">
      <c r="A102" s="40"/>
      <c r="B102" s="113" t="s">
        <v>139</v>
      </c>
      <c r="C102" s="113" t="s">
        <v>51</v>
      </c>
      <c r="D102" s="133" t="s">
        <v>86</v>
      </c>
      <c r="E102" s="133" t="s">
        <v>140</v>
      </c>
      <c r="F102" s="134" t="s">
        <v>11</v>
      </c>
      <c r="G102" s="111">
        <f>G103+G104</f>
        <v>2917.4</v>
      </c>
      <c r="H102" s="111">
        <f>SUM(H103)+H104</f>
        <v>75.5</v>
      </c>
      <c r="I102" s="111">
        <f>I103+I104</f>
        <v>2992.9</v>
      </c>
      <c r="J102" s="114">
        <f>J103+J104</f>
        <v>0</v>
      </c>
      <c r="K102" s="111"/>
      <c r="L102" s="114">
        <f>L103+L104</f>
        <v>0</v>
      </c>
      <c r="M102" s="111">
        <f>M103+M104</f>
        <v>2917.4</v>
      </c>
      <c r="N102" s="111">
        <f>N103+N104</f>
        <v>75.5</v>
      </c>
      <c r="O102" s="111">
        <f>O103+O104</f>
        <v>2992.9</v>
      </c>
      <c r="P102" s="97">
        <f t="shared" si="15"/>
        <v>2992.9</v>
      </c>
      <c r="Q102" s="97">
        <f t="shared" si="16"/>
        <v>0</v>
      </c>
    </row>
    <row r="103" spans="1:17" ht="31.5" x14ac:dyDescent="0.2">
      <c r="A103" s="40"/>
      <c r="B103" s="113" t="s">
        <v>40</v>
      </c>
      <c r="C103" s="113" t="s">
        <v>51</v>
      </c>
      <c r="D103" s="133" t="s">
        <v>86</v>
      </c>
      <c r="E103" s="133" t="s">
        <v>140</v>
      </c>
      <c r="F103" s="134" t="s">
        <v>41</v>
      </c>
      <c r="G103" s="111">
        <v>1943</v>
      </c>
      <c r="H103" s="111">
        <f>-110.5+110.5-35</f>
        <v>-35</v>
      </c>
      <c r="I103" s="111">
        <f>SUM(G103)+H103</f>
        <v>1908</v>
      </c>
      <c r="J103" s="115">
        <v>0</v>
      </c>
      <c r="K103" s="111"/>
      <c r="L103" s="115">
        <v>0</v>
      </c>
      <c r="M103" s="111">
        <f t="shared" ref="M103:O104" si="20">SUM(G103)</f>
        <v>1943</v>
      </c>
      <c r="N103" s="111">
        <f t="shared" si="20"/>
        <v>-35</v>
      </c>
      <c r="O103" s="111">
        <f t="shared" si="20"/>
        <v>1908</v>
      </c>
      <c r="P103" s="97">
        <f t="shared" si="15"/>
        <v>1908</v>
      </c>
      <c r="Q103" s="97">
        <f t="shared" si="16"/>
        <v>0</v>
      </c>
    </row>
    <row r="104" spans="1:17" ht="15.75" x14ac:dyDescent="0.2">
      <c r="A104" s="40"/>
      <c r="B104" s="113" t="s">
        <v>70</v>
      </c>
      <c r="C104" s="113" t="s">
        <v>51</v>
      </c>
      <c r="D104" s="133" t="s">
        <v>86</v>
      </c>
      <c r="E104" s="133" t="s">
        <v>140</v>
      </c>
      <c r="F104" s="134" t="s">
        <v>71</v>
      </c>
      <c r="G104" s="111">
        <v>974.4</v>
      </c>
      <c r="H104" s="111">
        <v>110.5</v>
      </c>
      <c r="I104" s="111">
        <f>SUM(G104:H104)</f>
        <v>1084.9000000000001</v>
      </c>
      <c r="J104" s="115">
        <v>0</v>
      </c>
      <c r="K104" s="111"/>
      <c r="L104" s="115">
        <v>0</v>
      </c>
      <c r="M104" s="111">
        <f t="shared" si="20"/>
        <v>974.4</v>
      </c>
      <c r="N104" s="111">
        <f t="shared" si="20"/>
        <v>110.5</v>
      </c>
      <c r="O104" s="111">
        <f t="shared" si="20"/>
        <v>1084.9000000000001</v>
      </c>
      <c r="P104" s="97">
        <f t="shared" si="15"/>
        <v>1084.9000000000001</v>
      </c>
      <c r="Q104" s="97">
        <f t="shared" si="16"/>
        <v>0</v>
      </c>
    </row>
    <row r="105" spans="1:17" ht="15.75" x14ac:dyDescent="0.2">
      <c r="A105" s="40"/>
      <c r="B105" s="113" t="s">
        <v>141</v>
      </c>
      <c r="C105" s="113" t="s">
        <v>51</v>
      </c>
      <c r="D105" s="133" t="s">
        <v>86</v>
      </c>
      <c r="E105" s="133" t="s">
        <v>142</v>
      </c>
      <c r="F105" s="134" t="s">
        <v>11</v>
      </c>
      <c r="G105" s="111">
        <f t="shared" ref="G105:O107" si="21">G106</f>
        <v>200</v>
      </c>
      <c r="H105" s="111">
        <f t="shared" si="21"/>
        <v>0</v>
      </c>
      <c r="I105" s="111">
        <f t="shared" si="21"/>
        <v>200</v>
      </c>
      <c r="J105" s="114">
        <f t="shared" si="21"/>
        <v>0</v>
      </c>
      <c r="K105" s="111">
        <f>K106</f>
        <v>0</v>
      </c>
      <c r="L105" s="114">
        <f t="shared" si="21"/>
        <v>0</v>
      </c>
      <c r="M105" s="111">
        <f t="shared" si="21"/>
        <v>200</v>
      </c>
      <c r="N105" s="111">
        <f t="shared" si="21"/>
        <v>0</v>
      </c>
      <c r="O105" s="111">
        <f t="shared" si="21"/>
        <v>200</v>
      </c>
      <c r="P105" s="97">
        <f t="shared" si="15"/>
        <v>200</v>
      </c>
      <c r="Q105" s="97">
        <f t="shared" si="16"/>
        <v>0</v>
      </c>
    </row>
    <row r="106" spans="1:17" ht="47.25" x14ac:dyDescent="0.2">
      <c r="A106" s="40"/>
      <c r="B106" s="113" t="s">
        <v>143</v>
      </c>
      <c r="C106" s="113" t="s">
        <v>51</v>
      </c>
      <c r="D106" s="133" t="s">
        <v>86</v>
      </c>
      <c r="E106" s="133" t="s">
        <v>144</v>
      </c>
      <c r="F106" s="134" t="s">
        <v>11</v>
      </c>
      <c r="G106" s="111">
        <f t="shared" si="21"/>
        <v>200</v>
      </c>
      <c r="H106" s="111">
        <f t="shared" si="21"/>
        <v>0</v>
      </c>
      <c r="I106" s="111">
        <f t="shared" si="21"/>
        <v>200</v>
      </c>
      <c r="J106" s="114">
        <f t="shared" si="21"/>
        <v>0</v>
      </c>
      <c r="K106" s="111">
        <f>K107</f>
        <v>0</v>
      </c>
      <c r="L106" s="114">
        <f t="shared" si="21"/>
        <v>0</v>
      </c>
      <c r="M106" s="111">
        <f t="shared" si="21"/>
        <v>200</v>
      </c>
      <c r="N106" s="111">
        <f t="shared" si="21"/>
        <v>0</v>
      </c>
      <c r="O106" s="111">
        <f t="shared" si="21"/>
        <v>200</v>
      </c>
      <c r="P106" s="97">
        <f t="shared" si="15"/>
        <v>200</v>
      </c>
      <c r="Q106" s="97">
        <f t="shared" si="16"/>
        <v>0</v>
      </c>
    </row>
    <row r="107" spans="1:17" ht="31.5" x14ac:dyDescent="0.2">
      <c r="A107" s="40"/>
      <c r="B107" s="113" t="s">
        <v>145</v>
      </c>
      <c r="C107" s="113" t="s">
        <v>51</v>
      </c>
      <c r="D107" s="133" t="s">
        <v>86</v>
      </c>
      <c r="E107" s="133" t="s">
        <v>146</v>
      </c>
      <c r="F107" s="134" t="s">
        <v>11</v>
      </c>
      <c r="G107" s="111">
        <f>G108</f>
        <v>200</v>
      </c>
      <c r="H107" s="111"/>
      <c r="I107" s="111">
        <f>I108</f>
        <v>200</v>
      </c>
      <c r="J107" s="114">
        <f t="shared" si="21"/>
        <v>0</v>
      </c>
      <c r="K107" s="111"/>
      <c r="L107" s="114">
        <f t="shared" si="21"/>
        <v>0</v>
      </c>
      <c r="M107" s="111">
        <f t="shared" si="21"/>
        <v>200</v>
      </c>
      <c r="N107" s="111">
        <f t="shared" si="21"/>
        <v>0</v>
      </c>
      <c r="O107" s="111">
        <f t="shared" si="21"/>
        <v>200</v>
      </c>
      <c r="P107" s="97">
        <f t="shared" si="15"/>
        <v>200</v>
      </c>
      <c r="Q107" s="97">
        <f t="shared" si="16"/>
        <v>0</v>
      </c>
    </row>
    <row r="108" spans="1:17" ht="31.5" x14ac:dyDescent="0.2">
      <c r="A108" s="40"/>
      <c r="B108" s="113" t="s">
        <v>40</v>
      </c>
      <c r="C108" s="113" t="s">
        <v>51</v>
      </c>
      <c r="D108" s="133" t="s">
        <v>86</v>
      </c>
      <c r="E108" s="133" t="s">
        <v>146</v>
      </c>
      <c r="F108" s="134" t="s">
        <v>41</v>
      </c>
      <c r="G108" s="111">
        <v>200</v>
      </c>
      <c r="H108" s="111"/>
      <c r="I108" s="111">
        <v>200</v>
      </c>
      <c r="J108" s="115">
        <v>0</v>
      </c>
      <c r="K108" s="111">
        <f>K113</f>
        <v>0</v>
      </c>
      <c r="L108" s="115">
        <v>0</v>
      </c>
      <c r="M108" s="111">
        <v>200</v>
      </c>
      <c r="N108" s="111"/>
      <c r="O108" s="111">
        <v>200</v>
      </c>
      <c r="P108" s="97">
        <f t="shared" si="15"/>
        <v>200</v>
      </c>
      <c r="Q108" s="97">
        <f t="shared" si="16"/>
        <v>0</v>
      </c>
    </row>
    <row r="109" spans="1:17" ht="31.5" x14ac:dyDescent="0.2">
      <c r="A109" s="40"/>
      <c r="B109" s="118" t="s">
        <v>66</v>
      </c>
      <c r="C109" s="118" t="s">
        <v>51</v>
      </c>
      <c r="D109" s="136" t="s">
        <v>86</v>
      </c>
      <c r="E109" s="136" t="s">
        <v>67</v>
      </c>
      <c r="F109" s="134"/>
      <c r="G109" s="111">
        <f t="shared" ref="G109:O111" si="22">G110</f>
        <v>44.1</v>
      </c>
      <c r="H109" s="120">
        <f t="shared" si="22"/>
        <v>126.39999999999999</v>
      </c>
      <c r="I109" s="114">
        <f t="shared" si="22"/>
        <v>170.5</v>
      </c>
      <c r="J109" s="114">
        <f t="shared" si="22"/>
        <v>0</v>
      </c>
      <c r="K109" s="114">
        <f t="shared" si="22"/>
        <v>0</v>
      </c>
      <c r="L109" s="114">
        <f t="shared" si="22"/>
        <v>0</v>
      </c>
      <c r="M109" s="114">
        <f t="shared" si="22"/>
        <v>44.1</v>
      </c>
      <c r="N109" s="119">
        <f t="shared" si="22"/>
        <v>126.39999999999999</v>
      </c>
      <c r="O109" s="111">
        <f t="shared" si="22"/>
        <v>170.5</v>
      </c>
      <c r="P109" s="97">
        <f t="shared" si="15"/>
        <v>170.5</v>
      </c>
      <c r="Q109" s="97">
        <f t="shared" si="16"/>
        <v>0</v>
      </c>
    </row>
    <row r="110" spans="1:17" ht="31.5" x14ac:dyDescent="0.2">
      <c r="A110" s="40"/>
      <c r="B110" s="118" t="s">
        <v>80</v>
      </c>
      <c r="C110" s="118" t="s">
        <v>51</v>
      </c>
      <c r="D110" s="136" t="s">
        <v>86</v>
      </c>
      <c r="E110" s="136" t="s">
        <v>81</v>
      </c>
      <c r="F110" s="134"/>
      <c r="G110" s="111">
        <f t="shared" si="22"/>
        <v>44.1</v>
      </c>
      <c r="H110" s="120">
        <f t="shared" si="22"/>
        <v>126.39999999999999</v>
      </c>
      <c r="I110" s="114">
        <f t="shared" si="22"/>
        <v>170.5</v>
      </c>
      <c r="J110" s="114">
        <f t="shared" si="22"/>
        <v>0</v>
      </c>
      <c r="K110" s="114">
        <f t="shared" si="22"/>
        <v>0</v>
      </c>
      <c r="L110" s="114">
        <f t="shared" si="22"/>
        <v>0</v>
      </c>
      <c r="M110" s="114">
        <f t="shared" si="22"/>
        <v>44.1</v>
      </c>
      <c r="N110" s="119">
        <f t="shared" si="22"/>
        <v>126.39999999999999</v>
      </c>
      <c r="O110" s="111">
        <f t="shared" si="22"/>
        <v>170.5</v>
      </c>
      <c r="P110" s="97">
        <f t="shared" si="15"/>
        <v>170.5</v>
      </c>
      <c r="Q110" s="97">
        <f t="shared" si="16"/>
        <v>0</v>
      </c>
    </row>
    <row r="111" spans="1:17" ht="31.5" x14ac:dyDescent="0.2">
      <c r="A111" s="40"/>
      <c r="B111" s="118" t="s">
        <v>82</v>
      </c>
      <c r="C111" s="118" t="s">
        <v>51</v>
      </c>
      <c r="D111" s="136" t="s">
        <v>86</v>
      </c>
      <c r="E111" s="136" t="s">
        <v>83</v>
      </c>
      <c r="F111" s="134"/>
      <c r="G111" s="111">
        <f t="shared" si="22"/>
        <v>44.1</v>
      </c>
      <c r="H111" s="120">
        <f t="shared" si="22"/>
        <v>126.39999999999999</v>
      </c>
      <c r="I111" s="114">
        <f t="shared" si="22"/>
        <v>170.5</v>
      </c>
      <c r="J111" s="114">
        <f t="shared" si="22"/>
        <v>0</v>
      </c>
      <c r="K111" s="114">
        <f t="shared" si="22"/>
        <v>0</v>
      </c>
      <c r="L111" s="114">
        <f t="shared" si="22"/>
        <v>0</v>
      </c>
      <c r="M111" s="114">
        <f t="shared" si="22"/>
        <v>44.1</v>
      </c>
      <c r="N111" s="119">
        <f t="shared" si="22"/>
        <v>126.39999999999999</v>
      </c>
      <c r="O111" s="111">
        <f t="shared" si="22"/>
        <v>170.5</v>
      </c>
      <c r="P111" s="97">
        <f t="shared" si="15"/>
        <v>170.5</v>
      </c>
      <c r="Q111" s="97">
        <f t="shared" si="16"/>
        <v>0</v>
      </c>
    </row>
    <row r="112" spans="1:17" ht="31.5" x14ac:dyDescent="0.2">
      <c r="A112" s="40"/>
      <c r="B112" s="113" t="s">
        <v>40</v>
      </c>
      <c r="C112" s="118" t="s">
        <v>51</v>
      </c>
      <c r="D112" s="136" t="s">
        <v>86</v>
      </c>
      <c r="E112" s="136" t="s">
        <v>83</v>
      </c>
      <c r="F112" s="134">
        <v>200</v>
      </c>
      <c r="G112" s="111">
        <v>44.1</v>
      </c>
      <c r="H112" s="111">
        <f>45.7+1.8+51.1+27.8</f>
        <v>126.39999999999999</v>
      </c>
      <c r="I112" s="111">
        <f>SUM(G112:H112)</f>
        <v>170.5</v>
      </c>
      <c r="J112" s="115"/>
      <c r="K112" s="111"/>
      <c r="L112" s="115"/>
      <c r="M112" s="111">
        <f>G112+J112</f>
        <v>44.1</v>
      </c>
      <c r="N112" s="111">
        <f>H112+K112</f>
        <v>126.39999999999999</v>
      </c>
      <c r="O112" s="111">
        <f>SUM(M112:N112)</f>
        <v>170.5</v>
      </c>
      <c r="P112" s="97">
        <f t="shared" si="15"/>
        <v>170.5</v>
      </c>
      <c r="Q112" s="97">
        <f t="shared" si="16"/>
        <v>0</v>
      </c>
    </row>
    <row r="113" spans="1:18" ht="34.9" customHeight="1" x14ac:dyDescent="0.2">
      <c r="A113" s="40"/>
      <c r="B113" s="113" t="s">
        <v>147</v>
      </c>
      <c r="C113" s="113" t="s">
        <v>51</v>
      </c>
      <c r="D113" s="133" t="s">
        <v>86</v>
      </c>
      <c r="E113" s="133" t="s">
        <v>148</v>
      </c>
      <c r="F113" s="134" t="s">
        <v>11</v>
      </c>
      <c r="G113" s="111">
        <f t="shared" ref="G113:O115" si="23">G114</f>
        <v>865.3</v>
      </c>
      <c r="H113" s="111">
        <f t="shared" si="23"/>
        <v>478.6</v>
      </c>
      <c r="I113" s="111">
        <f t="shared" si="23"/>
        <v>1343.9</v>
      </c>
      <c r="J113" s="114">
        <f t="shared" si="23"/>
        <v>0</v>
      </c>
      <c r="K113" s="111">
        <f>K114</f>
        <v>0</v>
      </c>
      <c r="L113" s="114">
        <f t="shared" si="23"/>
        <v>0</v>
      </c>
      <c r="M113" s="111">
        <f t="shared" si="23"/>
        <v>865.3</v>
      </c>
      <c r="N113" s="111">
        <f t="shared" si="23"/>
        <v>478.6</v>
      </c>
      <c r="O113" s="111">
        <f t="shared" si="23"/>
        <v>1343.9</v>
      </c>
      <c r="P113" s="97">
        <f t="shared" si="15"/>
        <v>1343.9</v>
      </c>
      <c r="Q113" s="97">
        <f t="shared" si="16"/>
        <v>0</v>
      </c>
    </row>
    <row r="114" spans="1:18" ht="31.5" x14ac:dyDescent="0.2">
      <c r="A114" s="40"/>
      <c r="B114" s="113" t="s">
        <v>149</v>
      </c>
      <c r="C114" s="113" t="s">
        <v>51</v>
      </c>
      <c r="D114" s="133" t="s">
        <v>86</v>
      </c>
      <c r="E114" s="133" t="s">
        <v>150</v>
      </c>
      <c r="F114" s="134" t="s">
        <v>11</v>
      </c>
      <c r="G114" s="111">
        <f t="shared" si="23"/>
        <v>865.3</v>
      </c>
      <c r="H114" s="111">
        <f t="shared" si="23"/>
        <v>478.6</v>
      </c>
      <c r="I114" s="111">
        <f t="shared" si="23"/>
        <v>1343.9</v>
      </c>
      <c r="J114" s="114">
        <f t="shared" si="23"/>
        <v>0</v>
      </c>
      <c r="K114" s="111">
        <f>K115</f>
        <v>0</v>
      </c>
      <c r="L114" s="114">
        <f t="shared" si="23"/>
        <v>0</v>
      </c>
      <c r="M114" s="111">
        <f t="shared" si="23"/>
        <v>865.3</v>
      </c>
      <c r="N114" s="111">
        <f t="shared" si="23"/>
        <v>478.6</v>
      </c>
      <c r="O114" s="111">
        <f t="shared" si="23"/>
        <v>1343.9</v>
      </c>
      <c r="P114" s="97">
        <f t="shared" si="15"/>
        <v>1343.9</v>
      </c>
      <c r="Q114" s="97">
        <f t="shared" si="16"/>
        <v>0</v>
      </c>
    </row>
    <row r="115" spans="1:18" ht="31.5" x14ac:dyDescent="0.2">
      <c r="A115" s="40"/>
      <c r="B115" s="113" t="s">
        <v>151</v>
      </c>
      <c r="C115" s="113" t="s">
        <v>51</v>
      </c>
      <c r="D115" s="133" t="s">
        <v>86</v>
      </c>
      <c r="E115" s="133" t="s">
        <v>152</v>
      </c>
      <c r="F115" s="134" t="s">
        <v>11</v>
      </c>
      <c r="G115" s="111">
        <f>G116</f>
        <v>865.3</v>
      </c>
      <c r="H115" s="111">
        <f>SUM(H116)</f>
        <v>478.6</v>
      </c>
      <c r="I115" s="111">
        <f>I116</f>
        <v>1343.9</v>
      </c>
      <c r="J115" s="114">
        <f t="shared" si="23"/>
        <v>0</v>
      </c>
      <c r="K115" s="111"/>
      <c r="L115" s="114">
        <f t="shared" si="23"/>
        <v>0</v>
      </c>
      <c r="M115" s="111">
        <f t="shared" si="23"/>
        <v>865.3</v>
      </c>
      <c r="N115" s="111">
        <f t="shared" si="23"/>
        <v>478.6</v>
      </c>
      <c r="O115" s="111">
        <f t="shared" si="23"/>
        <v>1343.9</v>
      </c>
      <c r="P115" s="97">
        <f t="shared" si="15"/>
        <v>1343.9</v>
      </c>
      <c r="Q115" s="97">
        <f t="shared" si="16"/>
        <v>0</v>
      </c>
    </row>
    <row r="116" spans="1:18" ht="22.5" customHeight="1" x14ac:dyDescent="0.2">
      <c r="A116" s="40"/>
      <c r="B116" s="113" t="s">
        <v>70</v>
      </c>
      <c r="C116" s="113" t="s">
        <v>51</v>
      </c>
      <c r="D116" s="133" t="s">
        <v>86</v>
      </c>
      <c r="E116" s="133" t="s">
        <v>152</v>
      </c>
      <c r="F116" s="134" t="s">
        <v>71</v>
      </c>
      <c r="G116" s="111">
        <v>865.3</v>
      </c>
      <c r="H116" s="111">
        <f>23.3+35+400+20.3</f>
        <v>478.6</v>
      </c>
      <c r="I116" s="111">
        <f>SUM(G116)+H116</f>
        <v>1343.9</v>
      </c>
      <c r="J116" s="115">
        <v>0</v>
      </c>
      <c r="K116" s="106">
        <f>K117+K153</f>
        <v>0</v>
      </c>
      <c r="L116" s="115">
        <v>0</v>
      </c>
      <c r="M116" s="111">
        <f>SUM(G116)</f>
        <v>865.3</v>
      </c>
      <c r="N116" s="111">
        <f>SUM(H116)</f>
        <v>478.6</v>
      </c>
      <c r="O116" s="111">
        <f>SUM(I116)</f>
        <v>1343.9</v>
      </c>
      <c r="P116" s="97">
        <f t="shared" si="15"/>
        <v>1343.9</v>
      </c>
      <c r="Q116" s="97">
        <f t="shared" si="16"/>
        <v>0</v>
      </c>
    </row>
    <row r="117" spans="1:18" ht="31.5" x14ac:dyDescent="0.2">
      <c r="A117" s="20" t="s">
        <v>153</v>
      </c>
      <c r="B117" s="107" t="s">
        <v>154</v>
      </c>
      <c r="C117" s="107" t="s">
        <v>51</v>
      </c>
      <c r="D117" s="129" t="s">
        <v>155</v>
      </c>
      <c r="E117" s="133" t="s">
        <v>11</v>
      </c>
      <c r="F117" s="134" t="s">
        <v>11</v>
      </c>
      <c r="G117" s="106">
        <f>G124+G154+G118</f>
        <v>46470.900000000009</v>
      </c>
      <c r="H117" s="109">
        <f>SUM(H118)+H124+H154</f>
        <v>2214.2000000000007</v>
      </c>
      <c r="I117" s="106">
        <f>I124+I154+I118</f>
        <v>48685.1</v>
      </c>
      <c r="J117" s="108">
        <f>J124+J154</f>
        <v>0</v>
      </c>
      <c r="K117" s="109">
        <f>K124</f>
        <v>0</v>
      </c>
      <c r="L117" s="108">
        <f>L124+L154</f>
        <v>0</v>
      </c>
      <c r="M117" s="106">
        <f>M124+M154+M118</f>
        <v>46470.900000000009</v>
      </c>
      <c r="N117" s="106">
        <f t="shared" ref="N117:N123" si="24">SUM(H117)</f>
        <v>2214.2000000000007</v>
      </c>
      <c r="O117" s="170">
        <f>O124+O154+O118</f>
        <v>48685.1</v>
      </c>
      <c r="P117" s="97">
        <f t="shared" si="15"/>
        <v>48685.100000000006</v>
      </c>
      <c r="Q117" s="97">
        <f t="shared" si="16"/>
        <v>0</v>
      </c>
    </row>
    <row r="118" spans="1:18" ht="15.75" x14ac:dyDescent="0.2">
      <c r="A118" s="20"/>
      <c r="B118" s="116" t="s">
        <v>556</v>
      </c>
      <c r="C118" s="110">
        <v>992</v>
      </c>
      <c r="D118" s="137" t="s">
        <v>555</v>
      </c>
      <c r="E118" s="133"/>
      <c r="F118" s="134"/>
      <c r="G118" s="109">
        <v>1200</v>
      </c>
      <c r="H118" s="109">
        <f>H119</f>
        <v>-115.1</v>
      </c>
      <c r="I118" s="109">
        <f>SUM(I122)</f>
        <v>1084.9000000000001</v>
      </c>
      <c r="J118" s="112"/>
      <c r="K118" s="109"/>
      <c r="L118" s="112"/>
      <c r="M118" s="109">
        <f>SUM(G118)</f>
        <v>1200</v>
      </c>
      <c r="N118" s="109">
        <f t="shared" si="24"/>
        <v>-115.1</v>
      </c>
      <c r="O118" s="109">
        <f>SUM(I118)</f>
        <v>1084.9000000000001</v>
      </c>
      <c r="P118" s="97">
        <f t="shared" si="15"/>
        <v>1084.9000000000001</v>
      </c>
      <c r="Q118" s="97">
        <f t="shared" si="16"/>
        <v>0</v>
      </c>
    </row>
    <row r="119" spans="1:18" ht="31.5" x14ac:dyDescent="0.2">
      <c r="A119" s="20"/>
      <c r="B119" s="113" t="s">
        <v>159</v>
      </c>
      <c r="C119" s="113" t="s">
        <v>51</v>
      </c>
      <c r="D119" s="136" t="s">
        <v>555</v>
      </c>
      <c r="E119" s="133" t="s">
        <v>160</v>
      </c>
      <c r="F119" s="134"/>
      <c r="G119" s="114">
        <f>G120</f>
        <v>1200</v>
      </c>
      <c r="H119" s="114">
        <f>H120</f>
        <v>-115.1</v>
      </c>
      <c r="I119" s="114">
        <f>I120</f>
        <v>1084.9000000000001</v>
      </c>
      <c r="J119" s="114">
        <f t="shared" ref="J119:O119" si="25">J120</f>
        <v>0</v>
      </c>
      <c r="K119" s="114">
        <f t="shared" si="25"/>
        <v>0</v>
      </c>
      <c r="L119" s="114">
        <f t="shared" si="25"/>
        <v>0</v>
      </c>
      <c r="M119" s="114">
        <f t="shared" si="25"/>
        <v>1200</v>
      </c>
      <c r="N119" s="114">
        <f t="shared" si="25"/>
        <v>-115.1</v>
      </c>
      <c r="O119" s="114">
        <f t="shared" si="25"/>
        <v>1084.9000000000001</v>
      </c>
      <c r="P119" s="97">
        <f t="shared" si="15"/>
        <v>1084.9000000000001</v>
      </c>
      <c r="Q119" s="97">
        <f t="shared" si="16"/>
        <v>0</v>
      </c>
    </row>
    <row r="120" spans="1:18" ht="31.5" x14ac:dyDescent="0.2">
      <c r="A120" s="20"/>
      <c r="B120" s="138" t="s">
        <v>159</v>
      </c>
      <c r="C120" s="113">
        <v>992</v>
      </c>
      <c r="D120" s="139" t="s">
        <v>555</v>
      </c>
      <c r="E120" s="136" t="s">
        <v>162</v>
      </c>
      <c r="F120" s="134"/>
      <c r="G120" s="111">
        <v>1200</v>
      </c>
      <c r="H120" s="117">
        <f>H121</f>
        <v>-115.1</v>
      </c>
      <c r="I120" s="117">
        <f>SUM(I122)</f>
        <v>1084.9000000000001</v>
      </c>
      <c r="J120" s="114"/>
      <c r="K120" s="117"/>
      <c r="L120" s="114"/>
      <c r="M120" s="111">
        <f>SUM(G120)</f>
        <v>1200</v>
      </c>
      <c r="N120" s="111">
        <f t="shared" si="24"/>
        <v>-115.1</v>
      </c>
      <c r="O120" s="111">
        <f>SUM(I120)</f>
        <v>1084.9000000000001</v>
      </c>
      <c r="P120" s="97">
        <f t="shared" si="15"/>
        <v>1084.9000000000001</v>
      </c>
      <c r="Q120" s="97">
        <f t="shared" si="16"/>
        <v>0</v>
      </c>
    </row>
    <row r="121" spans="1:18" ht="63" x14ac:dyDescent="0.2">
      <c r="A121" s="20"/>
      <c r="B121" s="138" t="s">
        <v>161</v>
      </c>
      <c r="C121" s="113">
        <v>992</v>
      </c>
      <c r="D121" s="139" t="s">
        <v>555</v>
      </c>
      <c r="E121" s="136" t="s">
        <v>558</v>
      </c>
      <c r="F121" s="134"/>
      <c r="G121" s="111">
        <v>1200</v>
      </c>
      <c r="H121" s="117">
        <f>SUM(H123)</f>
        <v>-115.1</v>
      </c>
      <c r="I121" s="117">
        <f>SUM(I123)</f>
        <v>1084.9000000000001</v>
      </c>
      <c r="J121" s="114"/>
      <c r="K121" s="117"/>
      <c r="L121" s="114"/>
      <c r="M121" s="111">
        <f>SUM(G121)</f>
        <v>1200</v>
      </c>
      <c r="N121" s="111">
        <f t="shared" si="24"/>
        <v>-115.1</v>
      </c>
      <c r="O121" s="111">
        <f>SUM(I121)</f>
        <v>1084.9000000000001</v>
      </c>
      <c r="P121" s="97">
        <f t="shared" si="15"/>
        <v>1084.9000000000001</v>
      </c>
      <c r="Q121" s="97">
        <f t="shared" si="16"/>
        <v>0</v>
      </c>
    </row>
    <row r="122" spans="1:18" ht="31.5" x14ac:dyDescent="0.2">
      <c r="A122" s="20"/>
      <c r="B122" s="138" t="s">
        <v>557</v>
      </c>
      <c r="C122" s="113">
        <v>992</v>
      </c>
      <c r="D122" s="139" t="s">
        <v>555</v>
      </c>
      <c r="E122" s="136" t="s">
        <v>554</v>
      </c>
      <c r="F122" s="134"/>
      <c r="G122" s="111">
        <v>1200</v>
      </c>
      <c r="H122" s="117">
        <f>H123</f>
        <v>-115.1</v>
      </c>
      <c r="I122" s="111">
        <f>SUM(G122)+H122</f>
        <v>1084.9000000000001</v>
      </c>
      <c r="J122" s="114"/>
      <c r="K122" s="117"/>
      <c r="L122" s="114"/>
      <c r="M122" s="111">
        <f>SUM(G122)</f>
        <v>1200</v>
      </c>
      <c r="N122" s="111">
        <f t="shared" si="24"/>
        <v>-115.1</v>
      </c>
      <c r="O122" s="111">
        <f>SUM(I122)</f>
        <v>1084.9000000000001</v>
      </c>
      <c r="P122" s="97">
        <f t="shared" si="15"/>
        <v>1084.9000000000001</v>
      </c>
      <c r="Q122" s="97">
        <f t="shared" si="16"/>
        <v>0</v>
      </c>
    </row>
    <row r="123" spans="1:18" ht="31.5" x14ac:dyDescent="0.2">
      <c r="A123" s="20"/>
      <c r="B123" s="113" t="s">
        <v>40</v>
      </c>
      <c r="C123" s="113">
        <v>992</v>
      </c>
      <c r="D123" s="139" t="s">
        <v>555</v>
      </c>
      <c r="E123" s="136" t="s">
        <v>554</v>
      </c>
      <c r="F123" s="134">
        <v>200</v>
      </c>
      <c r="G123" s="111">
        <v>1200</v>
      </c>
      <c r="H123" s="117">
        <v>-115.1</v>
      </c>
      <c r="I123" s="111">
        <f>SUM(G123)+H123</f>
        <v>1084.9000000000001</v>
      </c>
      <c r="J123" s="114"/>
      <c r="K123" s="117"/>
      <c r="L123" s="114"/>
      <c r="M123" s="111">
        <f>SUM(G123)</f>
        <v>1200</v>
      </c>
      <c r="N123" s="111">
        <f t="shared" si="24"/>
        <v>-115.1</v>
      </c>
      <c r="O123" s="111">
        <f>SUM(I123)</f>
        <v>1084.9000000000001</v>
      </c>
      <c r="P123" s="97">
        <f t="shared" si="15"/>
        <v>1084.9000000000001</v>
      </c>
      <c r="Q123" s="97">
        <f t="shared" si="16"/>
        <v>0</v>
      </c>
    </row>
    <row r="124" spans="1:18" ht="63" x14ac:dyDescent="0.2">
      <c r="A124" s="33" t="s">
        <v>156</v>
      </c>
      <c r="B124" s="110" t="s">
        <v>157</v>
      </c>
      <c r="C124" s="110" t="s">
        <v>51</v>
      </c>
      <c r="D124" s="131" t="s">
        <v>158</v>
      </c>
      <c r="E124" s="131" t="s">
        <v>11</v>
      </c>
      <c r="F124" s="132" t="s">
        <v>11</v>
      </c>
      <c r="G124" s="109">
        <f>G125+G142</f>
        <v>38003.600000000006</v>
      </c>
      <c r="H124" s="109">
        <f>H125+H142</f>
        <v>2419.9000000000005</v>
      </c>
      <c r="I124" s="109">
        <f>I125+I142</f>
        <v>40423.5</v>
      </c>
      <c r="J124" s="112">
        <f>J125</f>
        <v>0</v>
      </c>
      <c r="K124" s="111">
        <f>K125+K141+K149</f>
        <v>0</v>
      </c>
      <c r="L124" s="112">
        <f>L125</f>
        <v>0</v>
      </c>
      <c r="M124" s="109">
        <f>M125+M142</f>
        <v>38003.600000000006</v>
      </c>
      <c r="N124" s="109">
        <f>SUM(H124)</f>
        <v>2419.9000000000005</v>
      </c>
      <c r="O124" s="169">
        <f>O125+O142</f>
        <v>40423.5</v>
      </c>
      <c r="P124" s="97">
        <f t="shared" si="15"/>
        <v>40423.500000000007</v>
      </c>
      <c r="Q124" s="97">
        <f t="shared" si="16"/>
        <v>0</v>
      </c>
      <c r="R124" s="168"/>
    </row>
    <row r="125" spans="1:18" ht="31.5" x14ac:dyDescent="0.2">
      <c r="A125" s="40"/>
      <c r="B125" s="113" t="s">
        <v>159</v>
      </c>
      <c r="C125" s="113" t="s">
        <v>51</v>
      </c>
      <c r="D125" s="133" t="s">
        <v>158</v>
      </c>
      <c r="E125" s="133" t="s">
        <v>160</v>
      </c>
      <c r="F125" s="134" t="s">
        <v>11</v>
      </c>
      <c r="G125" s="111">
        <f>G126+G146+G150</f>
        <v>37240.300000000003</v>
      </c>
      <c r="H125" s="111">
        <f>H126+H146+H150</f>
        <v>2419.9000000000005</v>
      </c>
      <c r="I125" s="111">
        <f>I126+I146+I150</f>
        <v>39660.199999999997</v>
      </c>
      <c r="J125" s="114">
        <f>J126+J146+J150</f>
        <v>0</v>
      </c>
      <c r="K125" s="111">
        <f>K126+K135+K138</f>
        <v>0</v>
      </c>
      <c r="L125" s="114">
        <f>L126+L146+L150</f>
        <v>0</v>
      </c>
      <c r="M125" s="111">
        <f>M126+M146+M150</f>
        <v>37240.300000000003</v>
      </c>
      <c r="N125" s="111">
        <f>N126+N146+N150</f>
        <v>2419.9000000000005</v>
      </c>
      <c r="O125" s="111">
        <f>O126+O146+O150</f>
        <v>39660.199999999997</v>
      </c>
      <c r="P125" s="97">
        <f t="shared" si="15"/>
        <v>39660.200000000004</v>
      </c>
      <c r="Q125" s="97">
        <f t="shared" si="16"/>
        <v>0</v>
      </c>
    </row>
    <row r="126" spans="1:18" ht="63" x14ac:dyDescent="0.2">
      <c r="A126" s="40"/>
      <c r="B126" s="113" t="s">
        <v>161</v>
      </c>
      <c r="C126" s="113" t="s">
        <v>51</v>
      </c>
      <c r="D126" s="133" t="s">
        <v>158</v>
      </c>
      <c r="E126" s="133" t="s">
        <v>162</v>
      </c>
      <c r="F126" s="134" t="s">
        <v>11</v>
      </c>
      <c r="G126" s="111">
        <f>G127+G136+G139</f>
        <v>33479.4</v>
      </c>
      <c r="H126" s="111">
        <f>H127+H136+H139</f>
        <v>2083.5000000000005</v>
      </c>
      <c r="I126" s="111">
        <f>I127+I136+I139</f>
        <v>35562.9</v>
      </c>
      <c r="J126" s="114">
        <f>J127+J136+J139</f>
        <v>0</v>
      </c>
      <c r="K126" s="111">
        <f>K127+K131+K133</f>
        <v>0</v>
      </c>
      <c r="L126" s="114">
        <f>L127+L136+L139</f>
        <v>0</v>
      </c>
      <c r="M126" s="111">
        <f>M127+M136+M139</f>
        <v>33479.4</v>
      </c>
      <c r="N126" s="111">
        <f>N127+N136+N139</f>
        <v>2083.5000000000005</v>
      </c>
      <c r="O126" s="111">
        <f>O127+O136+O139</f>
        <v>35562.9</v>
      </c>
      <c r="P126" s="97">
        <f t="shared" si="15"/>
        <v>35562.9</v>
      </c>
      <c r="Q126" s="97">
        <f t="shared" si="16"/>
        <v>0</v>
      </c>
    </row>
    <row r="127" spans="1:18" ht="63" x14ac:dyDescent="0.2">
      <c r="A127" s="40"/>
      <c r="B127" s="113" t="s">
        <v>163</v>
      </c>
      <c r="C127" s="113" t="s">
        <v>51</v>
      </c>
      <c r="D127" s="133" t="s">
        <v>158</v>
      </c>
      <c r="E127" s="133" t="s">
        <v>164</v>
      </c>
      <c r="F127" s="134" t="s">
        <v>11</v>
      </c>
      <c r="G127" s="111">
        <f>G128+G132+G134</f>
        <v>18378.7</v>
      </c>
      <c r="H127" s="111">
        <f>SUM(H128+H132)+H134</f>
        <v>257.39999999999998</v>
      </c>
      <c r="I127" s="111">
        <f>I128+I132+I134</f>
        <v>18636.099999999999</v>
      </c>
      <c r="J127" s="114">
        <f>J128+J132+J134</f>
        <v>0</v>
      </c>
      <c r="K127" s="111">
        <f>K128+K129+K130</f>
        <v>0</v>
      </c>
      <c r="L127" s="114">
        <f>L128+L132+L134</f>
        <v>0</v>
      </c>
      <c r="M127" s="111">
        <f>M128+M132+M134</f>
        <v>18378.7</v>
      </c>
      <c r="N127" s="111">
        <f>N128+N132+N134</f>
        <v>257.39999999999998</v>
      </c>
      <c r="O127" s="111">
        <f>O128+O132+O134</f>
        <v>18636.099999999999</v>
      </c>
      <c r="P127" s="97">
        <f t="shared" si="15"/>
        <v>18636.100000000002</v>
      </c>
      <c r="Q127" s="97">
        <f t="shared" si="16"/>
        <v>0</v>
      </c>
    </row>
    <row r="128" spans="1:18" ht="31.5" x14ac:dyDescent="0.2">
      <c r="A128" s="40"/>
      <c r="B128" s="113" t="s">
        <v>134</v>
      </c>
      <c r="C128" s="113" t="s">
        <v>51</v>
      </c>
      <c r="D128" s="133" t="s">
        <v>158</v>
      </c>
      <c r="E128" s="133" t="s">
        <v>165</v>
      </c>
      <c r="F128" s="134" t="s">
        <v>11</v>
      </c>
      <c r="G128" s="111">
        <f>G129+G130+G131</f>
        <v>11968.5</v>
      </c>
      <c r="H128" s="111">
        <f>SUM(H129+H130)</f>
        <v>0</v>
      </c>
      <c r="I128" s="111">
        <f>I129+I130+I131</f>
        <v>11968.5</v>
      </c>
      <c r="J128" s="114">
        <f>J129+J130+J131</f>
        <v>0</v>
      </c>
      <c r="K128" s="111"/>
      <c r="L128" s="114">
        <f>L129+L130+L131</f>
        <v>0</v>
      </c>
      <c r="M128" s="111">
        <f>SUM(G128)</f>
        <v>11968.5</v>
      </c>
      <c r="N128" s="111">
        <f>N129+N130+N131</f>
        <v>0</v>
      </c>
      <c r="O128" s="111">
        <f>SUM(I128)</f>
        <v>11968.5</v>
      </c>
      <c r="P128" s="97">
        <f t="shared" si="15"/>
        <v>11968.5</v>
      </c>
      <c r="Q128" s="97">
        <f t="shared" si="16"/>
        <v>0</v>
      </c>
    </row>
    <row r="129" spans="1:17" ht="42" customHeight="1" x14ac:dyDescent="0.2">
      <c r="A129" s="40"/>
      <c r="B129" s="113" t="s">
        <v>61</v>
      </c>
      <c r="C129" s="113" t="s">
        <v>51</v>
      </c>
      <c r="D129" s="133" t="s">
        <v>158</v>
      </c>
      <c r="E129" s="133" t="s">
        <v>165</v>
      </c>
      <c r="F129" s="134" t="s">
        <v>62</v>
      </c>
      <c r="G129" s="111">
        <v>10420.200000000001</v>
      </c>
      <c r="H129" s="111"/>
      <c r="I129" s="111">
        <f>SUM(G129)+H129</f>
        <v>10420.200000000001</v>
      </c>
      <c r="J129" s="115">
        <v>0</v>
      </c>
      <c r="K129" s="111"/>
      <c r="L129" s="115">
        <v>0</v>
      </c>
      <c r="M129" s="111">
        <f>SUM(G129)</f>
        <v>10420.200000000001</v>
      </c>
      <c r="N129" s="111">
        <f>SUM(H129)</f>
        <v>0</v>
      </c>
      <c r="O129" s="111">
        <f>SUM(I129)</f>
        <v>10420.200000000001</v>
      </c>
      <c r="P129" s="97">
        <f t="shared" si="15"/>
        <v>10420.200000000001</v>
      </c>
      <c r="Q129" s="97">
        <f t="shared" si="16"/>
        <v>0</v>
      </c>
    </row>
    <row r="130" spans="1:17" ht="31.5" x14ac:dyDescent="0.2">
      <c r="A130" s="40"/>
      <c r="B130" s="113" t="s">
        <v>40</v>
      </c>
      <c r="C130" s="113" t="s">
        <v>51</v>
      </c>
      <c r="D130" s="133" t="s">
        <v>158</v>
      </c>
      <c r="E130" s="133" t="s">
        <v>165</v>
      </c>
      <c r="F130" s="134" t="s">
        <v>41</v>
      </c>
      <c r="G130" s="111">
        <v>1525.3</v>
      </c>
      <c r="H130" s="111"/>
      <c r="I130" s="111">
        <f>SUM(G130)+H130</f>
        <v>1525.3</v>
      </c>
      <c r="J130" s="115">
        <v>0</v>
      </c>
      <c r="K130" s="111"/>
      <c r="L130" s="115">
        <v>0</v>
      </c>
      <c r="M130" s="111">
        <f>SUM(G130)</f>
        <v>1525.3</v>
      </c>
      <c r="N130" s="111">
        <f>SUM(H130)</f>
        <v>0</v>
      </c>
      <c r="O130" s="111">
        <f>SUM(I130)</f>
        <v>1525.3</v>
      </c>
      <c r="P130" s="97">
        <f t="shared" si="15"/>
        <v>1525.3</v>
      </c>
      <c r="Q130" s="97">
        <f t="shared" si="16"/>
        <v>0</v>
      </c>
    </row>
    <row r="131" spans="1:17" ht="15.75" x14ac:dyDescent="0.2">
      <c r="A131" s="40"/>
      <c r="B131" s="113" t="s">
        <v>70</v>
      </c>
      <c r="C131" s="113" t="s">
        <v>51</v>
      </c>
      <c r="D131" s="133" t="s">
        <v>158</v>
      </c>
      <c r="E131" s="133" t="s">
        <v>165</v>
      </c>
      <c r="F131" s="134" t="s">
        <v>71</v>
      </c>
      <c r="G131" s="111">
        <v>23</v>
      </c>
      <c r="H131" s="111"/>
      <c r="I131" s="111">
        <v>23</v>
      </c>
      <c r="J131" s="115">
        <v>0</v>
      </c>
      <c r="K131" s="111"/>
      <c r="L131" s="115">
        <v>0</v>
      </c>
      <c r="M131" s="111">
        <v>23</v>
      </c>
      <c r="N131" s="111"/>
      <c r="O131" s="111">
        <v>23</v>
      </c>
      <c r="P131" s="97">
        <f t="shared" si="15"/>
        <v>23</v>
      </c>
      <c r="Q131" s="97">
        <f t="shared" si="16"/>
        <v>0</v>
      </c>
    </row>
    <row r="132" spans="1:17" ht="63" x14ac:dyDescent="0.2">
      <c r="A132" s="40"/>
      <c r="B132" s="113" t="s">
        <v>166</v>
      </c>
      <c r="C132" s="113" t="s">
        <v>51</v>
      </c>
      <c r="D132" s="133" t="s">
        <v>158</v>
      </c>
      <c r="E132" s="133" t="s">
        <v>167</v>
      </c>
      <c r="F132" s="134" t="s">
        <v>11</v>
      </c>
      <c r="G132" s="111">
        <f>G133</f>
        <v>5410.2</v>
      </c>
      <c r="H132" s="111">
        <f>SUM(H133)</f>
        <v>257.39999999999998</v>
      </c>
      <c r="I132" s="111">
        <f>I133</f>
        <v>5667.5999999999995</v>
      </c>
      <c r="J132" s="114">
        <f>J133</f>
        <v>0</v>
      </c>
      <c r="K132" s="111"/>
      <c r="L132" s="114">
        <f>L133</f>
        <v>0</v>
      </c>
      <c r="M132" s="111">
        <f>M133</f>
        <v>5410.2</v>
      </c>
      <c r="N132" s="111">
        <f>N133</f>
        <v>257.39999999999998</v>
      </c>
      <c r="O132" s="111">
        <f>O133</f>
        <v>5667.5999999999995</v>
      </c>
      <c r="P132" s="97">
        <f t="shared" si="15"/>
        <v>5667.5999999999995</v>
      </c>
      <c r="Q132" s="97">
        <f t="shared" si="16"/>
        <v>0</v>
      </c>
    </row>
    <row r="133" spans="1:17" ht="31.5" x14ac:dyDescent="0.2">
      <c r="A133" s="40"/>
      <c r="B133" s="113" t="s">
        <v>40</v>
      </c>
      <c r="C133" s="113" t="s">
        <v>51</v>
      </c>
      <c r="D133" s="133" t="s">
        <v>158</v>
      </c>
      <c r="E133" s="133" t="s">
        <v>167</v>
      </c>
      <c r="F133" s="134" t="s">
        <v>41</v>
      </c>
      <c r="G133" s="111">
        <v>5410.2</v>
      </c>
      <c r="H133" s="111">
        <f>700-442.6</f>
        <v>257.39999999999998</v>
      </c>
      <c r="I133" s="111">
        <f>SUM(G133)+H133</f>
        <v>5667.5999999999995</v>
      </c>
      <c r="J133" s="115"/>
      <c r="K133" s="111"/>
      <c r="L133" s="115"/>
      <c r="M133" s="111">
        <f>SUM(G133)</f>
        <v>5410.2</v>
      </c>
      <c r="N133" s="111">
        <f>SUM(H133)</f>
        <v>257.39999999999998</v>
      </c>
      <c r="O133" s="111">
        <f>SUM(M133)+N133</f>
        <v>5667.5999999999995</v>
      </c>
      <c r="P133" s="97">
        <f t="shared" si="15"/>
        <v>5667.5999999999995</v>
      </c>
      <c r="Q133" s="97">
        <f t="shared" si="16"/>
        <v>0</v>
      </c>
    </row>
    <row r="134" spans="1:17" ht="63" x14ac:dyDescent="0.2">
      <c r="A134" s="40"/>
      <c r="B134" s="113" t="s">
        <v>168</v>
      </c>
      <c r="C134" s="113" t="s">
        <v>51</v>
      </c>
      <c r="D134" s="133" t="s">
        <v>158</v>
      </c>
      <c r="E134" s="133" t="s">
        <v>169</v>
      </c>
      <c r="F134" s="134" t="s">
        <v>11</v>
      </c>
      <c r="G134" s="111">
        <f>G135</f>
        <v>1000</v>
      </c>
      <c r="H134" s="111"/>
      <c r="I134" s="111">
        <f>I135</f>
        <v>1000</v>
      </c>
      <c r="J134" s="114">
        <f>J135</f>
        <v>0</v>
      </c>
      <c r="K134" s="111"/>
      <c r="L134" s="114">
        <f>L135</f>
        <v>0</v>
      </c>
      <c r="M134" s="111">
        <f>M135</f>
        <v>1000</v>
      </c>
      <c r="N134" s="111">
        <f>N135</f>
        <v>0</v>
      </c>
      <c r="O134" s="111">
        <f>O135</f>
        <v>1000</v>
      </c>
      <c r="P134" s="97">
        <f t="shared" si="15"/>
        <v>1000</v>
      </c>
      <c r="Q134" s="97">
        <f t="shared" si="16"/>
        <v>0</v>
      </c>
    </row>
    <row r="135" spans="1:17" ht="31.5" x14ac:dyDescent="0.2">
      <c r="A135" s="40"/>
      <c r="B135" s="113" t="s">
        <v>40</v>
      </c>
      <c r="C135" s="113" t="s">
        <v>51</v>
      </c>
      <c r="D135" s="133" t="s">
        <v>158</v>
      </c>
      <c r="E135" s="133" t="s">
        <v>169</v>
      </c>
      <c r="F135" s="134" t="s">
        <v>41</v>
      </c>
      <c r="G135" s="111">
        <v>1000</v>
      </c>
      <c r="H135" s="111"/>
      <c r="I135" s="111">
        <v>1000</v>
      </c>
      <c r="J135" s="115"/>
      <c r="K135" s="111"/>
      <c r="L135" s="115"/>
      <c r="M135" s="111">
        <v>1000</v>
      </c>
      <c r="N135" s="111"/>
      <c r="O135" s="111">
        <v>1000</v>
      </c>
      <c r="P135" s="97">
        <f t="shared" si="15"/>
        <v>1000</v>
      </c>
      <c r="Q135" s="97">
        <f t="shared" si="16"/>
        <v>0</v>
      </c>
    </row>
    <row r="136" spans="1:17" ht="37.9" customHeight="1" x14ac:dyDescent="0.2">
      <c r="A136" s="40"/>
      <c r="B136" s="113" t="s">
        <v>170</v>
      </c>
      <c r="C136" s="113" t="s">
        <v>51</v>
      </c>
      <c r="D136" s="133" t="s">
        <v>158</v>
      </c>
      <c r="E136" s="133" t="s">
        <v>171</v>
      </c>
      <c r="F136" s="134" t="s">
        <v>11</v>
      </c>
      <c r="G136" s="111">
        <f t="shared" ref="G136:O137" si="26">G137</f>
        <v>13584.1</v>
      </c>
      <c r="H136" s="111">
        <f t="shared" si="26"/>
        <v>1694.3000000000002</v>
      </c>
      <c r="I136" s="111">
        <f t="shared" si="26"/>
        <v>15278.400000000001</v>
      </c>
      <c r="J136" s="114">
        <f t="shared" si="26"/>
        <v>0</v>
      </c>
      <c r="K136" s="111">
        <f t="shared" si="26"/>
        <v>0</v>
      </c>
      <c r="L136" s="114">
        <f t="shared" si="26"/>
        <v>0</v>
      </c>
      <c r="M136" s="111">
        <f t="shared" si="26"/>
        <v>13584.1</v>
      </c>
      <c r="N136" s="111">
        <f t="shared" si="26"/>
        <v>1694.3000000000002</v>
      </c>
      <c r="O136" s="111">
        <f t="shared" si="26"/>
        <v>15278.400000000001</v>
      </c>
      <c r="P136" s="97">
        <f t="shared" si="15"/>
        <v>15278.400000000001</v>
      </c>
      <c r="Q136" s="97">
        <f t="shared" si="16"/>
        <v>0</v>
      </c>
    </row>
    <row r="137" spans="1:17" ht="94.5" x14ac:dyDescent="0.2">
      <c r="A137" s="40"/>
      <c r="B137" s="113" t="s">
        <v>172</v>
      </c>
      <c r="C137" s="113" t="s">
        <v>51</v>
      </c>
      <c r="D137" s="133" t="s">
        <v>158</v>
      </c>
      <c r="E137" s="133" t="s">
        <v>173</v>
      </c>
      <c r="F137" s="134" t="s">
        <v>11</v>
      </c>
      <c r="G137" s="111">
        <f t="shared" si="26"/>
        <v>13584.1</v>
      </c>
      <c r="H137" s="111">
        <f>SUM(H138)</f>
        <v>1694.3000000000002</v>
      </c>
      <c r="I137" s="111">
        <f t="shared" si="26"/>
        <v>15278.400000000001</v>
      </c>
      <c r="J137" s="114">
        <f t="shared" si="26"/>
        <v>0</v>
      </c>
      <c r="K137" s="111"/>
      <c r="L137" s="114">
        <f t="shared" si="26"/>
        <v>0</v>
      </c>
      <c r="M137" s="111">
        <f t="shared" si="26"/>
        <v>13584.1</v>
      </c>
      <c r="N137" s="111">
        <f t="shared" si="26"/>
        <v>1694.3000000000002</v>
      </c>
      <c r="O137" s="111">
        <f t="shared" si="26"/>
        <v>15278.400000000001</v>
      </c>
      <c r="P137" s="97">
        <f t="shared" si="15"/>
        <v>15278.400000000001</v>
      </c>
      <c r="Q137" s="97">
        <f t="shared" si="16"/>
        <v>0</v>
      </c>
    </row>
    <row r="138" spans="1:17" ht="15.75" x14ac:dyDescent="0.2">
      <c r="A138" s="40"/>
      <c r="B138" s="113" t="s">
        <v>47</v>
      </c>
      <c r="C138" s="113" t="s">
        <v>51</v>
      </c>
      <c r="D138" s="133" t="s">
        <v>158</v>
      </c>
      <c r="E138" s="133" t="s">
        <v>173</v>
      </c>
      <c r="F138" s="134" t="s">
        <v>48</v>
      </c>
      <c r="G138" s="111">
        <f>13584.2-0.1</f>
        <v>13584.1</v>
      </c>
      <c r="H138" s="111">
        <f>1694.4-0.1</f>
        <v>1694.3000000000002</v>
      </c>
      <c r="I138" s="111">
        <f>13584.2-0.1+H138</f>
        <v>15278.400000000001</v>
      </c>
      <c r="J138" s="115">
        <v>0</v>
      </c>
      <c r="K138" s="111">
        <f t="shared" ref="G138:O140" si="27">K139</f>
        <v>0</v>
      </c>
      <c r="L138" s="115">
        <v>0</v>
      </c>
      <c r="M138" s="111">
        <f>13584.2-0.1</f>
        <v>13584.1</v>
      </c>
      <c r="N138" s="167">
        <f>SUM(H138)</f>
        <v>1694.3000000000002</v>
      </c>
      <c r="O138" s="167">
        <f>13584.2-0.1+N138</f>
        <v>15278.400000000001</v>
      </c>
      <c r="P138" s="97">
        <f t="shared" si="15"/>
        <v>15278.400000000001</v>
      </c>
      <c r="Q138" s="97">
        <f t="shared" si="16"/>
        <v>0</v>
      </c>
    </row>
    <row r="139" spans="1:17" ht="63" x14ac:dyDescent="0.2">
      <c r="A139" s="40"/>
      <c r="B139" s="113" t="s">
        <v>174</v>
      </c>
      <c r="C139" s="113" t="s">
        <v>51</v>
      </c>
      <c r="D139" s="133" t="s">
        <v>158</v>
      </c>
      <c r="E139" s="133" t="s">
        <v>175</v>
      </c>
      <c r="F139" s="134" t="s">
        <v>11</v>
      </c>
      <c r="G139" s="111">
        <f t="shared" si="27"/>
        <v>1516.6000000000001</v>
      </c>
      <c r="H139" s="111">
        <f t="shared" si="27"/>
        <v>131.80000000000001</v>
      </c>
      <c r="I139" s="111">
        <f t="shared" si="27"/>
        <v>1648.4</v>
      </c>
      <c r="J139" s="114">
        <f t="shared" si="27"/>
        <v>0</v>
      </c>
      <c r="K139" s="111">
        <f t="shared" si="27"/>
        <v>0</v>
      </c>
      <c r="L139" s="114">
        <f t="shared" si="27"/>
        <v>0</v>
      </c>
      <c r="M139" s="111">
        <f t="shared" si="27"/>
        <v>1516.6000000000001</v>
      </c>
      <c r="N139" s="111">
        <f t="shared" si="27"/>
        <v>131.80000000000001</v>
      </c>
      <c r="O139" s="111">
        <f t="shared" si="27"/>
        <v>1648.4</v>
      </c>
      <c r="P139" s="97">
        <f t="shared" si="15"/>
        <v>1648.4</v>
      </c>
      <c r="Q139" s="97">
        <f t="shared" si="16"/>
        <v>0</v>
      </c>
    </row>
    <row r="140" spans="1:17" ht="78.75" x14ac:dyDescent="0.2">
      <c r="A140" s="40"/>
      <c r="B140" s="113" t="s">
        <v>176</v>
      </c>
      <c r="C140" s="113" t="s">
        <v>51</v>
      </c>
      <c r="D140" s="133" t="s">
        <v>158</v>
      </c>
      <c r="E140" s="133" t="s">
        <v>177</v>
      </c>
      <c r="F140" s="134" t="s">
        <v>11</v>
      </c>
      <c r="G140" s="111">
        <f t="shared" si="27"/>
        <v>1516.6000000000001</v>
      </c>
      <c r="H140" s="111">
        <v>131.80000000000001</v>
      </c>
      <c r="I140" s="111">
        <f t="shared" si="27"/>
        <v>1648.4</v>
      </c>
      <c r="J140" s="114">
        <f t="shared" si="27"/>
        <v>0</v>
      </c>
      <c r="K140" s="111"/>
      <c r="L140" s="114">
        <f t="shared" si="27"/>
        <v>0</v>
      </c>
      <c r="M140" s="111">
        <f t="shared" si="27"/>
        <v>1516.6000000000001</v>
      </c>
      <c r="N140" s="111">
        <f t="shared" si="27"/>
        <v>131.80000000000001</v>
      </c>
      <c r="O140" s="111">
        <f t="shared" si="27"/>
        <v>1648.4</v>
      </c>
      <c r="P140" s="97">
        <f t="shared" si="15"/>
        <v>1648.4</v>
      </c>
      <c r="Q140" s="97">
        <f t="shared" si="16"/>
        <v>0</v>
      </c>
    </row>
    <row r="141" spans="1:17" ht="15.75" x14ac:dyDescent="0.2">
      <c r="A141" s="40"/>
      <c r="B141" s="113" t="s">
        <v>178</v>
      </c>
      <c r="C141" s="113" t="s">
        <v>51</v>
      </c>
      <c r="D141" s="133" t="s">
        <v>158</v>
      </c>
      <c r="E141" s="133" t="s">
        <v>177</v>
      </c>
      <c r="F141" s="134" t="s">
        <v>48</v>
      </c>
      <c r="G141" s="111">
        <f>1516.7-0.1</f>
        <v>1516.6000000000001</v>
      </c>
      <c r="H141" s="163">
        <v>131.80000000000001</v>
      </c>
      <c r="I141" s="111">
        <f>1516.7-0.1+H141</f>
        <v>1648.4</v>
      </c>
      <c r="J141" s="115">
        <v>0</v>
      </c>
      <c r="K141" s="111"/>
      <c r="L141" s="115">
        <v>0</v>
      </c>
      <c r="M141" s="111">
        <f>1516.7-0.1</f>
        <v>1516.6000000000001</v>
      </c>
      <c r="N141" s="167">
        <f>SUM(H141)</f>
        <v>131.80000000000001</v>
      </c>
      <c r="O141" s="167">
        <f>1516.7-0.1+N141</f>
        <v>1648.4</v>
      </c>
      <c r="P141" s="97">
        <f t="shared" si="15"/>
        <v>1648.4</v>
      </c>
      <c r="Q141" s="97">
        <f t="shared" si="16"/>
        <v>0</v>
      </c>
    </row>
    <row r="142" spans="1:17" ht="31.5" x14ac:dyDescent="0.2">
      <c r="A142" s="40"/>
      <c r="B142" s="113" t="s">
        <v>66</v>
      </c>
      <c r="C142" s="113">
        <v>992</v>
      </c>
      <c r="D142" s="133" t="s">
        <v>158</v>
      </c>
      <c r="E142" s="133">
        <v>5200000000</v>
      </c>
      <c r="F142" s="134"/>
      <c r="G142" s="111">
        <v>763.3</v>
      </c>
      <c r="H142" s="111"/>
      <c r="I142" s="111">
        <f>SUM(G142)</f>
        <v>763.3</v>
      </c>
      <c r="J142" s="115"/>
      <c r="K142" s="111"/>
      <c r="L142" s="115"/>
      <c r="M142" s="111">
        <f>SUM(G142)</f>
        <v>763.3</v>
      </c>
      <c r="N142" s="111">
        <f t="shared" ref="N142:O144" si="28">SUM(H142)</f>
        <v>0</v>
      </c>
      <c r="O142" s="111">
        <f t="shared" si="28"/>
        <v>763.3</v>
      </c>
      <c r="P142" s="97">
        <f t="shared" si="15"/>
        <v>763.3</v>
      </c>
      <c r="Q142" s="97">
        <f t="shared" si="16"/>
        <v>0</v>
      </c>
    </row>
    <row r="143" spans="1:17" ht="31.5" x14ac:dyDescent="0.2">
      <c r="A143" s="40"/>
      <c r="B143" s="113" t="s">
        <v>80</v>
      </c>
      <c r="C143" s="113">
        <v>992</v>
      </c>
      <c r="D143" s="133" t="s">
        <v>158</v>
      </c>
      <c r="E143" s="133">
        <v>5230000000</v>
      </c>
      <c r="F143" s="134"/>
      <c r="G143" s="111">
        <v>763.3</v>
      </c>
      <c r="H143" s="111"/>
      <c r="I143" s="111">
        <f>SUM(G143)</f>
        <v>763.3</v>
      </c>
      <c r="J143" s="115"/>
      <c r="K143" s="111"/>
      <c r="L143" s="115"/>
      <c r="M143" s="111">
        <f>SUM(G143)</f>
        <v>763.3</v>
      </c>
      <c r="N143" s="111">
        <f t="shared" si="28"/>
        <v>0</v>
      </c>
      <c r="O143" s="111">
        <f t="shared" si="28"/>
        <v>763.3</v>
      </c>
      <c r="P143" s="97">
        <f t="shared" si="15"/>
        <v>763.3</v>
      </c>
      <c r="Q143" s="97">
        <f t="shared" si="16"/>
        <v>0</v>
      </c>
    </row>
    <row r="144" spans="1:17" ht="31.5" x14ac:dyDescent="0.2">
      <c r="A144" s="40"/>
      <c r="B144" s="113" t="s">
        <v>82</v>
      </c>
      <c r="C144" s="113">
        <v>992</v>
      </c>
      <c r="D144" s="133" t="s">
        <v>158</v>
      </c>
      <c r="E144" s="133">
        <v>5230010490</v>
      </c>
      <c r="F144" s="134"/>
      <c r="G144" s="111">
        <v>763.3</v>
      </c>
      <c r="H144" s="111"/>
      <c r="I144" s="111">
        <f>SUM(G144)</f>
        <v>763.3</v>
      </c>
      <c r="J144" s="115"/>
      <c r="K144" s="111"/>
      <c r="L144" s="115"/>
      <c r="M144" s="111">
        <f>SUM(G144)</f>
        <v>763.3</v>
      </c>
      <c r="N144" s="111">
        <f t="shared" si="28"/>
        <v>0</v>
      </c>
      <c r="O144" s="111">
        <f t="shared" si="28"/>
        <v>763.3</v>
      </c>
      <c r="P144" s="97">
        <f t="shared" si="15"/>
        <v>763.3</v>
      </c>
      <c r="Q144" s="97">
        <f t="shared" si="16"/>
        <v>0</v>
      </c>
    </row>
    <row r="145" spans="1:18" ht="31.5" x14ac:dyDescent="0.2">
      <c r="A145" s="40"/>
      <c r="B145" s="113" t="s">
        <v>40</v>
      </c>
      <c r="C145" s="113">
        <v>992</v>
      </c>
      <c r="D145" s="133" t="s">
        <v>158</v>
      </c>
      <c r="E145" s="133">
        <v>5230010490</v>
      </c>
      <c r="F145" s="134">
        <v>200</v>
      </c>
      <c r="G145" s="111">
        <v>763.3</v>
      </c>
      <c r="H145" s="111"/>
      <c r="I145" s="111">
        <f>SUM(G145)</f>
        <v>763.3</v>
      </c>
      <c r="J145" s="115"/>
      <c r="K145" s="111"/>
      <c r="L145" s="115"/>
      <c r="M145" s="111">
        <f>SUM(G145)</f>
        <v>763.3</v>
      </c>
      <c r="N145" s="111">
        <f>SUM(H145)</f>
        <v>0</v>
      </c>
      <c r="O145" s="111">
        <f>SUM(I145)</f>
        <v>763.3</v>
      </c>
      <c r="P145" s="97">
        <f t="shared" si="15"/>
        <v>763.3</v>
      </c>
      <c r="Q145" s="97">
        <f t="shared" si="16"/>
        <v>0</v>
      </c>
    </row>
    <row r="146" spans="1:18" ht="15.75" x14ac:dyDescent="0.2">
      <c r="A146" s="40"/>
      <c r="B146" s="113" t="s">
        <v>179</v>
      </c>
      <c r="C146" s="113" t="s">
        <v>51</v>
      </c>
      <c r="D146" s="133" t="s">
        <v>158</v>
      </c>
      <c r="E146" s="133" t="s">
        <v>180</v>
      </c>
      <c r="F146" s="134" t="s">
        <v>11</v>
      </c>
      <c r="G146" s="111">
        <f t="shared" ref="G146:O148" si="29">G147</f>
        <v>394.4</v>
      </c>
      <c r="H146" s="111">
        <f t="shared" si="29"/>
        <v>-71.3</v>
      </c>
      <c r="I146" s="111">
        <f t="shared" si="29"/>
        <v>323.09999999999997</v>
      </c>
      <c r="J146" s="114">
        <f t="shared" si="29"/>
        <v>0</v>
      </c>
      <c r="K146" s="111">
        <f>K147</f>
        <v>0</v>
      </c>
      <c r="L146" s="114">
        <f t="shared" si="29"/>
        <v>0</v>
      </c>
      <c r="M146" s="111">
        <f t="shared" si="29"/>
        <v>394.4</v>
      </c>
      <c r="N146" s="111">
        <f t="shared" si="29"/>
        <v>-71.3</v>
      </c>
      <c r="O146" s="111">
        <f t="shared" si="29"/>
        <v>323.09999999999997</v>
      </c>
      <c r="P146" s="97">
        <f t="shared" si="15"/>
        <v>323.09999999999997</v>
      </c>
      <c r="Q146" s="97">
        <f t="shared" si="16"/>
        <v>0</v>
      </c>
    </row>
    <row r="147" spans="1:18" ht="31.5" x14ac:dyDescent="0.2">
      <c r="A147" s="40"/>
      <c r="B147" s="113" t="s">
        <v>181</v>
      </c>
      <c r="C147" s="113" t="s">
        <v>51</v>
      </c>
      <c r="D147" s="133" t="s">
        <v>158</v>
      </c>
      <c r="E147" s="133" t="s">
        <v>182</v>
      </c>
      <c r="F147" s="134" t="s">
        <v>11</v>
      </c>
      <c r="G147" s="111">
        <f t="shared" si="29"/>
        <v>394.4</v>
      </c>
      <c r="H147" s="111">
        <f t="shared" si="29"/>
        <v>-71.3</v>
      </c>
      <c r="I147" s="111">
        <f t="shared" si="29"/>
        <v>323.09999999999997</v>
      </c>
      <c r="J147" s="114">
        <f t="shared" si="29"/>
        <v>0</v>
      </c>
      <c r="K147" s="111">
        <f>K148</f>
        <v>0</v>
      </c>
      <c r="L147" s="114">
        <f t="shared" si="29"/>
        <v>0</v>
      </c>
      <c r="M147" s="111">
        <f t="shared" si="29"/>
        <v>394.4</v>
      </c>
      <c r="N147" s="111">
        <f t="shared" si="29"/>
        <v>-71.3</v>
      </c>
      <c r="O147" s="111">
        <f t="shared" si="29"/>
        <v>323.09999999999997</v>
      </c>
      <c r="P147" s="97">
        <f t="shared" si="15"/>
        <v>323.09999999999997</v>
      </c>
      <c r="Q147" s="97">
        <f t="shared" si="16"/>
        <v>0</v>
      </c>
    </row>
    <row r="148" spans="1:18" ht="15.75" x14ac:dyDescent="0.2">
      <c r="A148" s="40"/>
      <c r="B148" s="113" t="s">
        <v>183</v>
      </c>
      <c r="C148" s="113" t="s">
        <v>51</v>
      </c>
      <c r="D148" s="133" t="s">
        <v>158</v>
      </c>
      <c r="E148" s="133" t="s">
        <v>184</v>
      </c>
      <c r="F148" s="134" t="s">
        <v>11</v>
      </c>
      <c r="G148" s="111">
        <f>G149</f>
        <v>394.4</v>
      </c>
      <c r="H148" s="111">
        <f>H149</f>
        <v>-71.3</v>
      </c>
      <c r="I148" s="111">
        <f>I149</f>
        <v>323.09999999999997</v>
      </c>
      <c r="J148" s="114">
        <f t="shared" si="29"/>
        <v>0</v>
      </c>
      <c r="K148" s="111"/>
      <c r="L148" s="114">
        <f t="shared" si="29"/>
        <v>0</v>
      </c>
      <c r="M148" s="111">
        <f t="shared" si="29"/>
        <v>394.4</v>
      </c>
      <c r="N148" s="111">
        <f t="shared" si="29"/>
        <v>-71.3</v>
      </c>
      <c r="O148" s="111">
        <f t="shared" si="29"/>
        <v>323.09999999999997</v>
      </c>
      <c r="P148" s="97">
        <f t="shared" si="15"/>
        <v>323.09999999999997</v>
      </c>
      <c r="Q148" s="97">
        <f t="shared" si="16"/>
        <v>0</v>
      </c>
    </row>
    <row r="149" spans="1:18" ht="31.5" x14ac:dyDescent="0.2">
      <c r="A149" s="40"/>
      <c r="B149" s="113" t="s">
        <v>40</v>
      </c>
      <c r="C149" s="113" t="s">
        <v>51</v>
      </c>
      <c r="D149" s="133" t="s">
        <v>158</v>
      </c>
      <c r="E149" s="133" t="s">
        <v>184</v>
      </c>
      <c r="F149" s="134" t="s">
        <v>41</v>
      </c>
      <c r="G149" s="111">
        <v>394.4</v>
      </c>
      <c r="H149" s="111">
        <f>-71.3</f>
        <v>-71.3</v>
      </c>
      <c r="I149" s="111">
        <f>G149+H149</f>
        <v>323.09999999999997</v>
      </c>
      <c r="J149" s="115">
        <v>0</v>
      </c>
      <c r="K149" s="111"/>
      <c r="L149" s="115">
        <v>0</v>
      </c>
      <c r="M149" s="111">
        <f>SUM(G149)</f>
        <v>394.4</v>
      </c>
      <c r="N149" s="111">
        <f>SUM(H149)</f>
        <v>-71.3</v>
      </c>
      <c r="O149" s="111">
        <f>I149+L149</f>
        <v>323.09999999999997</v>
      </c>
      <c r="P149" s="97">
        <f t="shared" si="15"/>
        <v>323.09999999999997</v>
      </c>
      <c r="Q149" s="97">
        <f t="shared" si="16"/>
        <v>0</v>
      </c>
    </row>
    <row r="150" spans="1:18" ht="31.5" x14ac:dyDescent="0.2">
      <c r="A150" s="40"/>
      <c r="B150" s="113" t="s">
        <v>185</v>
      </c>
      <c r="C150" s="113" t="s">
        <v>51</v>
      </c>
      <c r="D150" s="133" t="s">
        <v>158</v>
      </c>
      <c r="E150" s="133" t="s">
        <v>186</v>
      </c>
      <c r="F150" s="134" t="s">
        <v>11</v>
      </c>
      <c r="G150" s="111">
        <f t="shared" ref="G150:O152" si="30">G151</f>
        <v>3366.5</v>
      </c>
      <c r="H150" s="111">
        <f t="shared" si="30"/>
        <v>407.7</v>
      </c>
      <c r="I150" s="111">
        <f t="shared" si="30"/>
        <v>3774.2</v>
      </c>
      <c r="J150" s="114">
        <f t="shared" si="30"/>
        <v>0</v>
      </c>
      <c r="K150" s="111">
        <f>K151</f>
        <v>0</v>
      </c>
      <c r="L150" s="114">
        <f t="shared" si="30"/>
        <v>0</v>
      </c>
      <c r="M150" s="111">
        <f t="shared" si="30"/>
        <v>3366.5</v>
      </c>
      <c r="N150" s="111">
        <f t="shared" si="30"/>
        <v>407.7</v>
      </c>
      <c r="O150" s="111">
        <f t="shared" si="30"/>
        <v>3774.2</v>
      </c>
      <c r="P150" s="97">
        <f t="shared" ref="P150:P213" si="31">G150+H150</f>
        <v>3774.2</v>
      </c>
      <c r="Q150" s="97">
        <f t="shared" ref="Q150:Q213" si="32">I150-P150</f>
        <v>0</v>
      </c>
    </row>
    <row r="151" spans="1:18" ht="47.25" x14ac:dyDescent="0.2">
      <c r="A151" s="40"/>
      <c r="B151" s="113" t="s">
        <v>187</v>
      </c>
      <c r="C151" s="113" t="s">
        <v>51</v>
      </c>
      <c r="D151" s="133" t="s">
        <v>158</v>
      </c>
      <c r="E151" s="133" t="s">
        <v>188</v>
      </c>
      <c r="F151" s="134" t="s">
        <v>11</v>
      </c>
      <c r="G151" s="111">
        <f t="shared" si="30"/>
        <v>3366.5</v>
      </c>
      <c r="H151" s="111">
        <f t="shared" si="30"/>
        <v>407.7</v>
      </c>
      <c r="I151" s="111">
        <f t="shared" si="30"/>
        <v>3774.2</v>
      </c>
      <c r="J151" s="114">
        <f t="shared" si="30"/>
        <v>0</v>
      </c>
      <c r="K151" s="111">
        <f>K152</f>
        <v>0</v>
      </c>
      <c r="L151" s="114">
        <f t="shared" si="30"/>
        <v>0</v>
      </c>
      <c r="M151" s="111">
        <f t="shared" si="30"/>
        <v>3366.5</v>
      </c>
      <c r="N151" s="111">
        <f t="shared" si="30"/>
        <v>407.7</v>
      </c>
      <c r="O151" s="111">
        <f t="shared" si="30"/>
        <v>3774.2</v>
      </c>
      <c r="P151" s="97">
        <f t="shared" si="31"/>
        <v>3774.2</v>
      </c>
      <c r="Q151" s="97">
        <f t="shared" si="32"/>
        <v>0</v>
      </c>
    </row>
    <row r="152" spans="1:18" ht="41.45" customHeight="1" x14ac:dyDescent="0.2">
      <c r="A152" s="40"/>
      <c r="B152" s="113" t="s">
        <v>189</v>
      </c>
      <c r="C152" s="113" t="s">
        <v>51</v>
      </c>
      <c r="D152" s="133" t="s">
        <v>158</v>
      </c>
      <c r="E152" s="133" t="s">
        <v>190</v>
      </c>
      <c r="F152" s="134" t="s">
        <v>11</v>
      </c>
      <c r="G152" s="111">
        <f>G153</f>
        <v>3366.5</v>
      </c>
      <c r="H152" s="111">
        <v>407.7</v>
      </c>
      <c r="I152" s="111">
        <f>I153</f>
        <v>3774.2</v>
      </c>
      <c r="J152" s="114">
        <f t="shared" si="30"/>
        <v>0</v>
      </c>
      <c r="K152" s="111"/>
      <c r="L152" s="114">
        <f t="shared" si="30"/>
        <v>0</v>
      </c>
      <c r="M152" s="111">
        <f t="shared" si="30"/>
        <v>3366.5</v>
      </c>
      <c r="N152" s="111">
        <f t="shared" si="30"/>
        <v>407.7</v>
      </c>
      <c r="O152" s="111">
        <f t="shared" si="30"/>
        <v>3774.2</v>
      </c>
      <c r="P152" s="97">
        <f t="shared" si="31"/>
        <v>3774.2</v>
      </c>
      <c r="Q152" s="97">
        <f t="shared" si="32"/>
        <v>0</v>
      </c>
    </row>
    <row r="153" spans="1:18" ht="15.75" x14ac:dyDescent="0.2">
      <c r="A153" s="40"/>
      <c r="B153" s="113" t="s">
        <v>47</v>
      </c>
      <c r="C153" s="113" t="s">
        <v>51</v>
      </c>
      <c r="D153" s="133" t="s">
        <v>158</v>
      </c>
      <c r="E153" s="133" t="s">
        <v>190</v>
      </c>
      <c r="F153" s="134" t="s">
        <v>48</v>
      </c>
      <c r="G153" s="111">
        <v>3366.5</v>
      </c>
      <c r="H153" s="163">
        <v>407.7</v>
      </c>
      <c r="I153" s="111">
        <f>3366.5+H153</f>
        <v>3774.2</v>
      </c>
      <c r="J153" s="115">
        <v>0</v>
      </c>
      <c r="K153" s="109"/>
      <c r="L153" s="115">
        <v>0</v>
      </c>
      <c r="M153" s="111">
        <v>3366.5</v>
      </c>
      <c r="N153" s="167">
        <f>SUM(H153)</f>
        <v>407.7</v>
      </c>
      <c r="O153" s="167">
        <f>3366.5+N153</f>
        <v>3774.2</v>
      </c>
      <c r="P153" s="97">
        <f t="shared" si="31"/>
        <v>3774.2</v>
      </c>
      <c r="Q153" s="97">
        <f t="shared" si="32"/>
        <v>0</v>
      </c>
    </row>
    <row r="154" spans="1:18" ht="36.6" customHeight="1" x14ac:dyDescent="0.2">
      <c r="A154" s="33" t="s">
        <v>191</v>
      </c>
      <c r="B154" s="110" t="s">
        <v>192</v>
      </c>
      <c r="C154" s="110" t="s">
        <v>51</v>
      </c>
      <c r="D154" s="131" t="s">
        <v>193</v>
      </c>
      <c r="E154" s="131" t="s">
        <v>11</v>
      </c>
      <c r="F154" s="132" t="s">
        <v>11</v>
      </c>
      <c r="G154" s="109">
        <f>G155</f>
        <v>7267.3</v>
      </c>
      <c r="H154" s="109">
        <f>H155</f>
        <v>-90.600000000000023</v>
      </c>
      <c r="I154" s="109">
        <f>I155</f>
        <v>7176.7000000000007</v>
      </c>
      <c r="J154" s="112">
        <f>J155</f>
        <v>0</v>
      </c>
      <c r="K154" s="111">
        <f>K155+K161+K165</f>
        <v>0</v>
      </c>
      <c r="L154" s="112">
        <f>L155</f>
        <v>0</v>
      </c>
      <c r="M154" s="109">
        <f>M155</f>
        <v>7267.3</v>
      </c>
      <c r="N154" s="109">
        <f>N155</f>
        <v>-90.600000000000023</v>
      </c>
      <c r="O154" s="169">
        <f>O155</f>
        <v>7176.7000000000007</v>
      </c>
      <c r="P154" s="97">
        <f t="shared" si="31"/>
        <v>7176.7</v>
      </c>
      <c r="Q154" s="97">
        <f t="shared" si="32"/>
        <v>0</v>
      </c>
      <c r="R154" s="168"/>
    </row>
    <row r="155" spans="1:18" ht="31.5" x14ac:dyDescent="0.2">
      <c r="A155" s="40"/>
      <c r="B155" s="113" t="s">
        <v>159</v>
      </c>
      <c r="C155" s="113" t="s">
        <v>51</v>
      </c>
      <c r="D155" s="133" t="s">
        <v>193</v>
      </c>
      <c r="E155" s="133" t="s">
        <v>160</v>
      </c>
      <c r="F155" s="134" t="s">
        <v>11</v>
      </c>
      <c r="G155" s="111">
        <f>G156+G162+G166</f>
        <v>7267.3</v>
      </c>
      <c r="H155" s="111">
        <f>H156</f>
        <v>-90.600000000000023</v>
      </c>
      <c r="I155" s="111">
        <f>I156+I162+I166</f>
        <v>7176.7000000000007</v>
      </c>
      <c r="J155" s="114">
        <f>J156+J162+J166</f>
        <v>0</v>
      </c>
      <c r="K155" s="111">
        <f>K156</f>
        <v>0</v>
      </c>
      <c r="L155" s="114">
        <f>L156+L162+L166</f>
        <v>0</v>
      </c>
      <c r="M155" s="111">
        <f>M156+M162+M166</f>
        <v>7267.3</v>
      </c>
      <c r="N155" s="111">
        <f>N156+N162+N166</f>
        <v>-90.600000000000023</v>
      </c>
      <c r="O155" s="111">
        <f>O156+O162+O166</f>
        <v>7176.7000000000007</v>
      </c>
      <c r="P155" s="97">
        <f t="shared" si="31"/>
        <v>7176.7</v>
      </c>
      <c r="Q155" s="97">
        <f t="shared" si="32"/>
        <v>0</v>
      </c>
    </row>
    <row r="156" spans="1:18" ht="31.5" x14ac:dyDescent="0.2">
      <c r="A156" s="40"/>
      <c r="B156" s="113" t="s">
        <v>194</v>
      </c>
      <c r="C156" s="113" t="s">
        <v>51</v>
      </c>
      <c r="D156" s="133" t="s">
        <v>193</v>
      </c>
      <c r="E156" s="133" t="s">
        <v>195</v>
      </c>
      <c r="F156" s="134" t="s">
        <v>11</v>
      </c>
      <c r="G156" s="111">
        <f>G157</f>
        <v>7152.3</v>
      </c>
      <c r="H156" s="111">
        <f>H157</f>
        <v>-90.600000000000023</v>
      </c>
      <c r="I156" s="111">
        <f>I157</f>
        <v>7061.7000000000007</v>
      </c>
      <c r="J156" s="114">
        <f>J157</f>
        <v>0</v>
      </c>
      <c r="K156" s="111">
        <f>K157+K159</f>
        <v>0</v>
      </c>
      <c r="L156" s="114">
        <f>L157</f>
        <v>0</v>
      </c>
      <c r="M156" s="111">
        <f>M157</f>
        <v>7152.3</v>
      </c>
      <c r="N156" s="111">
        <f>N157</f>
        <v>-90.600000000000023</v>
      </c>
      <c r="O156" s="111">
        <f>O157</f>
        <v>7061.7000000000007</v>
      </c>
      <c r="P156" s="97">
        <f t="shared" si="31"/>
        <v>7061.7</v>
      </c>
      <c r="Q156" s="97">
        <f t="shared" si="32"/>
        <v>0</v>
      </c>
    </row>
    <row r="157" spans="1:18" ht="47.25" x14ac:dyDescent="0.2">
      <c r="A157" s="40"/>
      <c r="B157" s="113" t="s">
        <v>196</v>
      </c>
      <c r="C157" s="113" t="s">
        <v>51</v>
      </c>
      <c r="D157" s="133" t="s">
        <v>193</v>
      </c>
      <c r="E157" s="133" t="s">
        <v>197</v>
      </c>
      <c r="F157" s="134" t="s">
        <v>11</v>
      </c>
      <c r="G157" s="111">
        <f>G158+G160</f>
        <v>7152.3</v>
      </c>
      <c r="H157" s="111">
        <f>H158+H160</f>
        <v>-90.600000000000023</v>
      </c>
      <c r="I157" s="111">
        <f>I158+I160</f>
        <v>7061.7000000000007</v>
      </c>
      <c r="J157" s="114">
        <f>J158+J160</f>
        <v>0</v>
      </c>
      <c r="K157" s="111">
        <f>K158</f>
        <v>0</v>
      </c>
      <c r="L157" s="114">
        <f>L158+L160</f>
        <v>0</v>
      </c>
      <c r="M157" s="111">
        <f>M158+M160</f>
        <v>7152.3</v>
      </c>
      <c r="N157" s="111">
        <f>N158+N160</f>
        <v>-90.600000000000023</v>
      </c>
      <c r="O157" s="111">
        <f>O158+O160</f>
        <v>7061.7000000000007</v>
      </c>
      <c r="P157" s="97">
        <f t="shared" si="31"/>
        <v>7061.7</v>
      </c>
      <c r="Q157" s="97">
        <f t="shared" si="32"/>
        <v>0</v>
      </c>
    </row>
    <row r="158" spans="1:18" ht="31.5" x14ac:dyDescent="0.2">
      <c r="A158" s="40"/>
      <c r="B158" s="113" t="s">
        <v>198</v>
      </c>
      <c r="C158" s="113" t="s">
        <v>51</v>
      </c>
      <c r="D158" s="133" t="s">
        <v>193</v>
      </c>
      <c r="E158" s="133" t="s">
        <v>199</v>
      </c>
      <c r="F158" s="134" t="s">
        <v>11</v>
      </c>
      <c r="G158" s="111">
        <f>G159</f>
        <v>2087.5</v>
      </c>
      <c r="H158" s="111">
        <f>SUM(H159)</f>
        <v>-566.9</v>
      </c>
      <c r="I158" s="111">
        <f>I159</f>
        <v>1520.6</v>
      </c>
      <c r="J158" s="114">
        <f>J159</f>
        <v>0</v>
      </c>
      <c r="K158" s="111"/>
      <c r="L158" s="114">
        <f>L159</f>
        <v>0</v>
      </c>
      <c r="M158" s="111">
        <f>M159</f>
        <v>2087.5</v>
      </c>
      <c r="N158" s="111">
        <f>N159</f>
        <v>-566.9</v>
      </c>
      <c r="O158" s="111">
        <f>O159</f>
        <v>1520.6</v>
      </c>
      <c r="P158" s="97">
        <f t="shared" si="31"/>
        <v>1520.6</v>
      </c>
      <c r="Q158" s="97">
        <f t="shared" si="32"/>
        <v>0</v>
      </c>
    </row>
    <row r="159" spans="1:18" ht="31.5" x14ac:dyDescent="0.2">
      <c r="A159" s="40"/>
      <c r="B159" s="113" t="s">
        <v>40</v>
      </c>
      <c r="C159" s="113" t="s">
        <v>51</v>
      </c>
      <c r="D159" s="133" t="s">
        <v>193</v>
      </c>
      <c r="E159" s="133" t="s">
        <v>199</v>
      </c>
      <c r="F159" s="134" t="s">
        <v>41</v>
      </c>
      <c r="G159" s="111">
        <v>2087.5</v>
      </c>
      <c r="H159" s="111">
        <f>-567+0.1</f>
        <v>-566.9</v>
      </c>
      <c r="I159" s="111">
        <f>SUM(G159)+H159</f>
        <v>1520.6</v>
      </c>
      <c r="J159" s="115">
        <v>0</v>
      </c>
      <c r="K159" s="111"/>
      <c r="L159" s="115">
        <v>0</v>
      </c>
      <c r="M159" s="111">
        <f>SUM(G159)</f>
        <v>2087.5</v>
      </c>
      <c r="N159" s="111">
        <f>SUM(H159)</f>
        <v>-566.9</v>
      </c>
      <c r="O159" s="111">
        <f>SUM(I159)</f>
        <v>1520.6</v>
      </c>
      <c r="P159" s="97">
        <f t="shared" si="31"/>
        <v>1520.6</v>
      </c>
      <c r="Q159" s="97">
        <f t="shared" si="32"/>
        <v>0</v>
      </c>
    </row>
    <row r="160" spans="1:18" ht="63" x14ac:dyDescent="0.2">
      <c r="A160" s="40"/>
      <c r="B160" s="113" t="s">
        <v>200</v>
      </c>
      <c r="C160" s="113" t="s">
        <v>51</v>
      </c>
      <c r="D160" s="133" t="s">
        <v>193</v>
      </c>
      <c r="E160" s="133" t="s">
        <v>201</v>
      </c>
      <c r="F160" s="134" t="s">
        <v>11</v>
      </c>
      <c r="G160" s="111">
        <f>G161</f>
        <v>5064.8</v>
      </c>
      <c r="H160" s="167">
        <f>SUM(H161)</f>
        <v>476.29999999999995</v>
      </c>
      <c r="I160" s="111">
        <f>I161</f>
        <v>5541.1</v>
      </c>
      <c r="J160" s="114">
        <f>J161</f>
        <v>0</v>
      </c>
      <c r="K160" s="111"/>
      <c r="L160" s="114">
        <f>L161</f>
        <v>0</v>
      </c>
      <c r="M160" s="111">
        <f>M161</f>
        <v>5064.8</v>
      </c>
      <c r="N160" s="111">
        <f>N161</f>
        <v>476.29999999999995</v>
      </c>
      <c r="O160" s="167">
        <f>O161</f>
        <v>5541.1</v>
      </c>
      <c r="P160" s="97">
        <f t="shared" si="31"/>
        <v>5541.1</v>
      </c>
      <c r="Q160" s="97">
        <f t="shared" si="32"/>
        <v>0</v>
      </c>
    </row>
    <row r="161" spans="1:17" ht="15.75" x14ac:dyDescent="0.2">
      <c r="A161" s="40"/>
      <c r="B161" s="113" t="s">
        <v>47</v>
      </c>
      <c r="C161" s="113" t="s">
        <v>51</v>
      </c>
      <c r="D161" s="133" t="s">
        <v>193</v>
      </c>
      <c r="E161" s="133" t="s">
        <v>201</v>
      </c>
      <c r="F161" s="134" t="s">
        <v>48</v>
      </c>
      <c r="G161" s="111">
        <v>5064.8</v>
      </c>
      <c r="H161" s="167">
        <f>476.4-0.1</f>
        <v>476.29999999999995</v>
      </c>
      <c r="I161" s="111">
        <f>SUM(G161)+H161</f>
        <v>5541.1</v>
      </c>
      <c r="J161" s="115">
        <v>0</v>
      </c>
      <c r="K161" s="111"/>
      <c r="L161" s="115">
        <v>0</v>
      </c>
      <c r="M161" s="111">
        <f>SUM(G161)</f>
        <v>5064.8</v>
      </c>
      <c r="N161" s="111">
        <f>SUM(H161)</f>
        <v>476.29999999999995</v>
      </c>
      <c r="O161" s="111">
        <f>SUM(I161)</f>
        <v>5541.1</v>
      </c>
      <c r="P161" s="97">
        <f t="shared" si="31"/>
        <v>5541.1</v>
      </c>
      <c r="Q161" s="97">
        <f t="shared" si="32"/>
        <v>0</v>
      </c>
    </row>
    <row r="162" spans="1:17" ht="15.75" x14ac:dyDescent="0.2">
      <c r="A162" s="40"/>
      <c r="B162" s="113" t="s">
        <v>202</v>
      </c>
      <c r="C162" s="113" t="s">
        <v>51</v>
      </c>
      <c r="D162" s="133" t="s">
        <v>193</v>
      </c>
      <c r="E162" s="133" t="s">
        <v>203</v>
      </c>
      <c r="F162" s="134" t="s">
        <v>11</v>
      </c>
      <c r="G162" s="111">
        <f t="shared" ref="G162:O164" si="33">G163</f>
        <v>20</v>
      </c>
      <c r="H162" s="111">
        <f t="shared" si="33"/>
        <v>0</v>
      </c>
      <c r="I162" s="111">
        <f t="shared" si="33"/>
        <v>20</v>
      </c>
      <c r="J162" s="114">
        <f t="shared" si="33"/>
        <v>0</v>
      </c>
      <c r="K162" s="111">
        <f>K163</f>
        <v>0</v>
      </c>
      <c r="L162" s="114">
        <f t="shared" si="33"/>
        <v>0</v>
      </c>
      <c r="M162" s="111">
        <f t="shared" si="33"/>
        <v>20</v>
      </c>
      <c r="N162" s="111">
        <f t="shared" si="33"/>
        <v>0</v>
      </c>
      <c r="O162" s="111">
        <f t="shared" si="33"/>
        <v>20</v>
      </c>
      <c r="P162" s="97">
        <f t="shared" si="31"/>
        <v>20</v>
      </c>
      <c r="Q162" s="97">
        <f t="shared" si="32"/>
        <v>0</v>
      </c>
    </row>
    <row r="163" spans="1:17" ht="34.9" customHeight="1" x14ac:dyDescent="0.2">
      <c r="A163" s="40"/>
      <c r="B163" s="113" t="s">
        <v>204</v>
      </c>
      <c r="C163" s="113" t="s">
        <v>51</v>
      </c>
      <c r="D163" s="133" t="s">
        <v>193</v>
      </c>
      <c r="E163" s="133" t="s">
        <v>205</v>
      </c>
      <c r="F163" s="134" t="s">
        <v>11</v>
      </c>
      <c r="G163" s="111">
        <f t="shared" si="33"/>
        <v>20</v>
      </c>
      <c r="H163" s="111">
        <f t="shared" si="33"/>
        <v>0</v>
      </c>
      <c r="I163" s="111">
        <f t="shared" si="33"/>
        <v>20</v>
      </c>
      <c r="J163" s="114">
        <f t="shared" si="33"/>
        <v>0</v>
      </c>
      <c r="K163" s="111">
        <f>K164</f>
        <v>0</v>
      </c>
      <c r="L163" s="114">
        <f t="shared" si="33"/>
        <v>0</v>
      </c>
      <c r="M163" s="111">
        <f t="shared" si="33"/>
        <v>20</v>
      </c>
      <c r="N163" s="111">
        <f t="shared" si="33"/>
        <v>0</v>
      </c>
      <c r="O163" s="111">
        <f t="shared" si="33"/>
        <v>20</v>
      </c>
      <c r="P163" s="97">
        <f t="shared" si="31"/>
        <v>20</v>
      </c>
      <c r="Q163" s="97">
        <f t="shared" si="32"/>
        <v>0</v>
      </c>
    </row>
    <row r="164" spans="1:17" ht="15.75" x14ac:dyDescent="0.2">
      <c r="A164" s="40"/>
      <c r="B164" s="113" t="s">
        <v>206</v>
      </c>
      <c r="C164" s="113" t="s">
        <v>51</v>
      </c>
      <c r="D164" s="133" t="s">
        <v>193</v>
      </c>
      <c r="E164" s="133" t="s">
        <v>207</v>
      </c>
      <c r="F164" s="134" t="s">
        <v>11</v>
      </c>
      <c r="G164" s="111">
        <f>G165</f>
        <v>20</v>
      </c>
      <c r="H164" s="111"/>
      <c r="I164" s="111">
        <f>I165</f>
        <v>20</v>
      </c>
      <c r="J164" s="114">
        <f t="shared" si="33"/>
        <v>0</v>
      </c>
      <c r="K164" s="111"/>
      <c r="L164" s="114">
        <f t="shared" si="33"/>
        <v>0</v>
      </c>
      <c r="M164" s="111">
        <f t="shared" si="33"/>
        <v>20</v>
      </c>
      <c r="N164" s="111">
        <f t="shared" si="33"/>
        <v>0</v>
      </c>
      <c r="O164" s="111">
        <f t="shared" si="33"/>
        <v>20</v>
      </c>
      <c r="P164" s="97">
        <f t="shared" si="31"/>
        <v>20</v>
      </c>
      <c r="Q164" s="97">
        <f t="shared" si="32"/>
        <v>0</v>
      </c>
    </row>
    <row r="165" spans="1:17" ht="31.5" x14ac:dyDescent="0.2">
      <c r="A165" s="40"/>
      <c r="B165" s="113" t="s">
        <v>40</v>
      </c>
      <c r="C165" s="113" t="s">
        <v>51</v>
      </c>
      <c r="D165" s="133" t="s">
        <v>193</v>
      </c>
      <c r="E165" s="133" t="s">
        <v>207</v>
      </c>
      <c r="F165" s="134" t="s">
        <v>41</v>
      </c>
      <c r="G165" s="111">
        <v>20</v>
      </c>
      <c r="H165" s="111"/>
      <c r="I165" s="111">
        <v>20</v>
      </c>
      <c r="J165" s="115">
        <v>0</v>
      </c>
      <c r="K165" s="111"/>
      <c r="L165" s="115">
        <v>0</v>
      </c>
      <c r="M165" s="111">
        <v>20</v>
      </c>
      <c r="N165" s="111"/>
      <c r="O165" s="111">
        <v>20</v>
      </c>
      <c r="P165" s="97">
        <f t="shared" si="31"/>
        <v>20</v>
      </c>
      <c r="Q165" s="97">
        <f t="shared" si="32"/>
        <v>0</v>
      </c>
    </row>
    <row r="166" spans="1:17" ht="31.5" x14ac:dyDescent="0.2">
      <c r="A166" s="40"/>
      <c r="B166" s="113" t="s">
        <v>185</v>
      </c>
      <c r="C166" s="113" t="s">
        <v>51</v>
      </c>
      <c r="D166" s="133" t="s">
        <v>193</v>
      </c>
      <c r="E166" s="133" t="s">
        <v>186</v>
      </c>
      <c r="F166" s="134" t="s">
        <v>11</v>
      </c>
      <c r="G166" s="111">
        <f t="shared" ref="G166:O168" si="34">G167</f>
        <v>95</v>
      </c>
      <c r="H166" s="111">
        <f t="shared" si="34"/>
        <v>0</v>
      </c>
      <c r="I166" s="111">
        <f t="shared" si="34"/>
        <v>95</v>
      </c>
      <c r="J166" s="114">
        <f t="shared" si="34"/>
        <v>0</v>
      </c>
      <c r="K166" s="111">
        <f>K167</f>
        <v>0</v>
      </c>
      <c r="L166" s="114">
        <f t="shared" si="34"/>
        <v>0</v>
      </c>
      <c r="M166" s="111">
        <f t="shared" si="34"/>
        <v>95</v>
      </c>
      <c r="N166" s="111">
        <f t="shared" si="34"/>
        <v>0</v>
      </c>
      <c r="O166" s="111">
        <f t="shared" si="34"/>
        <v>95</v>
      </c>
      <c r="P166" s="97">
        <f t="shared" si="31"/>
        <v>95</v>
      </c>
      <c r="Q166" s="97">
        <f t="shared" si="32"/>
        <v>0</v>
      </c>
    </row>
    <row r="167" spans="1:17" ht="52.15" customHeight="1" x14ac:dyDescent="0.2">
      <c r="A167" s="40"/>
      <c r="B167" s="113" t="s">
        <v>208</v>
      </c>
      <c r="C167" s="113" t="s">
        <v>51</v>
      </c>
      <c r="D167" s="133" t="s">
        <v>193</v>
      </c>
      <c r="E167" s="133" t="s">
        <v>209</v>
      </c>
      <c r="F167" s="134" t="s">
        <v>11</v>
      </c>
      <c r="G167" s="111">
        <f t="shared" si="34"/>
        <v>95</v>
      </c>
      <c r="H167" s="111">
        <f t="shared" si="34"/>
        <v>0</v>
      </c>
      <c r="I167" s="111">
        <f t="shared" si="34"/>
        <v>95</v>
      </c>
      <c r="J167" s="114">
        <f t="shared" si="34"/>
        <v>0</v>
      </c>
      <c r="K167" s="111">
        <f>K168</f>
        <v>0</v>
      </c>
      <c r="L167" s="114">
        <f t="shared" si="34"/>
        <v>0</v>
      </c>
      <c r="M167" s="111">
        <f t="shared" si="34"/>
        <v>95</v>
      </c>
      <c r="N167" s="111">
        <f t="shared" si="34"/>
        <v>0</v>
      </c>
      <c r="O167" s="111">
        <f t="shared" si="34"/>
        <v>95</v>
      </c>
      <c r="P167" s="97">
        <f t="shared" si="31"/>
        <v>95</v>
      </c>
      <c r="Q167" s="97">
        <f t="shared" si="32"/>
        <v>0</v>
      </c>
    </row>
    <row r="168" spans="1:17" ht="20.45" customHeight="1" x14ac:dyDescent="0.2">
      <c r="A168" s="40"/>
      <c r="B168" s="113" t="s">
        <v>210</v>
      </c>
      <c r="C168" s="113" t="s">
        <v>51</v>
      </c>
      <c r="D168" s="133" t="s">
        <v>193</v>
      </c>
      <c r="E168" s="133" t="s">
        <v>211</v>
      </c>
      <c r="F168" s="134" t="s">
        <v>11</v>
      </c>
      <c r="G168" s="111">
        <f>G169</f>
        <v>95</v>
      </c>
      <c r="H168" s="111"/>
      <c r="I168" s="111">
        <f>I169</f>
        <v>95</v>
      </c>
      <c r="J168" s="114">
        <f t="shared" si="34"/>
        <v>0</v>
      </c>
      <c r="K168" s="111"/>
      <c r="L168" s="114">
        <f t="shared" si="34"/>
        <v>0</v>
      </c>
      <c r="M168" s="111">
        <f t="shared" si="34"/>
        <v>95</v>
      </c>
      <c r="N168" s="111">
        <f t="shared" si="34"/>
        <v>0</v>
      </c>
      <c r="O168" s="111">
        <f t="shared" si="34"/>
        <v>95</v>
      </c>
      <c r="P168" s="97">
        <f t="shared" si="31"/>
        <v>95</v>
      </c>
      <c r="Q168" s="97">
        <f t="shared" si="32"/>
        <v>0</v>
      </c>
    </row>
    <row r="169" spans="1:17" ht="31.5" x14ac:dyDescent="0.2">
      <c r="A169" s="40"/>
      <c r="B169" s="113" t="s">
        <v>40</v>
      </c>
      <c r="C169" s="113" t="s">
        <v>51</v>
      </c>
      <c r="D169" s="133" t="s">
        <v>193</v>
      </c>
      <c r="E169" s="133" t="s">
        <v>211</v>
      </c>
      <c r="F169" s="134" t="s">
        <v>41</v>
      </c>
      <c r="G169" s="111">
        <v>95</v>
      </c>
      <c r="H169" s="106"/>
      <c r="I169" s="111">
        <v>95</v>
      </c>
      <c r="J169" s="115">
        <v>0</v>
      </c>
      <c r="K169" s="106"/>
      <c r="L169" s="115">
        <v>0</v>
      </c>
      <c r="M169" s="111">
        <v>95</v>
      </c>
      <c r="N169" s="111"/>
      <c r="O169" s="111">
        <v>95</v>
      </c>
      <c r="P169" s="97">
        <f t="shared" si="31"/>
        <v>95</v>
      </c>
      <c r="Q169" s="97">
        <f t="shared" si="32"/>
        <v>0</v>
      </c>
    </row>
    <row r="170" spans="1:17" ht="15.75" x14ac:dyDescent="0.2">
      <c r="A170" s="20" t="s">
        <v>212</v>
      </c>
      <c r="B170" s="107" t="s">
        <v>213</v>
      </c>
      <c r="C170" s="107" t="s">
        <v>51</v>
      </c>
      <c r="D170" s="129" t="s">
        <v>214</v>
      </c>
      <c r="E170" s="129" t="s">
        <v>11</v>
      </c>
      <c r="F170" s="130" t="s">
        <v>11</v>
      </c>
      <c r="G170" s="106">
        <f t="shared" ref="G170:O170" si="35">G171+G179+G202+G208</f>
        <v>78472.100000000006</v>
      </c>
      <c r="H170" s="106">
        <f>H171+H179+H202+H208</f>
        <v>1182.1000000000001</v>
      </c>
      <c r="I170" s="106">
        <f t="shared" si="35"/>
        <v>79654.2</v>
      </c>
      <c r="J170" s="108">
        <f t="shared" si="35"/>
        <v>205446.9</v>
      </c>
      <c r="K170" s="108">
        <f t="shared" si="35"/>
        <v>10000</v>
      </c>
      <c r="L170" s="108">
        <f t="shared" si="35"/>
        <v>215446.9</v>
      </c>
      <c r="M170" s="106">
        <f t="shared" si="35"/>
        <v>283919</v>
      </c>
      <c r="N170" s="106">
        <f t="shared" si="35"/>
        <v>11182.099999999999</v>
      </c>
      <c r="O170" s="106">
        <f t="shared" si="35"/>
        <v>295101.09999999998</v>
      </c>
      <c r="P170" s="97">
        <f t="shared" si="31"/>
        <v>79654.200000000012</v>
      </c>
      <c r="Q170" s="97">
        <f t="shared" si="32"/>
        <v>0</v>
      </c>
    </row>
    <row r="171" spans="1:17" ht="15.75" x14ac:dyDescent="0.2">
      <c r="A171" s="33" t="s">
        <v>215</v>
      </c>
      <c r="B171" s="110" t="s">
        <v>216</v>
      </c>
      <c r="C171" s="110" t="s">
        <v>51</v>
      </c>
      <c r="D171" s="131" t="s">
        <v>217</v>
      </c>
      <c r="E171" s="131" t="s">
        <v>11</v>
      </c>
      <c r="F171" s="132" t="s">
        <v>11</v>
      </c>
      <c r="G171" s="109">
        <f t="shared" ref="G171:O175" si="36">G172</f>
        <v>11222.4</v>
      </c>
      <c r="H171" s="111">
        <f t="shared" si="36"/>
        <v>0</v>
      </c>
      <c r="I171" s="109">
        <f t="shared" si="36"/>
        <v>11222.4</v>
      </c>
      <c r="J171" s="112">
        <f t="shared" si="36"/>
        <v>148194</v>
      </c>
      <c r="K171" s="111">
        <f>K172</f>
        <v>0</v>
      </c>
      <c r="L171" s="112">
        <f t="shared" si="36"/>
        <v>148194</v>
      </c>
      <c r="M171" s="109">
        <f>M172</f>
        <v>159416.4</v>
      </c>
      <c r="N171" s="109">
        <f t="shared" si="36"/>
        <v>0</v>
      </c>
      <c r="O171" s="109">
        <f t="shared" si="36"/>
        <v>159416.4</v>
      </c>
      <c r="P171" s="97">
        <f t="shared" si="31"/>
        <v>11222.4</v>
      </c>
      <c r="Q171" s="97">
        <f t="shared" si="32"/>
        <v>0</v>
      </c>
    </row>
    <row r="172" spans="1:17" ht="31.5" x14ac:dyDescent="0.2">
      <c r="A172" s="40"/>
      <c r="B172" s="113" t="s">
        <v>218</v>
      </c>
      <c r="C172" s="113" t="s">
        <v>51</v>
      </c>
      <c r="D172" s="133" t="s">
        <v>217</v>
      </c>
      <c r="E172" s="133" t="s">
        <v>219</v>
      </c>
      <c r="F172" s="134" t="s">
        <v>11</v>
      </c>
      <c r="G172" s="111">
        <f t="shared" si="36"/>
        <v>11222.4</v>
      </c>
      <c r="H172" s="111">
        <f t="shared" si="36"/>
        <v>0</v>
      </c>
      <c r="I172" s="111">
        <f t="shared" si="36"/>
        <v>11222.4</v>
      </c>
      <c r="J172" s="114">
        <f t="shared" si="36"/>
        <v>148194</v>
      </c>
      <c r="K172" s="111">
        <f>K173</f>
        <v>0</v>
      </c>
      <c r="L172" s="114">
        <f t="shared" si="36"/>
        <v>148194</v>
      </c>
      <c r="M172" s="111">
        <f t="shared" si="36"/>
        <v>159416.4</v>
      </c>
      <c r="N172" s="111">
        <f t="shared" si="36"/>
        <v>0</v>
      </c>
      <c r="O172" s="111">
        <f t="shared" si="36"/>
        <v>159416.4</v>
      </c>
      <c r="P172" s="97">
        <f t="shared" si="31"/>
        <v>11222.4</v>
      </c>
      <c r="Q172" s="97">
        <f t="shared" si="32"/>
        <v>0</v>
      </c>
    </row>
    <row r="173" spans="1:17" ht="31.5" x14ac:dyDescent="0.2">
      <c r="A173" s="40"/>
      <c r="B173" s="113" t="s">
        <v>185</v>
      </c>
      <c r="C173" s="113" t="s">
        <v>51</v>
      </c>
      <c r="D173" s="133" t="s">
        <v>217</v>
      </c>
      <c r="E173" s="133" t="s">
        <v>220</v>
      </c>
      <c r="F173" s="134" t="s">
        <v>11</v>
      </c>
      <c r="G173" s="111">
        <f t="shared" si="36"/>
        <v>11222.4</v>
      </c>
      <c r="H173" s="111">
        <f t="shared" si="36"/>
        <v>0</v>
      </c>
      <c r="I173" s="111">
        <f t="shared" si="36"/>
        <v>11222.4</v>
      </c>
      <c r="J173" s="114">
        <f t="shared" si="36"/>
        <v>148194</v>
      </c>
      <c r="K173" s="111">
        <f>K174</f>
        <v>0</v>
      </c>
      <c r="L173" s="114">
        <f t="shared" si="36"/>
        <v>148194</v>
      </c>
      <c r="M173" s="111">
        <f t="shared" si="36"/>
        <v>159416.4</v>
      </c>
      <c r="N173" s="111">
        <f t="shared" si="36"/>
        <v>0</v>
      </c>
      <c r="O173" s="111">
        <f t="shared" si="36"/>
        <v>159416.4</v>
      </c>
      <c r="P173" s="97">
        <f t="shared" si="31"/>
        <v>11222.4</v>
      </c>
      <c r="Q173" s="97">
        <f t="shared" si="32"/>
        <v>0</v>
      </c>
    </row>
    <row r="174" spans="1:17" ht="31.5" x14ac:dyDescent="0.2">
      <c r="A174" s="40"/>
      <c r="B174" s="113" t="s">
        <v>221</v>
      </c>
      <c r="C174" s="113" t="s">
        <v>51</v>
      </c>
      <c r="D174" s="133" t="s">
        <v>217</v>
      </c>
      <c r="E174" s="133" t="s">
        <v>222</v>
      </c>
      <c r="F174" s="134" t="s">
        <v>11</v>
      </c>
      <c r="G174" s="111">
        <f>G175+G177</f>
        <v>11222.4</v>
      </c>
      <c r="H174" s="111">
        <f>H175+H177</f>
        <v>0</v>
      </c>
      <c r="I174" s="111">
        <f>I175+I177</f>
        <v>11222.4</v>
      </c>
      <c r="J174" s="114">
        <f t="shared" si="36"/>
        <v>148194</v>
      </c>
      <c r="K174" s="111">
        <f>K175</f>
        <v>0</v>
      </c>
      <c r="L174" s="114">
        <f t="shared" si="36"/>
        <v>148194</v>
      </c>
      <c r="M174" s="111">
        <f>SUM(G174+J174)</f>
        <v>159416.4</v>
      </c>
      <c r="N174" s="111">
        <f>N175+N177</f>
        <v>0</v>
      </c>
      <c r="O174" s="111">
        <f>SUM(I174+L174)</f>
        <v>159416.4</v>
      </c>
      <c r="P174" s="97">
        <f t="shared" si="31"/>
        <v>11222.4</v>
      </c>
      <c r="Q174" s="97">
        <f t="shared" si="32"/>
        <v>0</v>
      </c>
    </row>
    <row r="175" spans="1:17" ht="84" customHeight="1" x14ac:dyDescent="0.2">
      <c r="A175" s="40"/>
      <c r="B175" s="113" t="s">
        <v>577</v>
      </c>
      <c r="C175" s="113" t="s">
        <v>51</v>
      </c>
      <c r="D175" s="133" t="s">
        <v>217</v>
      </c>
      <c r="E175" s="133" t="s">
        <v>224</v>
      </c>
      <c r="F175" s="134" t="s">
        <v>11</v>
      </c>
      <c r="G175" s="111">
        <f>G176</f>
        <v>7799.8</v>
      </c>
      <c r="H175" s="111"/>
      <c r="I175" s="111">
        <f>I176</f>
        <v>7799.8</v>
      </c>
      <c r="J175" s="114">
        <f t="shared" si="36"/>
        <v>148194</v>
      </c>
      <c r="K175" s="111">
        <f>SUM(K176)</f>
        <v>0</v>
      </c>
      <c r="L175" s="114">
        <f t="shared" si="36"/>
        <v>148194</v>
      </c>
      <c r="M175" s="111">
        <f t="shared" si="36"/>
        <v>155993.79999999999</v>
      </c>
      <c r="N175" s="111">
        <f>N176</f>
        <v>0</v>
      </c>
      <c r="O175" s="111">
        <f t="shared" si="36"/>
        <v>155993.79999999999</v>
      </c>
      <c r="P175" s="97">
        <f t="shared" si="31"/>
        <v>7799.8</v>
      </c>
      <c r="Q175" s="97">
        <f t="shared" si="32"/>
        <v>0</v>
      </c>
    </row>
    <row r="176" spans="1:17" ht="31.5" x14ac:dyDescent="0.2">
      <c r="A176" s="40"/>
      <c r="B176" s="113" t="s">
        <v>225</v>
      </c>
      <c r="C176" s="113" t="s">
        <v>51</v>
      </c>
      <c r="D176" s="133" t="s">
        <v>217</v>
      </c>
      <c r="E176" s="133" t="s">
        <v>224</v>
      </c>
      <c r="F176" s="134" t="s">
        <v>226</v>
      </c>
      <c r="G176" s="111">
        <v>7799.8</v>
      </c>
      <c r="H176" s="109"/>
      <c r="I176" s="111">
        <f>487.6+7312.2</f>
        <v>7799.8</v>
      </c>
      <c r="J176" s="115">
        <v>148194</v>
      </c>
      <c r="K176" s="109"/>
      <c r="L176" s="115">
        <f>SUM(J176)</f>
        <v>148194</v>
      </c>
      <c r="M176" s="111">
        <f>SUM(G176+J176)</f>
        <v>155993.79999999999</v>
      </c>
      <c r="N176" s="111">
        <f>SUM(K176)+H176</f>
        <v>0</v>
      </c>
      <c r="O176" s="111">
        <f>SUM(N176)+M176</f>
        <v>155993.79999999999</v>
      </c>
      <c r="P176" s="97">
        <f t="shared" si="31"/>
        <v>7799.8</v>
      </c>
      <c r="Q176" s="97">
        <f t="shared" si="32"/>
        <v>0</v>
      </c>
    </row>
    <row r="177" spans="1:17" ht="110.25" x14ac:dyDescent="0.2">
      <c r="A177" s="40"/>
      <c r="B177" s="140" t="s">
        <v>576</v>
      </c>
      <c r="C177" s="113">
        <v>992</v>
      </c>
      <c r="D177" s="133" t="s">
        <v>217</v>
      </c>
      <c r="E177" s="136" t="s">
        <v>562</v>
      </c>
      <c r="F177" s="134"/>
      <c r="G177" s="111">
        <f>SUM(G178)</f>
        <v>3422.6</v>
      </c>
      <c r="H177" s="111">
        <f>H178</f>
        <v>0</v>
      </c>
      <c r="I177" s="111">
        <f>SUM(G177:H177)</f>
        <v>3422.6</v>
      </c>
      <c r="J177" s="115"/>
      <c r="K177" s="109"/>
      <c r="L177" s="115"/>
      <c r="M177" s="111">
        <f>M178</f>
        <v>3422.6</v>
      </c>
      <c r="N177" s="111">
        <f t="shared" ref="M177:O178" si="37">SUM(H177)</f>
        <v>0</v>
      </c>
      <c r="O177" s="111">
        <f>SUM(I177)</f>
        <v>3422.6</v>
      </c>
      <c r="P177" s="97">
        <f t="shared" si="31"/>
        <v>3422.6</v>
      </c>
      <c r="Q177" s="97">
        <f t="shared" si="32"/>
        <v>0</v>
      </c>
    </row>
    <row r="178" spans="1:17" ht="31.5" x14ac:dyDescent="0.2">
      <c r="A178" s="40"/>
      <c r="B178" s="113" t="s">
        <v>225</v>
      </c>
      <c r="C178" s="113">
        <v>992</v>
      </c>
      <c r="D178" s="133" t="s">
        <v>217</v>
      </c>
      <c r="E178" s="136" t="s">
        <v>562</v>
      </c>
      <c r="F178" s="134">
        <v>400</v>
      </c>
      <c r="G178" s="111">
        <v>3422.6</v>
      </c>
      <c r="H178" s="111"/>
      <c r="I178" s="111">
        <f>SUM(H178)+G178</f>
        <v>3422.6</v>
      </c>
      <c r="J178" s="115"/>
      <c r="K178" s="109"/>
      <c r="L178" s="115"/>
      <c r="M178" s="111">
        <f t="shared" si="37"/>
        <v>3422.6</v>
      </c>
      <c r="N178" s="111">
        <f t="shared" si="37"/>
        <v>0</v>
      </c>
      <c r="O178" s="111">
        <f t="shared" si="37"/>
        <v>3422.6</v>
      </c>
      <c r="P178" s="97">
        <f t="shared" si="31"/>
        <v>3422.6</v>
      </c>
      <c r="Q178" s="97">
        <f t="shared" si="32"/>
        <v>0</v>
      </c>
    </row>
    <row r="179" spans="1:17" ht="15.75" x14ac:dyDescent="0.2">
      <c r="A179" s="33" t="s">
        <v>227</v>
      </c>
      <c r="B179" s="110" t="s">
        <v>228</v>
      </c>
      <c r="C179" s="110" t="s">
        <v>51</v>
      </c>
      <c r="D179" s="131" t="s">
        <v>229</v>
      </c>
      <c r="E179" s="131" t="s">
        <v>11</v>
      </c>
      <c r="F179" s="132" t="s">
        <v>11</v>
      </c>
      <c r="G179" s="109">
        <f>G180+G193+G199</f>
        <v>34379.9</v>
      </c>
      <c r="H179" s="111">
        <f>H180+H193+H200</f>
        <v>1040.3</v>
      </c>
      <c r="I179" s="109">
        <f>I180+I193+I199</f>
        <v>35420.199999999997</v>
      </c>
      <c r="J179" s="112">
        <f>J180+J193</f>
        <v>43692.5</v>
      </c>
      <c r="K179" s="109">
        <f>K180</f>
        <v>10000</v>
      </c>
      <c r="L179" s="112">
        <f>L180+L193</f>
        <v>53692.5</v>
      </c>
      <c r="M179" s="109">
        <f>M180+M193+M199</f>
        <v>78072.400000000009</v>
      </c>
      <c r="N179" s="109">
        <f>N180+N193+N200</f>
        <v>11040.3</v>
      </c>
      <c r="O179" s="109">
        <f>O180+O193+O199</f>
        <v>89112.700000000012</v>
      </c>
      <c r="P179" s="97">
        <f t="shared" si="31"/>
        <v>35420.200000000004</v>
      </c>
      <c r="Q179" s="97">
        <f t="shared" si="32"/>
        <v>0</v>
      </c>
    </row>
    <row r="180" spans="1:17" ht="47.25" x14ac:dyDescent="0.2">
      <c r="A180" s="40"/>
      <c r="B180" s="113" t="s">
        <v>230</v>
      </c>
      <c r="C180" s="113" t="s">
        <v>51</v>
      </c>
      <c r="D180" s="133" t="s">
        <v>229</v>
      </c>
      <c r="E180" s="133" t="s">
        <v>231</v>
      </c>
      <c r="F180" s="134" t="s">
        <v>11</v>
      </c>
      <c r="G180" s="111">
        <f>G181</f>
        <v>17303.3</v>
      </c>
      <c r="H180" s="111">
        <f>H181</f>
        <v>1040.3</v>
      </c>
      <c r="I180" s="111">
        <f>I181</f>
        <v>18343.599999999999</v>
      </c>
      <c r="J180" s="114">
        <f>J181</f>
        <v>43692.5</v>
      </c>
      <c r="K180" s="111">
        <f>K181+K189</f>
        <v>10000</v>
      </c>
      <c r="L180" s="114">
        <f>L181</f>
        <v>53692.5</v>
      </c>
      <c r="M180" s="111">
        <f>M181</f>
        <v>60995.8</v>
      </c>
      <c r="N180" s="111">
        <f>N181</f>
        <v>11040.3</v>
      </c>
      <c r="O180" s="111">
        <f>O181</f>
        <v>72036.100000000006</v>
      </c>
      <c r="P180" s="97">
        <f t="shared" si="31"/>
        <v>18343.599999999999</v>
      </c>
      <c r="Q180" s="97">
        <f t="shared" si="32"/>
        <v>0</v>
      </c>
    </row>
    <row r="181" spans="1:17" ht="47.25" x14ac:dyDescent="0.2">
      <c r="A181" s="40"/>
      <c r="B181" s="113" t="s">
        <v>232</v>
      </c>
      <c r="C181" s="113" t="s">
        <v>51</v>
      </c>
      <c r="D181" s="133" t="s">
        <v>229</v>
      </c>
      <c r="E181" s="133" t="s">
        <v>233</v>
      </c>
      <c r="F181" s="134" t="s">
        <v>11</v>
      </c>
      <c r="G181" s="111">
        <f>G182+G190</f>
        <v>17303.3</v>
      </c>
      <c r="H181" s="111">
        <f>H182+H190</f>
        <v>1040.3</v>
      </c>
      <c r="I181" s="111">
        <f>I182+I190</f>
        <v>18343.599999999999</v>
      </c>
      <c r="J181" s="114">
        <f>J182+J190</f>
        <v>43692.5</v>
      </c>
      <c r="K181" s="111">
        <f>K182</f>
        <v>10000</v>
      </c>
      <c r="L181" s="114">
        <f>L182+L190</f>
        <v>53692.5</v>
      </c>
      <c r="M181" s="111">
        <f>M182+M190</f>
        <v>60995.8</v>
      </c>
      <c r="N181" s="111">
        <f>N182+N190</f>
        <v>11040.3</v>
      </c>
      <c r="O181" s="111">
        <f>O182+O190</f>
        <v>72036.100000000006</v>
      </c>
      <c r="P181" s="97">
        <f t="shared" si="31"/>
        <v>18343.599999999999</v>
      </c>
      <c r="Q181" s="97">
        <f t="shared" si="32"/>
        <v>0</v>
      </c>
    </row>
    <row r="182" spans="1:17" ht="31.5" x14ac:dyDescent="0.2">
      <c r="A182" s="40"/>
      <c r="B182" s="113" t="s">
        <v>234</v>
      </c>
      <c r="C182" s="113" t="s">
        <v>51</v>
      </c>
      <c r="D182" s="133" t="s">
        <v>229</v>
      </c>
      <c r="E182" s="133" t="s">
        <v>235</v>
      </c>
      <c r="F182" s="134" t="s">
        <v>11</v>
      </c>
      <c r="G182" s="111">
        <f>G183+G188+G186</f>
        <v>10070.299999999999</v>
      </c>
      <c r="H182" s="111">
        <f t="shared" ref="H182:O182" si="38">H183+H188+H186</f>
        <v>200</v>
      </c>
      <c r="I182" s="111">
        <f t="shared" si="38"/>
        <v>10270.299999999999</v>
      </c>
      <c r="J182" s="111">
        <f t="shared" si="38"/>
        <v>43692.5</v>
      </c>
      <c r="K182" s="111">
        <f t="shared" si="38"/>
        <v>10000</v>
      </c>
      <c r="L182" s="111">
        <f t="shared" si="38"/>
        <v>53692.5</v>
      </c>
      <c r="M182" s="111">
        <f t="shared" si="38"/>
        <v>53762.8</v>
      </c>
      <c r="N182" s="111">
        <f t="shared" si="38"/>
        <v>10200</v>
      </c>
      <c r="O182" s="111">
        <f t="shared" si="38"/>
        <v>63962.8</v>
      </c>
      <c r="P182" s="97">
        <f t="shared" si="31"/>
        <v>10270.299999999999</v>
      </c>
      <c r="Q182" s="97">
        <f t="shared" si="32"/>
        <v>0</v>
      </c>
    </row>
    <row r="183" spans="1:17" ht="63" x14ac:dyDescent="0.2">
      <c r="A183" s="40"/>
      <c r="B183" s="113" t="s">
        <v>236</v>
      </c>
      <c r="C183" s="113" t="s">
        <v>51</v>
      </c>
      <c r="D183" s="133" t="s">
        <v>229</v>
      </c>
      <c r="E183" s="133" t="s">
        <v>237</v>
      </c>
      <c r="F183" s="134" t="s">
        <v>11</v>
      </c>
      <c r="G183" s="111">
        <f>G184+G185</f>
        <v>10070.299999999999</v>
      </c>
      <c r="H183" s="111">
        <f>H184+H185</f>
        <v>200</v>
      </c>
      <c r="I183" s="111">
        <f t="shared" ref="I183:O183" si="39">I184+I185</f>
        <v>10270.299999999999</v>
      </c>
      <c r="J183" s="114">
        <f t="shared" si="39"/>
        <v>17036</v>
      </c>
      <c r="K183" s="114">
        <f t="shared" si="39"/>
        <v>10000</v>
      </c>
      <c r="L183" s="114">
        <f t="shared" si="39"/>
        <v>27036</v>
      </c>
      <c r="M183" s="111">
        <f t="shared" si="39"/>
        <v>27106.3</v>
      </c>
      <c r="N183" s="111">
        <f t="shared" si="39"/>
        <v>10200</v>
      </c>
      <c r="O183" s="111">
        <f t="shared" si="39"/>
        <v>37306.300000000003</v>
      </c>
      <c r="P183" s="97">
        <f t="shared" si="31"/>
        <v>10270.299999999999</v>
      </c>
      <c r="Q183" s="97">
        <f t="shared" si="32"/>
        <v>0</v>
      </c>
    </row>
    <row r="184" spans="1:17" ht="31.5" x14ac:dyDescent="0.2">
      <c r="A184" s="40"/>
      <c r="B184" s="113" t="s">
        <v>40</v>
      </c>
      <c r="C184" s="113" t="s">
        <v>51</v>
      </c>
      <c r="D184" s="133" t="s">
        <v>229</v>
      </c>
      <c r="E184" s="133" t="s">
        <v>237</v>
      </c>
      <c r="F184" s="134" t="s">
        <v>41</v>
      </c>
      <c r="G184" s="111">
        <v>9590.2999999999993</v>
      </c>
      <c r="H184" s="111">
        <v>200</v>
      </c>
      <c r="I184" s="111">
        <f>SUM(G184)+H184</f>
        <v>9790.2999999999993</v>
      </c>
      <c r="J184" s="115">
        <v>0</v>
      </c>
      <c r="K184" s="111">
        <f>8000+2000</f>
        <v>10000</v>
      </c>
      <c r="L184" s="115">
        <f>SUM(K184)</f>
        <v>10000</v>
      </c>
      <c r="M184" s="111">
        <f>SUM(G184)</f>
        <v>9590.2999999999993</v>
      </c>
      <c r="N184" s="111">
        <f>SUM(K184)+H184</f>
        <v>10200</v>
      </c>
      <c r="O184" s="111">
        <f>SUM(I184+L184)</f>
        <v>19790.3</v>
      </c>
      <c r="P184" s="97">
        <f t="shared" si="31"/>
        <v>9790.2999999999993</v>
      </c>
      <c r="Q184" s="97">
        <f t="shared" si="32"/>
        <v>0</v>
      </c>
    </row>
    <row r="185" spans="1:17" ht="31.5" x14ac:dyDescent="0.2">
      <c r="A185" s="40"/>
      <c r="B185" s="113" t="s">
        <v>225</v>
      </c>
      <c r="C185" s="118">
        <v>992</v>
      </c>
      <c r="D185" s="136" t="s">
        <v>229</v>
      </c>
      <c r="E185" s="136" t="s">
        <v>237</v>
      </c>
      <c r="F185" s="141" t="s">
        <v>226</v>
      </c>
      <c r="G185" s="111">
        <v>480</v>
      </c>
      <c r="H185" s="111"/>
      <c r="I185" s="111">
        <f>SUM(G185)+H185</f>
        <v>480</v>
      </c>
      <c r="J185" s="115">
        <v>17036</v>
      </c>
      <c r="K185" s="111"/>
      <c r="L185" s="115">
        <f>SUM(J185)</f>
        <v>17036</v>
      </c>
      <c r="M185" s="111">
        <f>SUM(G185+J185)</f>
        <v>17516</v>
      </c>
      <c r="N185" s="111">
        <f>SUM(K185)+H185</f>
        <v>0</v>
      </c>
      <c r="O185" s="111">
        <f>SUM(M185)+N185</f>
        <v>17516</v>
      </c>
      <c r="P185" s="97">
        <f t="shared" si="31"/>
        <v>480</v>
      </c>
      <c r="Q185" s="97">
        <f t="shared" si="32"/>
        <v>0</v>
      </c>
    </row>
    <row r="186" spans="1:17" ht="110.25" x14ac:dyDescent="0.2">
      <c r="A186" s="40"/>
      <c r="B186" s="135" t="s">
        <v>238</v>
      </c>
      <c r="C186" s="118">
        <v>992</v>
      </c>
      <c r="D186" s="136" t="s">
        <v>229</v>
      </c>
      <c r="E186" s="136" t="s">
        <v>239</v>
      </c>
      <c r="F186" s="141"/>
      <c r="G186" s="111">
        <f t="shared" ref="G186:O186" si="40">G187</f>
        <v>0</v>
      </c>
      <c r="H186" s="111">
        <f t="shared" si="40"/>
        <v>0</v>
      </c>
      <c r="I186" s="111">
        <f t="shared" si="40"/>
        <v>0</v>
      </c>
      <c r="J186" s="115">
        <f t="shared" si="40"/>
        <v>26656.5</v>
      </c>
      <c r="K186" s="111">
        <f t="shared" si="40"/>
        <v>0</v>
      </c>
      <c r="L186" s="115">
        <f t="shared" si="40"/>
        <v>26656.5</v>
      </c>
      <c r="M186" s="111">
        <f t="shared" si="40"/>
        <v>26656.5</v>
      </c>
      <c r="N186" s="111">
        <f t="shared" si="40"/>
        <v>0</v>
      </c>
      <c r="O186" s="111">
        <f t="shared" si="40"/>
        <v>26656.5</v>
      </c>
      <c r="P186" s="97">
        <f t="shared" si="31"/>
        <v>0</v>
      </c>
      <c r="Q186" s="97">
        <f t="shared" si="32"/>
        <v>0</v>
      </c>
    </row>
    <row r="187" spans="1:17" ht="31.5" x14ac:dyDescent="0.2">
      <c r="A187" s="40"/>
      <c r="B187" s="135" t="s">
        <v>40</v>
      </c>
      <c r="C187" s="118">
        <v>992</v>
      </c>
      <c r="D187" s="136" t="s">
        <v>229</v>
      </c>
      <c r="E187" s="136" t="s">
        <v>239</v>
      </c>
      <c r="F187" s="141" t="s">
        <v>41</v>
      </c>
      <c r="G187" s="111"/>
      <c r="H187" s="111"/>
      <c r="I187" s="111">
        <f>SUM(G187:H187)</f>
        <v>0</v>
      </c>
      <c r="J187" s="115">
        <v>26656.5</v>
      </c>
      <c r="K187" s="111"/>
      <c r="L187" s="115">
        <f>SUM(J187:K187)</f>
        <v>26656.5</v>
      </c>
      <c r="M187" s="111">
        <f>SUM(J187)</f>
        <v>26656.5</v>
      </c>
      <c r="N187" s="111">
        <f>H187+K187</f>
        <v>0</v>
      </c>
      <c r="O187" s="111">
        <f>I187+L187</f>
        <v>26656.5</v>
      </c>
      <c r="P187" s="97">
        <f t="shared" si="31"/>
        <v>0</v>
      </c>
      <c r="Q187" s="97">
        <f t="shared" si="32"/>
        <v>0</v>
      </c>
    </row>
    <row r="188" spans="1:17" ht="78.75" x14ac:dyDescent="0.2">
      <c r="A188" s="40"/>
      <c r="B188" s="113" t="s">
        <v>240</v>
      </c>
      <c r="C188" s="113" t="s">
        <v>51</v>
      </c>
      <c r="D188" s="133" t="s">
        <v>229</v>
      </c>
      <c r="E188" s="133" t="s">
        <v>241</v>
      </c>
      <c r="F188" s="134" t="s">
        <v>11</v>
      </c>
      <c r="G188" s="111">
        <f>G189</f>
        <v>0</v>
      </c>
      <c r="H188" s="111">
        <f>SUM(H189)</f>
        <v>0</v>
      </c>
      <c r="I188" s="111">
        <f>I189</f>
        <v>0</v>
      </c>
      <c r="J188" s="114">
        <f>J189</f>
        <v>0</v>
      </c>
      <c r="K188" s="111"/>
      <c r="L188" s="114">
        <f>L189</f>
        <v>0</v>
      </c>
      <c r="M188" s="111">
        <f>M189</f>
        <v>0</v>
      </c>
      <c r="N188" s="111">
        <f>N189</f>
        <v>0</v>
      </c>
      <c r="O188" s="111">
        <f>O189</f>
        <v>0</v>
      </c>
      <c r="P188" s="97">
        <f t="shared" si="31"/>
        <v>0</v>
      </c>
      <c r="Q188" s="97">
        <f t="shared" si="32"/>
        <v>0</v>
      </c>
    </row>
    <row r="189" spans="1:17" ht="31.5" x14ac:dyDescent="0.2">
      <c r="A189" s="40"/>
      <c r="B189" s="113" t="s">
        <v>40</v>
      </c>
      <c r="C189" s="113" t="s">
        <v>51</v>
      </c>
      <c r="D189" s="133" t="s">
        <v>229</v>
      </c>
      <c r="E189" s="133" t="s">
        <v>241</v>
      </c>
      <c r="F189" s="134" t="s">
        <v>41</v>
      </c>
      <c r="G189" s="111">
        <v>0</v>
      </c>
      <c r="H189" s="111"/>
      <c r="I189" s="111"/>
      <c r="J189" s="115">
        <v>0</v>
      </c>
      <c r="K189" s="111">
        <f t="shared" ref="G189:O191" si="41">K190</f>
        <v>0</v>
      </c>
      <c r="L189" s="115">
        <v>0</v>
      </c>
      <c r="M189" s="111"/>
      <c r="N189" s="111">
        <f>SUM(H189)</f>
        <v>0</v>
      </c>
      <c r="O189" s="111"/>
      <c r="P189" s="97">
        <f t="shared" si="31"/>
        <v>0</v>
      </c>
      <c r="Q189" s="97">
        <f t="shared" si="32"/>
        <v>0</v>
      </c>
    </row>
    <row r="190" spans="1:17" ht="31.5" x14ac:dyDescent="0.2">
      <c r="A190" s="40"/>
      <c r="B190" s="113" t="s">
        <v>242</v>
      </c>
      <c r="C190" s="113" t="s">
        <v>51</v>
      </c>
      <c r="D190" s="133" t="s">
        <v>229</v>
      </c>
      <c r="E190" s="133" t="s">
        <v>243</v>
      </c>
      <c r="F190" s="134" t="s">
        <v>11</v>
      </c>
      <c r="G190" s="111">
        <f t="shared" si="41"/>
        <v>7233</v>
      </c>
      <c r="H190" s="111">
        <f t="shared" si="41"/>
        <v>840.3</v>
      </c>
      <c r="I190" s="111">
        <f t="shared" si="41"/>
        <v>8073.3</v>
      </c>
      <c r="J190" s="114">
        <f t="shared" si="41"/>
        <v>0</v>
      </c>
      <c r="K190" s="111">
        <f t="shared" si="41"/>
        <v>0</v>
      </c>
      <c r="L190" s="114">
        <f t="shared" si="41"/>
        <v>0</v>
      </c>
      <c r="M190" s="111">
        <f t="shared" si="41"/>
        <v>7233</v>
      </c>
      <c r="N190" s="111">
        <f t="shared" si="41"/>
        <v>840.3</v>
      </c>
      <c r="O190" s="111">
        <f t="shared" si="41"/>
        <v>8073.3</v>
      </c>
      <c r="P190" s="97">
        <f t="shared" si="31"/>
        <v>8073.3</v>
      </c>
      <c r="Q190" s="97">
        <f t="shared" si="32"/>
        <v>0</v>
      </c>
    </row>
    <row r="191" spans="1:17" ht="78.75" x14ac:dyDescent="0.2">
      <c r="A191" s="40"/>
      <c r="B191" s="113" t="s">
        <v>240</v>
      </c>
      <c r="C191" s="113" t="s">
        <v>51</v>
      </c>
      <c r="D191" s="133" t="s">
        <v>229</v>
      </c>
      <c r="E191" s="133" t="s">
        <v>244</v>
      </c>
      <c r="F191" s="134" t="s">
        <v>11</v>
      </c>
      <c r="G191" s="111">
        <f t="shared" si="41"/>
        <v>7233</v>
      </c>
      <c r="H191" s="111">
        <f>SUM(H192)</f>
        <v>840.3</v>
      </c>
      <c r="I191" s="111">
        <f t="shared" si="41"/>
        <v>8073.3</v>
      </c>
      <c r="J191" s="114">
        <f t="shared" si="41"/>
        <v>0</v>
      </c>
      <c r="K191" s="111"/>
      <c r="L191" s="114">
        <f t="shared" si="41"/>
        <v>0</v>
      </c>
      <c r="M191" s="111">
        <f t="shared" si="41"/>
        <v>7233</v>
      </c>
      <c r="N191" s="111">
        <f t="shared" si="41"/>
        <v>840.3</v>
      </c>
      <c r="O191" s="111">
        <f t="shared" si="41"/>
        <v>8073.3</v>
      </c>
      <c r="P191" s="97">
        <f t="shared" si="31"/>
        <v>8073.3</v>
      </c>
      <c r="Q191" s="97">
        <f t="shared" si="32"/>
        <v>0</v>
      </c>
    </row>
    <row r="192" spans="1:17" ht="31.5" x14ac:dyDescent="0.2">
      <c r="A192" s="40"/>
      <c r="B192" s="113" t="s">
        <v>40</v>
      </c>
      <c r="C192" s="113" t="s">
        <v>51</v>
      </c>
      <c r="D192" s="133" t="s">
        <v>229</v>
      </c>
      <c r="E192" s="133" t="s">
        <v>244</v>
      </c>
      <c r="F192" s="134" t="s">
        <v>41</v>
      </c>
      <c r="G192" s="111">
        <v>7233</v>
      </c>
      <c r="H192" s="111">
        <v>840.3</v>
      </c>
      <c r="I192" s="111">
        <f>SUM(G192)+H192</f>
        <v>8073.3</v>
      </c>
      <c r="J192" s="115">
        <v>0</v>
      </c>
      <c r="K192" s="111"/>
      <c r="L192" s="115">
        <v>0</v>
      </c>
      <c r="M192" s="111">
        <f>SUM(G192)</f>
        <v>7233</v>
      </c>
      <c r="N192" s="111">
        <f>SUM(H192)</f>
        <v>840.3</v>
      </c>
      <c r="O192" s="111">
        <f>SUM(I192)</f>
        <v>8073.3</v>
      </c>
      <c r="P192" s="97">
        <f t="shared" si="31"/>
        <v>8073.3</v>
      </c>
      <c r="Q192" s="97">
        <f t="shared" si="32"/>
        <v>0</v>
      </c>
    </row>
    <row r="193" spans="1:17" ht="31.5" x14ac:dyDescent="0.2">
      <c r="A193" s="40"/>
      <c r="B193" s="113" t="s">
        <v>245</v>
      </c>
      <c r="C193" s="113" t="s">
        <v>51</v>
      </c>
      <c r="D193" s="133" t="s">
        <v>229</v>
      </c>
      <c r="E193" s="133" t="s">
        <v>246</v>
      </c>
      <c r="F193" s="134" t="s">
        <v>11</v>
      </c>
      <c r="G193" s="111">
        <f t="shared" ref="G193:O196" si="42">G194</f>
        <v>15743</v>
      </c>
      <c r="H193" s="111">
        <f t="shared" si="42"/>
        <v>0</v>
      </c>
      <c r="I193" s="111">
        <f t="shared" si="42"/>
        <v>15743</v>
      </c>
      <c r="J193" s="114">
        <f t="shared" si="42"/>
        <v>0</v>
      </c>
      <c r="K193" s="111">
        <f>K194</f>
        <v>0</v>
      </c>
      <c r="L193" s="114">
        <f t="shared" si="42"/>
        <v>0</v>
      </c>
      <c r="M193" s="111">
        <f t="shared" si="42"/>
        <v>15743</v>
      </c>
      <c r="N193" s="111">
        <f t="shared" si="42"/>
        <v>0</v>
      </c>
      <c r="O193" s="111">
        <f t="shared" si="42"/>
        <v>15743</v>
      </c>
      <c r="P193" s="97">
        <f t="shared" si="31"/>
        <v>15743</v>
      </c>
      <c r="Q193" s="97">
        <f t="shared" si="32"/>
        <v>0</v>
      </c>
    </row>
    <row r="194" spans="1:17" ht="15.75" x14ac:dyDescent="0.2">
      <c r="A194" s="40"/>
      <c r="B194" s="113" t="s">
        <v>247</v>
      </c>
      <c r="C194" s="113" t="s">
        <v>51</v>
      </c>
      <c r="D194" s="133" t="s">
        <v>229</v>
      </c>
      <c r="E194" s="133" t="s">
        <v>248</v>
      </c>
      <c r="F194" s="134" t="s">
        <v>11</v>
      </c>
      <c r="G194" s="111">
        <f t="shared" si="42"/>
        <v>15743</v>
      </c>
      <c r="H194" s="111">
        <f t="shared" si="42"/>
        <v>0</v>
      </c>
      <c r="I194" s="111">
        <f t="shared" si="42"/>
        <v>15743</v>
      </c>
      <c r="J194" s="114">
        <f t="shared" si="42"/>
        <v>0</v>
      </c>
      <c r="K194" s="111">
        <f>K195</f>
        <v>0</v>
      </c>
      <c r="L194" s="114">
        <f t="shared" si="42"/>
        <v>0</v>
      </c>
      <c r="M194" s="111">
        <f t="shared" si="42"/>
        <v>15743</v>
      </c>
      <c r="N194" s="111">
        <f t="shared" si="42"/>
        <v>0</v>
      </c>
      <c r="O194" s="111">
        <f t="shared" si="42"/>
        <v>15743</v>
      </c>
      <c r="P194" s="97">
        <f t="shared" si="31"/>
        <v>15743</v>
      </c>
      <c r="Q194" s="97">
        <f t="shared" si="32"/>
        <v>0</v>
      </c>
    </row>
    <row r="195" spans="1:17" ht="47.25" x14ac:dyDescent="0.2">
      <c r="A195" s="40"/>
      <c r="B195" s="113" t="s">
        <v>249</v>
      </c>
      <c r="C195" s="113" t="s">
        <v>51</v>
      </c>
      <c r="D195" s="133" t="s">
        <v>229</v>
      </c>
      <c r="E195" s="133" t="s">
        <v>250</v>
      </c>
      <c r="F195" s="134" t="s">
        <v>11</v>
      </c>
      <c r="G195" s="111">
        <f t="shared" si="42"/>
        <v>15743</v>
      </c>
      <c r="H195" s="111">
        <f>SUM(H196)</f>
        <v>0</v>
      </c>
      <c r="I195" s="111">
        <f t="shared" si="42"/>
        <v>15743</v>
      </c>
      <c r="J195" s="114">
        <f t="shared" si="42"/>
        <v>0</v>
      </c>
      <c r="K195" s="111">
        <f>K196</f>
        <v>0</v>
      </c>
      <c r="L195" s="114">
        <f t="shared" si="42"/>
        <v>0</v>
      </c>
      <c r="M195" s="111">
        <f t="shared" si="42"/>
        <v>15743</v>
      </c>
      <c r="N195" s="111">
        <f>SUM(H195)</f>
        <v>0</v>
      </c>
      <c r="O195" s="111">
        <f t="shared" si="42"/>
        <v>15743</v>
      </c>
      <c r="P195" s="97">
        <f t="shared" si="31"/>
        <v>15743</v>
      </c>
      <c r="Q195" s="97">
        <f t="shared" si="32"/>
        <v>0</v>
      </c>
    </row>
    <row r="196" spans="1:17" ht="31.5" x14ac:dyDescent="0.2">
      <c r="A196" s="40"/>
      <c r="B196" s="113" t="s">
        <v>134</v>
      </c>
      <c r="C196" s="113" t="s">
        <v>51</v>
      </c>
      <c r="D196" s="133" t="s">
        <v>229</v>
      </c>
      <c r="E196" s="133" t="s">
        <v>251</v>
      </c>
      <c r="F196" s="134" t="s">
        <v>11</v>
      </c>
      <c r="G196" s="111">
        <f>G197</f>
        <v>15743</v>
      </c>
      <c r="H196" s="111">
        <f>SUM(H197)</f>
        <v>0</v>
      </c>
      <c r="I196" s="111">
        <f>I197</f>
        <v>15743</v>
      </c>
      <c r="J196" s="114">
        <f t="shared" si="42"/>
        <v>0</v>
      </c>
      <c r="K196" s="111"/>
      <c r="L196" s="114">
        <f t="shared" si="42"/>
        <v>0</v>
      </c>
      <c r="M196" s="111">
        <f t="shared" si="42"/>
        <v>15743</v>
      </c>
      <c r="N196" s="111">
        <f t="shared" si="42"/>
        <v>0</v>
      </c>
      <c r="O196" s="111">
        <f t="shared" si="42"/>
        <v>15743</v>
      </c>
      <c r="P196" s="97">
        <f t="shared" si="31"/>
        <v>15743</v>
      </c>
      <c r="Q196" s="97">
        <f t="shared" si="32"/>
        <v>0</v>
      </c>
    </row>
    <row r="197" spans="1:17" ht="34.9" customHeight="1" x14ac:dyDescent="0.2">
      <c r="A197" s="40"/>
      <c r="B197" s="113" t="s">
        <v>95</v>
      </c>
      <c r="C197" s="113" t="s">
        <v>51</v>
      </c>
      <c r="D197" s="133" t="s">
        <v>229</v>
      </c>
      <c r="E197" s="133" t="s">
        <v>251</v>
      </c>
      <c r="F197" s="134" t="s">
        <v>96</v>
      </c>
      <c r="G197" s="111">
        <v>15743</v>
      </c>
      <c r="H197" s="117"/>
      <c r="I197" s="111">
        <f>SUM(G197)+H197</f>
        <v>15743</v>
      </c>
      <c r="J197" s="115">
        <v>0</v>
      </c>
      <c r="K197" s="109"/>
      <c r="L197" s="115">
        <v>0</v>
      </c>
      <c r="M197" s="111">
        <f>SUM(G197)</f>
        <v>15743</v>
      </c>
      <c r="N197" s="111">
        <f>SUM(H197)</f>
        <v>0</v>
      </c>
      <c r="O197" s="111">
        <f>SUM(M197)+N197</f>
        <v>15743</v>
      </c>
      <c r="P197" s="97">
        <f t="shared" si="31"/>
        <v>15743</v>
      </c>
      <c r="Q197" s="97">
        <f t="shared" si="32"/>
        <v>0</v>
      </c>
    </row>
    <row r="198" spans="1:17" ht="21" customHeight="1" x14ac:dyDescent="0.2">
      <c r="A198" s="40"/>
      <c r="B198" s="118" t="s">
        <v>583</v>
      </c>
      <c r="C198" s="118" t="s">
        <v>51</v>
      </c>
      <c r="D198" s="136" t="s">
        <v>229</v>
      </c>
      <c r="E198" s="136" t="s">
        <v>460</v>
      </c>
      <c r="F198" s="134"/>
      <c r="G198" s="111">
        <f>G199</f>
        <v>1333.6</v>
      </c>
      <c r="H198" s="117"/>
      <c r="I198" s="111">
        <f>I199</f>
        <v>1333.6</v>
      </c>
      <c r="J198" s="115"/>
      <c r="K198" s="109"/>
      <c r="L198" s="115"/>
      <c r="M198" s="111">
        <f>M199</f>
        <v>1333.6</v>
      </c>
      <c r="N198" s="111"/>
      <c r="O198" s="111">
        <f>O199</f>
        <v>1333.6</v>
      </c>
      <c r="P198" s="97">
        <f t="shared" si="31"/>
        <v>1333.6</v>
      </c>
      <c r="Q198" s="97">
        <f t="shared" si="32"/>
        <v>0</v>
      </c>
    </row>
    <row r="199" spans="1:17" ht="34.9" customHeight="1" x14ac:dyDescent="0.2">
      <c r="A199" s="40"/>
      <c r="B199" s="135" t="s">
        <v>461</v>
      </c>
      <c r="C199" s="113">
        <v>992</v>
      </c>
      <c r="D199" s="133" t="s">
        <v>229</v>
      </c>
      <c r="E199" s="136" t="s">
        <v>462</v>
      </c>
      <c r="F199" s="134"/>
      <c r="G199" s="117">
        <f t="shared" ref="G199:I200" si="43">SUM(G200)</f>
        <v>1333.6</v>
      </c>
      <c r="H199" s="117">
        <f t="shared" si="43"/>
        <v>0</v>
      </c>
      <c r="I199" s="117">
        <f t="shared" si="43"/>
        <v>1333.6</v>
      </c>
      <c r="J199" s="115"/>
      <c r="K199" s="109"/>
      <c r="L199" s="115"/>
      <c r="M199" s="111">
        <f>SUM(G199)</f>
        <v>1333.6</v>
      </c>
      <c r="N199" s="111">
        <f t="shared" ref="N199:O201" si="44">SUM(H199)</f>
        <v>0</v>
      </c>
      <c r="O199" s="111">
        <f t="shared" si="44"/>
        <v>1333.6</v>
      </c>
      <c r="P199" s="97">
        <f t="shared" si="31"/>
        <v>1333.6</v>
      </c>
      <c r="Q199" s="97">
        <f t="shared" si="32"/>
        <v>0</v>
      </c>
    </row>
    <row r="200" spans="1:17" ht="37.15" customHeight="1" x14ac:dyDescent="0.2">
      <c r="A200" s="40"/>
      <c r="B200" s="135" t="s">
        <v>463</v>
      </c>
      <c r="C200" s="113">
        <v>992</v>
      </c>
      <c r="D200" s="133" t="s">
        <v>229</v>
      </c>
      <c r="E200" s="133">
        <v>1300122640</v>
      </c>
      <c r="F200" s="134"/>
      <c r="G200" s="117">
        <f t="shared" si="43"/>
        <v>1333.6</v>
      </c>
      <c r="H200" s="117">
        <f t="shared" si="43"/>
        <v>0</v>
      </c>
      <c r="I200" s="117">
        <f t="shared" si="43"/>
        <v>1333.6</v>
      </c>
      <c r="J200" s="115"/>
      <c r="K200" s="109"/>
      <c r="L200" s="115"/>
      <c r="M200" s="111">
        <f>SUM(G200)</f>
        <v>1333.6</v>
      </c>
      <c r="N200" s="111">
        <f t="shared" si="44"/>
        <v>0</v>
      </c>
      <c r="O200" s="111">
        <f t="shared" si="44"/>
        <v>1333.6</v>
      </c>
      <c r="P200" s="97">
        <f t="shared" si="31"/>
        <v>1333.6</v>
      </c>
      <c r="Q200" s="97">
        <f t="shared" si="32"/>
        <v>0</v>
      </c>
    </row>
    <row r="201" spans="1:17" ht="34.5" customHeight="1" x14ac:dyDescent="0.2">
      <c r="A201" s="40"/>
      <c r="B201" s="113" t="s">
        <v>95</v>
      </c>
      <c r="C201" s="113">
        <v>992</v>
      </c>
      <c r="D201" s="133" t="s">
        <v>229</v>
      </c>
      <c r="E201" s="133">
        <v>1300122640</v>
      </c>
      <c r="F201" s="134">
        <v>200</v>
      </c>
      <c r="G201" s="111">
        <v>1333.6</v>
      </c>
      <c r="H201" s="117"/>
      <c r="I201" s="117">
        <f>SUM(G201)+H201</f>
        <v>1333.6</v>
      </c>
      <c r="J201" s="115"/>
      <c r="K201" s="109"/>
      <c r="L201" s="115"/>
      <c r="M201" s="111">
        <f>SUM(G201)</f>
        <v>1333.6</v>
      </c>
      <c r="N201" s="111">
        <f t="shared" si="44"/>
        <v>0</v>
      </c>
      <c r="O201" s="111">
        <f t="shared" si="44"/>
        <v>1333.6</v>
      </c>
      <c r="P201" s="97">
        <f t="shared" si="31"/>
        <v>1333.6</v>
      </c>
      <c r="Q201" s="97">
        <f t="shared" si="32"/>
        <v>0</v>
      </c>
    </row>
    <row r="202" spans="1:17" ht="23.25" customHeight="1" x14ac:dyDescent="0.2">
      <c r="A202" s="33" t="s">
        <v>252</v>
      </c>
      <c r="B202" s="110" t="s">
        <v>253</v>
      </c>
      <c r="C202" s="110" t="s">
        <v>51</v>
      </c>
      <c r="D202" s="131" t="s">
        <v>254</v>
      </c>
      <c r="E202" s="131" t="s">
        <v>11</v>
      </c>
      <c r="F202" s="132" t="s">
        <v>11</v>
      </c>
      <c r="G202" s="109">
        <f t="shared" ref="G202:O206" si="45">G203</f>
        <v>2086</v>
      </c>
      <c r="H202" s="111">
        <f t="shared" si="45"/>
        <v>175.9</v>
      </c>
      <c r="I202" s="109">
        <f t="shared" si="45"/>
        <v>2261.9</v>
      </c>
      <c r="J202" s="112">
        <f t="shared" si="45"/>
        <v>0</v>
      </c>
      <c r="K202" s="111">
        <f>K203</f>
        <v>0</v>
      </c>
      <c r="L202" s="112">
        <f t="shared" si="45"/>
        <v>0</v>
      </c>
      <c r="M202" s="109">
        <f t="shared" si="45"/>
        <v>2086</v>
      </c>
      <c r="N202" s="109">
        <f t="shared" si="45"/>
        <v>175.9</v>
      </c>
      <c r="O202" s="109">
        <f t="shared" si="45"/>
        <v>2261.9</v>
      </c>
      <c r="P202" s="97">
        <f t="shared" si="31"/>
        <v>2261.9</v>
      </c>
      <c r="Q202" s="97">
        <f t="shared" si="32"/>
        <v>0</v>
      </c>
    </row>
    <row r="203" spans="1:17" ht="31.5" x14ac:dyDescent="0.2">
      <c r="A203" s="40"/>
      <c r="B203" s="113" t="s">
        <v>97</v>
      </c>
      <c r="C203" s="113" t="s">
        <v>51</v>
      </c>
      <c r="D203" s="133" t="s">
        <v>254</v>
      </c>
      <c r="E203" s="133" t="s">
        <v>98</v>
      </c>
      <c r="F203" s="134" t="s">
        <v>11</v>
      </c>
      <c r="G203" s="111">
        <f t="shared" si="45"/>
        <v>2086</v>
      </c>
      <c r="H203" s="111">
        <f t="shared" si="45"/>
        <v>175.9</v>
      </c>
      <c r="I203" s="111">
        <f t="shared" si="45"/>
        <v>2261.9</v>
      </c>
      <c r="J203" s="114">
        <f t="shared" si="45"/>
        <v>0</v>
      </c>
      <c r="K203" s="111">
        <f>K204</f>
        <v>0</v>
      </c>
      <c r="L203" s="114">
        <f t="shared" si="45"/>
        <v>0</v>
      </c>
      <c r="M203" s="111">
        <f t="shared" si="45"/>
        <v>2086</v>
      </c>
      <c r="N203" s="111">
        <f t="shared" si="45"/>
        <v>175.9</v>
      </c>
      <c r="O203" s="111">
        <f t="shared" si="45"/>
        <v>2261.9</v>
      </c>
      <c r="P203" s="97">
        <f t="shared" si="31"/>
        <v>2261.9</v>
      </c>
      <c r="Q203" s="97">
        <f t="shared" si="32"/>
        <v>0</v>
      </c>
    </row>
    <row r="204" spans="1:17" ht="15.75" x14ac:dyDescent="0.2">
      <c r="A204" s="40"/>
      <c r="B204" s="113" t="s">
        <v>255</v>
      </c>
      <c r="C204" s="113" t="s">
        <v>51</v>
      </c>
      <c r="D204" s="133" t="s">
        <v>254</v>
      </c>
      <c r="E204" s="133" t="s">
        <v>256</v>
      </c>
      <c r="F204" s="134" t="s">
        <v>11</v>
      </c>
      <c r="G204" s="111">
        <f t="shared" si="45"/>
        <v>2086</v>
      </c>
      <c r="H204" s="111">
        <f t="shared" si="45"/>
        <v>175.9</v>
      </c>
      <c r="I204" s="111">
        <f t="shared" si="45"/>
        <v>2261.9</v>
      </c>
      <c r="J204" s="114">
        <f t="shared" si="45"/>
        <v>0</v>
      </c>
      <c r="K204" s="111">
        <f>K205</f>
        <v>0</v>
      </c>
      <c r="L204" s="114">
        <f t="shared" si="45"/>
        <v>0</v>
      </c>
      <c r="M204" s="111">
        <f t="shared" si="45"/>
        <v>2086</v>
      </c>
      <c r="N204" s="111">
        <f t="shared" si="45"/>
        <v>175.9</v>
      </c>
      <c r="O204" s="111">
        <f t="shared" si="45"/>
        <v>2261.9</v>
      </c>
      <c r="P204" s="97">
        <f t="shared" si="31"/>
        <v>2261.9</v>
      </c>
      <c r="Q204" s="97">
        <f t="shared" si="32"/>
        <v>0</v>
      </c>
    </row>
    <row r="205" spans="1:17" ht="31.5" x14ac:dyDescent="0.2">
      <c r="A205" s="40"/>
      <c r="B205" s="113" t="s">
        <v>257</v>
      </c>
      <c r="C205" s="113" t="s">
        <v>51</v>
      </c>
      <c r="D205" s="133" t="s">
        <v>254</v>
      </c>
      <c r="E205" s="133" t="s">
        <v>258</v>
      </c>
      <c r="F205" s="134" t="s">
        <v>11</v>
      </c>
      <c r="G205" s="111">
        <f t="shared" si="45"/>
        <v>2086</v>
      </c>
      <c r="H205" s="111">
        <f t="shared" si="45"/>
        <v>175.9</v>
      </c>
      <c r="I205" s="111">
        <f t="shared" si="45"/>
        <v>2261.9</v>
      </c>
      <c r="J205" s="114">
        <f t="shared" si="45"/>
        <v>0</v>
      </c>
      <c r="K205" s="111">
        <f>K206</f>
        <v>0</v>
      </c>
      <c r="L205" s="114">
        <f t="shared" si="45"/>
        <v>0</v>
      </c>
      <c r="M205" s="111">
        <f t="shared" si="45"/>
        <v>2086</v>
      </c>
      <c r="N205" s="111">
        <f t="shared" si="45"/>
        <v>175.9</v>
      </c>
      <c r="O205" s="111">
        <f t="shared" si="45"/>
        <v>2261.9</v>
      </c>
      <c r="P205" s="97">
        <f t="shared" si="31"/>
        <v>2261.9</v>
      </c>
      <c r="Q205" s="97">
        <f t="shared" si="32"/>
        <v>0</v>
      </c>
    </row>
    <row r="206" spans="1:17" ht="32.450000000000003" customHeight="1" x14ac:dyDescent="0.2">
      <c r="A206" s="40"/>
      <c r="B206" s="113" t="s">
        <v>103</v>
      </c>
      <c r="C206" s="113" t="s">
        <v>51</v>
      </c>
      <c r="D206" s="133" t="s">
        <v>254</v>
      </c>
      <c r="E206" s="133" t="s">
        <v>259</v>
      </c>
      <c r="F206" s="134" t="s">
        <v>11</v>
      </c>
      <c r="G206" s="111">
        <f>G207</f>
        <v>2086</v>
      </c>
      <c r="H206" s="109">
        <f>SUM(H207)</f>
        <v>175.9</v>
      </c>
      <c r="I206" s="111">
        <f>I207</f>
        <v>2261.9</v>
      </c>
      <c r="J206" s="114">
        <f t="shared" si="45"/>
        <v>0</v>
      </c>
      <c r="K206" s="111"/>
      <c r="L206" s="114">
        <f t="shared" si="45"/>
        <v>0</v>
      </c>
      <c r="M206" s="111">
        <f t="shared" si="45"/>
        <v>2086</v>
      </c>
      <c r="N206" s="111">
        <f t="shared" si="45"/>
        <v>175.9</v>
      </c>
      <c r="O206" s="111">
        <f t="shared" si="45"/>
        <v>2261.9</v>
      </c>
      <c r="P206" s="97">
        <f t="shared" si="31"/>
        <v>2261.9</v>
      </c>
      <c r="Q206" s="97">
        <f t="shared" si="32"/>
        <v>0</v>
      </c>
    </row>
    <row r="207" spans="1:17" ht="31.5" x14ac:dyDescent="0.2">
      <c r="A207" s="40"/>
      <c r="B207" s="113" t="s">
        <v>40</v>
      </c>
      <c r="C207" s="113" t="s">
        <v>51</v>
      </c>
      <c r="D207" s="133" t="s">
        <v>254</v>
      </c>
      <c r="E207" s="133" t="s">
        <v>259</v>
      </c>
      <c r="F207" s="134" t="s">
        <v>41</v>
      </c>
      <c r="G207" s="111">
        <v>2086</v>
      </c>
      <c r="H207" s="109">
        <v>175.9</v>
      </c>
      <c r="I207" s="111">
        <f>SUM(G207)+H207</f>
        <v>2261.9</v>
      </c>
      <c r="J207" s="115">
        <v>0</v>
      </c>
      <c r="K207" s="109"/>
      <c r="L207" s="115">
        <v>0</v>
      </c>
      <c r="M207" s="111">
        <f>SUM(G207)</f>
        <v>2086</v>
      </c>
      <c r="N207" s="111">
        <f>SUM(H207)</f>
        <v>175.9</v>
      </c>
      <c r="O207" s="111">
        <f>SUM(I207)</f>
        <v>2261.9</v>
      </c>
      <c r="P207" s="97">
        <f t="shared" si="31"/>
        <v>2261.9</v>
      </c>
      <c r="Q207" s="97">
        <f t="shared" si="32"/>
        <v>0</v>
      </c>
    </row>
    <row r="208" spans="1:17" ht="24" customHeight="1" x14ac:dyDescent="0.2">
      <c r="A208" s="33" t="s">
        <v>260</v>
      </c>
      <c r="B208" s="110" t="s">
        <v>261</v>
      </c>
      <c r="C208" s="110" t="s">
        <v>51</v>
      </c>
      <c r="D208" s="131" t="s">
        <v>262</v>
      </c>
      <c r="E208" s="131" t="s">
        <v>11</v>
      </c>
      <c r="F208" s="132" t="s">
        <v>11</v>
      </c>
      <c r="G208" s="109">
        <f>G209+G237+G232</f>
        <v>30783.8</v>
      </c>
      <c r="H208" s="109">
        <f>H209+H250+H248+H233+H243</f>
        <v>-34.099999999999994</v>
      </c>
      <c r="I208" s="109">
        <f>I209+I237+I232</f>
        <v>30749.7</v>
      </c>
      <c r="J208" s="112">
        <f>J209+J237</f>
        <v>13560.400000000001</v>
      </c>
      <c r="K208" s="111">
        <f>K209</f>
        <v>0</v>
      </c>
      <c r="L208" s="112">
        <f>L209+L237</f>
        <v>13560.400000000001</v>
      </c>
      <c r="M208" s="109">
        <f>M209+M232+M237</f>
        <v>44344.2</v>
      </c>
      <c r="N208" s="109">
        <f>N209+N250+N248+N233+N243</f>
        <v>-34.099999999999994</v>
      </c>
      <c r="O208" s="109">
        <f>O209+O232+O237</f>
        <v>44310.1</v>
      </c>
      <c r="P208" s="97">
        <f t="shared" si="31"/>
        <v>30749.7</v>
      </c>
      <c r="Q208" s="97">
        <f t="shared" si="32"/>
        <v>0</v>
      </c>
    </row>
    <row r="209" spans="1:17" ht="47.25" x14ac:dyDescent="0.2">
      <c r="A209" s="40"/>
      <c r="B209" s="113" t="s">
        <v>230</v>
      </c>
      <c r="C209" s="113" t="s">
        <v>51</v>
      </c>
      <c r="D209" s="133" t="s">
        <v>262</v>
      </c>
      <c r="E209" s="133" t="s">
        <v>231</v>
      </c>
      <c r="F209" s="134" t="s">
        <v>11</v>
      </c>
      <c r="G209" s="111">
        <f>G210+G220</f>
        <v>19001</v>
      </c>
      <c r="H209" s="111">
        <f>H210+H220</f>
        <v>165.9</v>
      </c>
      <c r="I209" s="111">
        <f>I210+I220</f>
        <v>19166.900000000001</v>
      </c>
      <c r="J209" s="114">
        <f>J210+J220</f>
        <v>13560.400000000001</v>
      </c>
      <c r="K209" s="111">
        <f>K210</f>
        <v>0</v>
      </c>
      <c r="L209" s="114">
        <f>L210+L220</f>
        <v>13560.400000000001</v>
      </c>
      <c r="M209" s="111">
        <f>M210+M220</f>
        <v>32561.4</v>
      </c>
      <c r="N209" s="111">
        <f>N210+N220</f>
        <v>165.9</v>
      </c>
      <c r="O209" s="111">
        <f>O210+O220</f>
        <v>32727.300000000003</v>
      </c>
      <c r="P209" s="97">
        <f t="shared" si="31"/>
        <v>19166.900000000001</v>
      </c>
      <c r="Q209" s="97">
        <f t="shared" si="32"/>
        <v>0</v>
      </c>
    </row>
    <row r="210" spans="1:17" ht="36" customHeight="1" x14ac:dyDescent="0.2">
      <c r="A210" s="40"/>
      <c r="B210" s="113" t="s">
        <v>263</v>
      </c>
      <c r="C210" s="113" t="s">
        <v>51</v>
      </c>
      <c r="D210" s="133" t="s">
        <v>262</v>
      </c>
      <c r="E210" s="133" t="s">
        <v>264</v>
      </c>
      <c r="F210" s="134" t="s">
        <v>11</v>
      </c>
      <c r="G210" s="111">
        <f>G211</f>
        <v>1449.1000000000001</v>
      </c>
      <c r="H210" s="111">
        <f>H211</f>
        <v>0</v>
      </c>
      <c r="I210" s="111">
        <f>I211</f>
        <v>1449.1000000000001</v>
      </c>
      <c r="J210" s="114">
        <f>J211</f>
        <v>13560.400000000001</v>
      </c>
      <c r="K210" s="111">
        <f>K211</f>
        <v>0</v>
      </c>
      <c r="L210" s="114">
        <f>L211</f>
        <v>13560.400000000001</v>
      </c>
      <c r="M210" s="111">
        <f>M211</f>
        <v>15009.500000000002</v>
      </c>
      <c r="N210" s="111">
        <f>N211</f>
        <v>0</v>
      </c>
      <c r="O210" s="111">
        <f>O211</f>
        <v>15009.500000000002</v>
      </c>
      <c r="P210" s="97">
        <f t="shared" si="31"/>
        <v>1449.1000000000001</v>
      </c>
      <c r="Q210" s="97">
        <f t="shared" si="32"/>
        <v>0</v>
      </c>
    </row>
    <row r="211" spans="1:17" ht="47.25" x14ac:dyDescent="0.2">
      <c r="A211" s="40"/>
      <c r="B211" s="113" t="s">
        <v>265</v>
      </c>
      <c r="C211" s="113" t="s">
        <v>51</v>
      </c>
      <c r="D211" s="133" t="s">
        <v>262</v>
      </c>
      <c r="E211" s="133" t="s">
        <v>266</v>
      </c>
      <c r="F211" s="134" t="s">
        <v>11</v>
      </c>
      <c r="G211" s="111">
        <f>G218+G212+G214+G216</f>
        <v>1449.1000000000001</v>
      </c>
      <c r="H211" s="111">
        <f>H218+H212+H214+H216</f>
        <v>0</v>
      </c>
      <c r="I211" s="111">
        <f>I218+I212+I214+I216</f>
        <v>1449.1000000000001</v>
      </c>
      <c r="J211" s="114">
        <f>SUM(J218)+J214+J216</f>
        <v>13560.400000000001</v>
      </c>
      <c r="K211" s="111">
        <f>K218+K212+K214+K216</f>
        <v>0</v>
      </c>
      <c r="L211" s="114">
        <f>SUM(L218)+L214+L216</f>
        <v>13560.400000000001</v>
      </c>
      <c r="M211" s="111">
        <f>SUM(G210+J210)</f>
        <v>15009.500000000002</v>
      </c>
      <c r="N211" s="111">
        <f>SUM(H211+K211)</f>
        <v>0</v>
      </c>
      <c r="O211" s="111">
        <f>SUM(I210+L210)</f>
        <v>15009.500000000002</v>
      </c>
      <c r="P211" s="97">
        <f t="shared" si="31"/>
        <v>1449.1000000000001</v>
      </c>
      <c r="Q211" s="97">
        <f t="shared" si="32"/>
        <v>0</v>
      </c>
    </row>
    <row r="212" spans="1:17" ht="31.5" x14ac:dyDescent="0.2">
      <c r="A212" s="40"/>
      <c r="B212" s="140" t="s">
        <v>267</v>
      </c>
      <c r="C212" s="113">
        <v>992</v>
      </c>
      <c r="D212" s="133" t="s">
        <v>262</v>
      </c>
      <c r="E212" s="136" t="s">
        <v>268</v>
      </c>
      <c r="F212" s="134"/>
      <c r="G212" s="111">
        <v>735.3</v>
      </c>
      <c r="H212" s="111">
        <f>SUM(H213)</f>
        <v>0</v>
      </c>
      <c r="I212" s="111">
        <f>SUM(G212)</f>
        <v>735.3</v>
      </c>
      <c r="J212" s="114"/>
      <c r="K212" s="111"/>
      <c r="L212" s="114"/>
      <c r="M212" s="111">
        <f>SUM(G212)</f>
        <v>735.3</v>
      </c>
      <c r="N212" s="111">
        <f>SUM(N213)</f>
        <v>0</v>
      </c>
      <c r="O212" s="111">
        <f>SUM(M212)</f>
        <v>735.3</v>
      </c>
      <c r="P212" s="97">
        <f t="shared" si="31"/>
        <v>735.3</v>
      </c>
      <c r="Q212" s="97">
        <f t="shared" si="32"/>
        <v>0</v>
      </c>
    </row>
    <row r="213" spans="1:17" ht="31.5" x14ac:dyDescent="0.2">
      <c r="A213" s="40"/>
      <c r="B213" s="113" t="s">
        <v>40</v>
      </c>
      <c r="C213" s="113">
        <v>992</v>
      </c>
      <c r="D213" s="133" t="s">
        <v>262</v>
      </c>
      <c r="E213" s="136" t="s">
        <v>268</v>
      </c>
      <c r="F213" s="134">
        <v>200</v>
      </c>
      <c r="G213" s="111">
        <v>735.3</v>
      </c>
      <c r="H213" s="111"/>
      <c r="I213" s="111">
        <f>SUM(G213)</f>
        <v>735.3</v>
      </c>
      <c r="J213" s="114"/>
      <c r="K213" s="111"/>
      <c r="L213" s="114"/>
      <c r="M213" s="111">
        <f>SUM(G213)</f>
        <v>735.3</v>
      </c>
      <c r="N213" s="111">
        <f>SUM(H213)</f>
        <v>0</v>
      </c>
      <c r="O213" s="111">
        <f>SUM(M213)</f>
        <v>735.3</v>
      </c>
      <c r="P213" s="97">
        <f t="shared" si="31"/>
        <v>735.3</v>
      </c>
      <c r="Q213" s="97">
        <f t="shared" si="32"/>
        <v>0</v>
      </c>
    </row>
    <row r="214" spans="1:17" ht="30.75" customHeight="1" x14ac:dyDescent="0.2">
      <c r="A214" s="40"/>
      <c r="B214" s="113" t="s">
        <v>548</v>
      </c>
      <c r="C214" s="113">
        <v>992</v>
      </c>
      <c r="D214" s="133" t="s">
        <v>262</v>
      </c>
      <c r="E214" s="133" t="s">
        <v>547</v>
      </c>
      <c r="F214" s="134"/>
      <c r="G214" s="111">
        <v>0</v>
      </c>
      <c r="H214" s="111"/>
      <c r="I214" s="111">
        <f>SUM(G215)+H214</f>
        <v>0</v>
      </c>
      <c r="J214" s="114">
        <f>SUM(J215)</f>
        <v>0</v>
      </c>
      <c r="K214" s="111"/>
      <c r="L214" s="114">
        <f>SUM(J214)+K214</f>
        <v>0</v>
      </c>
      <c r="M214" s="111">
        <f t="shared" ref="M214:O215" si="46">SUM(G214+J214)</f>
        <v>0</v>
      </c>
      <c r="N214" s="111">
        <f t="shared" si="46"/>
        <v>0</v>
      </c>
      <c r="O214" s="111">
        <f t="shared" si="46"/>
        <v>0</v>
      </c>
      <c r="P214" s="97">
        <f t="shared" ref="P214:P277" si="47">G214+H214</f>
        <v>0</v>
      </c>
      <c r="Q214" s="97">
        <f t="shared" ref="Q214:Q277" si="48">I214-P214</f>
        <v>0</v>
      </c>
    </row>
    <row r="215" spans="1:17" ht="30.75" customHeight="1" x14ac:dyDescent="0.2">
      <c r="A215" s="40"/>
      <c r="B215" s="113" t="s">
        <v>40</v>
      </c>
      <c r="C215" s="113">
        <v>992</v>
      </c>
      <c r="D215" s="133" t="s">
        <v>262</v>
      </c>
      <c r="E215" s="133" t="s">
        <v>547</v>
      </c>
      <c r="F215" s="134">
        <v>200</v>
      </c>
      <c r="G215" s="111">
        <v>0</v>
      </c>
      <c r="H215" s="111"/>
      <c r="I215" s="111">
        <v>0</v>
      </c>
      <c r="J215" s="114">
        <v>0</v>
      </c>
      <c r="K215" s="111"/>
      <c r="L215" s="114">
        <f>SUM(J215)+K215</f>
        <v>0</v>
      </c>
      <c r="M215" s="111">
        <f t="shared" si="46"/>
        <v>0</v>
      </c>
      <c r="N215" s="111">
        <f t="shared" si="46"/>
        <v>0</v>
      </c>
      <c r="O215" s="111">
        <f t="shared" si="46"/>
        <v>0</v>
      </c>
      <c r="P215" s="97">
        <f t="shared" si="47"/>
        <v>0</v>
      </c>
      <c r="Q215" s="97">
        <f t="shared" si="48"/>
        <v>0</v>
      </c>
    </row>
    <row r="216" spans="1:17" ht="30.75" customHeight="1" x14ac:dyDescent="0.2">
      <c r="A216" s="40"/>
      <c r="B216" s="113" t="s">
        <v>548</v>
      </c>
      <c r="C216" s="113">
        <v>992</v>
      </c>
      <c r="D216" s="133" t="s">
        <v>262</v>
      </c>
      <c r="E216" s="133" t="s">
        <v>561</v>
      </c>
      <c r="F216" s="134"/>
      <c r="G216" s="111">
        <v>294.2</v>
      </c>
      <c r="H216" s="111"/>
      <c r="I216" s="111">
        <f>SUM(G216)</f>
        <v>294.2</v>
      </c>
      <c r="J216" s="114">
        <v>5589.3</v>
      </c>
      <c r="K216" s="111"/>
      <c r="L216" s="114">
        <f>SUM(J216)</f>
        <v>5589.3</v>
      </c>
      <c r="M216" s="111">
        <f t="shared" ref="M216:O217" si="49">SUM(G216)+J216</f>
        <v>5883.5</v>
      </c>
      <c r="N216" s="111">
        <f t="shared" si="49"/>
        <v>0</v>
      </c>
      <c r="O216" s="111">
        <f t="shared" si="49"/>
        <v>5883.5</v>
      </c>
      <c r="P216" s="97">
        <f t="shared" si="47"/>
        <v>294.2</v>
      </c>
      <c r="Q216" s="97">
        <f t="shared" si="48"/>
        <v>0</v>
      </c>
    </row>
    <row r="217" spans="1:17" ht="30.75" customHeight="1" x14ac:dyDescent="0.2">
      <c r="A217" s="40"/>
      <c r="B217" s="113" t="s">
        <v>40</v>
      </c>
      <c r="C217" s="113">
        <v>992</v>
      </c>
      <c r="D217" s="133" t="s">
        <v>262</v>
      </c>
      <c r="E217" s="133" t="s">
        <v>561</v>
      </c>
      <c r="F217" s="134">
        <v>200</v>
      </c>
      <c r="G217" s="111">
        <v>294.2</v>
      </c>
      <c r="H217" s="111"/>
      <c r="I217" s="111">
        <f>SUM(G217)</f>
        <v>294.2</v>
      </c>
      <c r="J217" s="114">
        <v>5589.3</v>
      </c>
      <c r="K217" s="111"/>
      <c r="L217" s="114">
        <f>SUM(J217)</f>
        <v>5589.3</v>
      </c>
      <c r="M217" s="111">
        <f t="shared" si="49"/>
        <v>5883.5</v>
      </c>
      <c r="N217" s="111">
        <f t="shared" si="49"/>
        <v>0</v>
      </c>
      <c r="O217" s="111">
        <f t="shared" si="49"/>
        <v>5883.5</v>
      </c>
      <c r="P217" s="97">
        <f t="shared" si="47"/>
        <v>294.2</v>
      </c>
      <c r="Q217" s="97">
        <f t="shared" si="48"/>
        <v>0</v>
      </c>
    </row>
    <row r="218" spans="1:17" ht="47.25" x14ac:dyDescent="0.2">
      <c r="A218" s="40"/>
      <c r="B218" s="113" t="s">
        <v>269</v>
      </c>
      <c r="C218" s="113" t="s">
        <v>51</v>
      </c>
      <c r="D218" s="133" t="s">
        <v>262</v>
      </c>
      <c r="E218" s="133" t="s">
        <v>270</v>
      </c>
      <c r="F218" s="134" t="s">
        <v>11</v>
      </c>
      <c r="G218" s="111">
        <f>G219</f>
        <v>419.6</v>
      </c>
      <c r="H218" s="111">
        <f>SUM(H219)</f>
        <v>0</v>
      </c>
      <c r="I218" s="111">
        <f>I219</f>
        <v>419.6</v>
      </c>
      <c r="J218" s="114">
        <f>J219</f>
        <v>7971.1</v>
      </c>
      <c r="K218" s="111">
        <f>SUM(K219)</f>
        <v>0</v>
      </c>
      <c r="L218" s="114">
        <f>L219</f>
        <v>7971.1</v>
      </c>
      <c r="M218" s="111">
        <f>M219</f>
        <v>8390.7000000000007</v>
      </c>
      <c r="N218" s="111">
        <f>N219</f>
        <v>0</v>
      </c>
      <c r="O218" s="111">
        <f>O219</f>
        <v>8390.7000000000007</v>
      </c>
      <c r="P218" s="97">
        <f t="shared" si="47"/>
        <v>419.6</v>
      </c>
      <c r="Q218" s="97">
        <f t="shared" si="48"/>
        <v>0</v>
      </c>
    </row>
    <row r="219" spans="1:17" ht="31.5" x14ac:dyDescent="0.2">
      <c r="A219" s="40"/>
      <c r="B219" s="113" t="s">
        <v>40</v>
      </c>
      <c r="C219" s="113" t="s">
        <v>51</v>
      </c>
      <c r="D219" s="133" t="s">
        <v>262</v>
      </c>
      <c r="E219" s="133" t="s">
        <v>270</v>
      </c>
      <c r="F219" s="134" t="s">
        <v>41</v>
      </c>
      <c r="G219" s="111">
        <v>419.6</v>
      </c>
      <c r="H219" s="111"/>
      <c r="I219" s="111">
        <f>419.6+H219</f>
        <v>419.6</v>
      </c>
      <c r="J219" s="115">
        <v>7971.1</v>
      </c>
      <c r="K219" s="111"/>
      <c r="L219" s="115">
        <f>7971.1+K219</f>
        <v>7971.1</v>
      </c>
      <c r="M219" s="111">
        <f>419.6+J219</f>
        <v>8390.7000000000007</v>
      </c>
      <c r="N219" s="111">
        <f>SUM(H219+K219)</f>
        <v>0</v>
      </c>
      <c r="O219" s="111">
        <f>SUM(I219+L219)</f>
        <v>8390.7000000000007</v>
      </c>
      <c r="P219" s="97">
        <f t="shared" si="47"/>
        <v>419.6</v>
      </c>
      <c r="Q219" s="97">
        <f t="shared" si="48"/>
        <v>0</v>
      </c>
    </row>
    <row r="220" spans="1:17" ht="31.5" x14ac:dyDescent="0.2">
      <c r="A220" s="40"/>
      <c r="B220" s="113" t="s">
        <v>185</v>
      </c>
      <c r="C220" s="113" t="s">
        <v>51</v>
      </c>
      <c r="D220" s="133" t="s">
        <v>262</v>
      </c>
      <c r="E220" s="133" t="s">
        <v>271</v>
      </c>
      <c r="F220" s="134" t="s">
        <v>11</v>
      </c>
      <c r="G220" s="111">
        <f>G221+G228+G225</f>
        <v>17551.900000000001</v>
      </c>
      <c r="H220" s="111">
        <f>H221+H225+H228</f>
        <v>165.9</v>
      </c>
      <c r="I220" s="111">
        <f>I221+I228+I225</f>
        <v>17717.800000000003</v>
      </c>
      <c r="J220" s="114">
        <f>J221+J228</f>
        <v>0</v>
      </c>
      <c r="K220" s="111">
        <f>K221</f>
        <v>0</v>
      </c>
      <c r="L220" s="114">
        <f>L221+L228</f>
        <v>0</v>
      </c>
      <c r="M220" s="111">
        <f>M221+M228+M225</f>
        <v>17551.900000000001</v>
      </c>
      <c r="N220" s="111">
        <f>SUM(H220)</f>
        <v>165.9</v>
      </c>
      <c r="O220" s="111">
        <f>O221+O228+O225</f>
        <v>17717.800000000003</v>
      </c>
      <c r="P220" s="97">
        <f t="shared" si="47"/>
        <v>17717.800000000003</v>
      </c>
      <c r="Q220" s="97">
        <f t="shared" si="48"/>
        <v>0</v>
      </c>
    </row>
    <row r="221" spans="1:17" ht="51.6" customHeight="1" x14ac:dyDescent="0.2">
      <c r="A221" s="40"/>
      <c r="B221" s="113" t="s">
        <v>272</v>
      </c>
      <c r="C221" s="113" t="s">
        <v>51</v>
      </c>
      <c r="D221" s="133" t="s">
        <v>262</v>
      </c>
      <c r="E221" s="133" t="s">
        <v>273</v>
      </c>
      <c r="F221" s="134" t="s">
        <v>11</v>
      </c>
      <c r="G221" s="111">
        <f>G222</f>
        <v>9124.6</v>
      </c>
      <c r="H221" s="111">
        <f>H222+H223</f>
        <v>165.9</v>
      </c>
      <c r="I221" s="111">
        <f>I222</f>
        <v>9290.5</v>
      </c>
      <c r="J221" s="114">
        <f>J222</f>
        <v>0</v>
      </c>
      <c r="K221" s="111">
        <f>K222+K223</f>
        <v>0</v>
      </c>
      <c r="L221" s="114">
        <f>L222</f>
        <v>0</v>
      </c>
      <c r="M221" s="111">
        <f>M222</f>
        <v>9124.6</v>
      </c>
      <c r="N221" s="111">
        <f>N222</f>
        <v>165.9</v>
      </c>
      <c r="O221" s="111">
        <f>O222</f>
        <v>9290.5</v>
      </c>
      <c r="P221" s="97">
        <f t="shared" si="47"/>
        <v>9290.5</v>
      </c>
      <c r="Q221" s="97">
        <f t="shared" si="48"/>
        <v>0</v>
      </c>
    </row>
    <row r="222" spans="1:17" ht="31.5" x14ac:dyDescent="0.2">
      <c r="A222" s="40"/>
      <c r="B222" s="113" t="s">
        <v>134</v>
      </c>
      <c r="C222" s="113" t="s">
        <v>51</v>
      </c>
      <c r="D222" s="133" t="s">
        <v>262</v>
      </c>
      <c r="E222" s="133" t="s">
        <v>274</v>
      </c>
      <c r="F222" s="134" t="s">
        <v>11</v>
      </c>
      <c r="G222" s="111">
        <f>G223+G224</f>
        <v>9124.6</v>
      </c>
      <c r="H222" s="111">
        <f>SUM(H224)</f>
        <v>165.9</v>
      </c>
      <c r="I222" s="111">
        <f>I223+I224</f>
        <v>9290.5</v>
      </c>
      <c r="J222" s="114">
        <f>J223+J224</f>
        <v>0</v>
      </c>
      <c r="K222" s="111"/>
      <c r="L222" s="114">
        <f>L223+L224</f>
        <v>0</v>
      </c>
      <c r="M222" s="111">
        <f>M223+M224</f>
        <v>9124.6</v>
      </c>
      <c r="N222" s="111">
        <f>N223+N224</f>
        <v>165.9</v>
      </c>
      <c r="O222" s="111">
        <f>O223+O224</f>
        <v>9290.5</v>
      </c>
      <c r="P222" s="97">
        <f t="shared" si="47"/>
        <v>9290.5</v>
      </c>
      <c r="Q222" s="97">
        <f t="shared" si="48"/>
        <v>0</v>
      </c>
    </row>
    <row r="223" spans="1:17" ht="25.9" customHeight="1" x14ac:dyDescent="0.2">
      <c r="A223" s="40"/>
      <c r="B223" s="113" t="s">
        <v>61</v>
      </c>
      <c r="C223" s="113" t="s">
        <v>51</v>
      </c>
      <c r="D223" s="133" t="s">
        <v>262</v>
      </c>
      <c r="E223" s="133" t="s">
        <v>274</v>
      </c>
      <c r="F223" s="134" t="s">
        <v>62</v>
      </c>
      <c r="G223" s="111">
        <v>8871.2000000000007</v>
      </c>
      <c r="H223" s="111"/>
      <c r="I223" s="111">
        <f>SUM(G223)</f>
        <v>8871.2000000000007</v>
      </c>
      <c r="J223" s="115">
        <v>0</v>
      </c>
      <c r="K223" s="111"/>
      <c r="L223" s="115">
        <v>0</v>
      </c>
      <c r="M223" s="111">
        <f>SUM(G223)</f>
        <v>8871.2000000000007</v>
      </c>
      <c r="N223" s="111">
        <f>SUM(H223)</f>
        <v>0</v>
      </c>
      <c r="O223" s="111">
        <f>SUM(M223)</f>
        <v>8871.2000000000007</v>
      </c>
      <c r="P223" s="97">
        <f t="shared" si="47"/>
        <v>8871.2000000000007</v>
      </c>
      <c r="Q223" s="97">
        <f t="shared" si="48"/>
        <v>0</v>
      </c>
    </row>
    <row r="224" spans="1:17" ht="31.5" x14ac:dyDescent="0.2">
      <c r="A224" s="40"/>
      <c r="B224" s="113" t="s">
        <v>40</v>
      </c>
      <c r="C224" s="113" t="s">
        <v>51</v>
      </c>
      <c r="D224" s="133" t="s">
        <v>262</v>
      </c>
      <c r="E224" s="133" t="s">
        <v>274</v>
      </c>
      <c r="F224" s="134" t="s">
        <v>41</v>
      </c>
      <c r="G224" s="111">
        <v>253.4</v>
      </c>
      <c r="H224" s="111">
        <v>165.9</v>
      </c>
      <c r="I224" s="111">
        <f>SUM(G224)+H224</f>
        <v>419.3</v>
      </c>
      <c r="J224" s="115">
        <v>0</v>
      </c>
      <c r="K224" s="111"/>
      <c r="L224" s="115">
        <v>0</v>
      </c>
      <c r="M224" s="111">
        <f t="shared" ref="M224:N227" si="50">SUM(G224)</f>
        <v>253.4</v>
      </c>
      <c r="N224" s="111">
        <f t="shared" si="50"/>
        <v>165.9</v>
      </c>
      <c r="O224" s="111">
        <f>SUM(M224)+N224</f>
        <v>419.3</v>
      </c>
      <c r="P224" s="97">
        <f t="shared" si="47"/>
        <v>419.3</v>
      </c>
      <c r="Q224" s="97">
        <f t="shared" si="48"/>
        <v>0</v>
      </c>
    </row>
    <row r="225" spans="1:17" ht="15.75" x14ac:dyDescent="0.2">
      <c r="A225" s="40"/>
      <c r="B225" s="113" t="s">
        <v>275</v>
      </c>
      <c r="C225" s="113">
        <v>992</v>
      </c>
      <c r="D225" s="133" t="s">
        <v>262</v>
      </c>
      <c r="E225" s="136" t="s">
        <v>276</v>
      </c>
      <c r="F225" s="134"/>
      <c r="G225" s="111">
        <f>SUM(G227)</f>
        <v>896.4</v>
      </c>
      <c r="H225" s="111">
        <f>SUM(H227)</f>
        <v>0</v>
      </c>
      <c r="I225" s="111">
        <f>SUM(H225)+G225</f>
        <v>896.4</v>
      </c>
      <c r="J225" s="115"/>
      <c r="K225" s="111"/>
      <c r="L225" s="115"/>
      <c r="M225" s="111">
        <f t="shared" si="50"/>
        <v>896.4</v>
      </c>
      <c r="N225" s="111">
        <f t="shared" si="50"/>
        <v>0</v>
      </c>
      <c r="O225" s="111">
        <f>SUM(I225)</f>
        <v>896.4</v>
      </c>
      <c r="P225" s="97">
        <f t="shared" si="47"/>
        <v>896.4</v>
      </c>
      <c r="Q225" s="97">
        <f t="shared" si="48"/>
        <v>0</v>
      </c>
    </row>
    <row r="226" spans="1:17" ht="15.75" x14ac:dyDescent="0.2">
      <c r="A226" s="40"/>
      <c r="B226" s="113" t="s">
        <v>277</v>
      </c>
      <c r="C226" s="113">
        <v>992</v>
      </c>
      <c r="D226" s="133" t="s">
        <v>262</v>
      </c>
      <c r="E226" s="136" t="s">
        <v>276</v>
      </c>
      <c r="F226" s="134"/>
      <c r="G226" s="111">
        <f>SUM(F226)+G227</f>
        <v>896.4</v>
      </c>
      <c r="H226" s="111"/>
      <c r="I226" s="111">
        <f>SUM(H226)+G226</f>
        <v>896.4</v>
      </c>
      <c r="J226" s="115"/>
      <c r="K226" s="111"/>
      <c r="L226" s="115"/>
      <c r="M226" s="111">
        <f t="shared" si="50"/>
        <v>896.4</v>
      </c>
      <c r="N226" s="111">
        <f t="shared" si="50"/>
        <v>0</v>
      </c>
      <c r="O226" s="111">
        <f>SUM(I226)</f>
        <v>896.4</v>
      </c>
      <c r="P226" s="97">
        <f t="shared" si="47"/>
        <v>896.4</v>
      </c>
      <c r="Q226" s="97">
        <f t="shared" si="48"/>
        <v>0</v>
      </c>
    </row>
    <row r="227" spans="1:17" ht="31.5" x14ac:dyDescent="0.2">
      <c r="A227" s="40"/>
      <c r="B227" s="113" t="s">
        <v>40</v>
      </c>
      <c r="C227" s="113">
        <v>992</v>
      </c>
      <c r="D227" s="133" t="s">
        <v>262</v>
      </c>
      <c r="E227" s="136" t="s">
        <v>278</v>
      </c>
      <c r="F227" s="134">
        <v>200</v>
      </c>
      <c r="G227" s="111">
        <v>896.4</v>
      </c>
      <c r="H227" s="111"/>
      <c r="I227" s="111">
        <f>SUM(H227)+G227</f>
        <v>896.4</v>
      </c>
      <c r="J227" s="115"/>
      <c r="K227" s="111"/>
      <c r="L227" s="115"/>
      <c r="M227" s="111">
        <f t="shared" si="50"/>
        <v>896.4</v>
      </c>
      <c r="N227" s="111">
        <f t="shared" si="50"/>
        <v>0</v>
      </c>
      <c r="O227" s="111">
        <f>SUM(I227)</f>
        <v>896.4</v>
      </c>
      <c r="P227" s="97">
        <f t="shared" si="47"/>
        <v>896.4</v>
      </c>
      <c r="Q227" s="97">
        <f t="shared" si="48"/>
        <v>0</v>
      </c>
    </row>
    <row r="228" spans="1:17" ht="52.15" customHeight="1" x14ac:dyDescent="0.2">
      <c r="A228" s="40"/>
      <c r="B228" s="113" t="s">
        <v>279</v>
      </c>
      <c r="C228" s="113" t="s">
        <v>51</v>
      </c>
      <c r="D228" s="133" t="s">
        <v>262</v>
      </c>
      <c r="E228" s="133" t="s">
        <v>280</v>
      </c>
      <c r="F228" s="134" t="s">
        <v>11</v>
      </c>
      <c r="G228" s="111">
        <f t="shared" ref="G228:O229" si="51">G229</f>
        <v>7530.9</v>
      </c>
      <c r="H228" s="111">
        <f t="shared" si="51"/>
        <v>0</v>
      </c>
      <c r="I228" s="111">
        <f t="shared" si="51"/>
        <v>7530.9</v>
      </c>
      <c r="J228" s="114">
        <f t="shared" si="51"/>
        <v>0</v>
      </c>
      <c r="K228" s="111">
        <f t="shared" si="51"/>
        <v>0</v>
      </c>
      <c r="L228" s="114">
        <f t="shared" si="51"/>
        <v>0</v>
      </c>
      <c r="M228" s="111">
        <f t="shared" si="51"/>
        <v>7530.9</v>
      </c>
      <c r="N228" s="111">
        <f t="shared" si="51"/>
        <v>0</v>
      </c>
      <c r="O228" s="111">
        <f t="shared" si="51"/>
        <v>7530.9</v>
      </c>
      <c r="P228" s="97">
        <f t="shared" si="47"/>
        <v>7530.9</v>
      </c>
      <c r="Q228" s="97">
        <f t="shared" si="48"/>
        <v>0</v>
      </c>
    </row>
    <row r="229" spans="1:17" ht="31.5" x14ac:dyDescent="0.2">
      <c r="A229" s="40"/>
      <c r="B229" s="113" t="s">
        <v>134</v>
      </c>
      <c r="C229" s="113" t="s">
        <v>51</v>
      </c>
      <c r="D229" s="133" t="s">
        <v>262</v>
      </c>
      <c r="E229" s="133" t="s">
        <v>281</v>
      </c>
      <c r="F229" s="134" t="s">
        <v>11</v>
      </c>
      <c r="G229" s="111">
        <f t="shared" si="51"/>
        <v>7530.9</v>
      </c>
      <c r="H229" s="111">
        <f>SUM(H230)</f>
        <v>0</v>
      </c>
      <c r="I229" s="111">
        <f t="shared" si="51"/>
        <v>7530.9</v>
      </c>
      <c r="J229" s="114">
        <f t="shared" si="51"/>
        <v>0</v>
      </c>
      <c r="K229" s="111"/>
      <c r="L229" s="114">
        <f t="shared" si="51"/>
        <v>0</v>
      </c>
      <c r="M229" s="111">
        <f t="shared" si="51"/>
        <v>7530.9</v>
      </c>
      <c r="N229" s="111">
        <f t="shared" si="51"/>
        <v>0</v>
      </c>
      <c r="O229" s="111">
        <f t="shared" si="51"/>
        <v>7530.9</v>
      </c>
      <c r="P229" s="97">
        <f t="shared" si="47"/>
        <v>7530.9</v>
      </c>
      <c r="Q229" s="97">
        <f t="shared" si="48"/>
        <v>0</v>
      </c>
    </row>
    <row r="230" spans="1:17" ht="37.9" customHeight="1" x14ac:dyDescent="0.2">
      <c r="A230" s="40"/>
      <c r="B230" s="113" t="s">
        <v>95</v>
      </c>
      <c r="C230" s="113" t="s">
        <v>51</v>
      </c>
      <c r="D230" s="133" t="s">
        <v>262</v>
      </c>
      <c r="E230" s="133" t="s">
        <v>281</v>
      </c>
      <c r="F230" s="134" t="s">
        <v>96</v>
      </c>
      <c r="G230" s="111">
        <v>7530.9</v>
      </c>
      <c r="H230" s="111"/>
      <c r="I230" s="111">
        <f>SUM(G230)</f>
        <v>7530.9</v>
      </c>
      <c r="J230" s="115">
        <v>0</v>
      </c>
      <c r="K230" s="111"/>
      <c r="L230" s="115">
        <v>0</v>
      </c>
      <c r="M230" s="111">
        <f>SUM(G230)</f>
        <v>7530.9</v>
      </c>
      <c r="N230" s="111">
        <f>SUM(H230)</f>
        <v>0</v>
      </c>
      <c r="O230" s="111">
        <f>SUM(M230)</f>
        <v>7530.9</v>
      </c>
      <c r="P230" s="97">
        <f t="shared" si="47"/>
        <v>7530.9</v>
      </c>
      <c r="Q230" s="97">
        <f t="shared" si="48"/>
        <v>0</v>
      </c>
    </row>
    <row r="231" spans="1:17" ht="37.9" customHeight="1" x14ac:dyDescent="0.2">
      <c r="A231" s="40"/>
      <c r="B231" s="118" t="s">
        <v>245</v>
      </c>
      <c r="C231" s="118">
        <v>992</v>
      </c>
      <c r="D231" s="136" t="s">
        <v>262</v>
      </c>
      <c r="E231" s="136" t="s">
        <v>246</v>
      </c>
      <c r="F231" s="141"/>
      <c r="G231" s="111">
        <f t="shared" ref="G231:O231" si="52">G232</f>
        <v>6256.7</v>
      </c>
      <c r="H231" s="111">
        <f t="shared" si="52"/>
        <v>0</v>
      </c>
      <c r="I231" s="111">
        <f t="shared" si="52"/>
        <v>6256.7</v>
      </c>
      <c r="J231" s="115">
        <f t="shared" si="52"/>
        <v>0</v>
      </c>
      <c r="K231" s="111">
        <f t="shared" si="52"/>
        <v>0</v>
      </c>
      <c r="L231" s="115">
        <f t="shared" si="52"/>
        <v>0</v>
      </c>
      <c r="M231" s="111">
        <f t="shared" si="52"/>
        <v>6256.7</v>
      </c>
      <c r="N231" s="111">
        <f t="shared" si="52"/>
        <v>0</v>
      </c>
      <c r="O231" s="111">
        <f t="shared" si="52"/>
        <v>6256.7</v>
      </c>
      <c r="P231" s="97">
        <f t="shared" si="47"/>
        <v>6256.7</v>
      </c>
      <c r="Q231" s="97">
        <f t="shared" si="48"/>
        <v>0</v>
      </c>
    </row>
    <row r="232" spans="1:17" ht="37.9" customHeight="1" x14ac:dyDescent="0.2">
      <c r="A232" s="40"/>
      <c r="B232" s="96" t="s">
        <v>282</v>
      </c>
      <c r="C232" s="113">
        <v>992</v>
      </c>
      <c r="D232" s="133" t="s">
        <v>262</v>
      </c>
      <c r="E232" s="136" t="s">
        <v>248</v>
      </c>
      <c r="F232" s="134"/>
      <c r="G232" s="111">
        <f>SUM(G235)+G233</f>
        <v>6256.7</v>
      </c>
      <c r="H232" s="111">
        <f>SUM(H235)+H233</f>
        <v>0</v>
      </c>
      <c r="I232" s="111">
        <f>SUM(G232)+H232</f>
        <v>6256.7</v>
      </c>
      <c r="J232" s="115"/>
      <c r="K232" s="111"/>
      <c r="L232" s="115"/>
      <c r="M232" s="111">
        <f>SUM(G232)</f>
        <v>6256.7</v>
      </c>
      <c r="N232" s="111">
        <f t="shared" ref="N232:O236" si="53">SUM(H232)</f>
        <v>0</v>
      </c>
      <c r="O232" s="111">
        <f t="shared" si="53"/>
        <v>6256.7</v>
      </c>
      <c r="P232" s="97">
        <f t="shared" si="47"/>
        <v>6256.7</v>
      </c>
      <c r="Q232" s="97">
        <f t="shared" si="48"/>
        <v>0</v>
      </c>
    </row>
    <row r="233" spans="1:17" ht="43.5" customHeight="1" x14ac:dyDescent="0.2">
      <c r="A233" s="40"/>
      <c r="B233" s="135" t="s">
        <v>134</v>
      </c>
      <c r="C233" s="113">
        <v>992</v>
      </c>
      <c r="D233" s="133" t="s">
        <v>262</v>
      </c>
      <c r="E233" s="136" t="s">
        <v>251</v>
      </c>
      <c r="F233" s="134"/>
      <c r="G233" s="111">
        <f>SUM(G234)</f>
        <v>5097.7</v>
      </c>
      <c r="H233" s="111">
        <f>SUM(H234)</f>
        <v>0</v>
      </c>
      <c r="I233" s="111">
        <f>SUM(I234)</f>
        <v>5097.7</v>
      </c>
      <c r="J233" s="115"/>
      <c r="K233" s="111"/>
      <c r="L233" s="115"/>
      <c r="M233" s="111">
        <f>SUM(G233)</f>
        <v>5097.7</v>
      </c>
      <c r="N233" s="111">
        <f>SUM(H233)</f>
        <v>0</v>
      </c>
      <c r="O233" s="111">
        <f>SUM(I233)</f>
        <v>5097.7</v>
      </c>
      <c r="P233" s="97">
        <f t="shared" si="47"/>
        <v>5097.7</v>
      </c>
      <c r="Q233" s="97">
        <f t="shared" si="48"/>
        <v>0</v>
      </c>
    </row>
    <row r="234" spans="1:17" ht="46.5" customHeight="1" x14ac:dyDescent="0.2">
      <c r="A234" s="40"/>
      <c r="B234" s="113" t="s">
        <v>95</v>
      </c>
      <c r="C234" s="113">
        <v>992</v>
      </c>
      <c r="D234" s="133" t="s">
        <v>262</v>
      </c>
      <c r="E234" s="136" t="s">
        <v>251</v>
      </c>
      <c r="F234" s="134">
        <v>600</v>
      </c>
      <c r="G234" s="111">
        <v>5097.7</v>
      </c>
      <c r="H234" s="111"/>
      <c r="I234" s="111">
        <v>5097.7</v>
      </c>
      <c r="J234" s="115"/>
      <c r="K234" s="111"/>
      <c r="L234" s="115"/>
      <c r="M234" s="111">
        <f>SUM(G234)</f>
        <v>5097.7</v>
      </c>
      <c r="N234" s="111">
        <f>SUM(H234)</f>
        <v>0</v>
      </c>
      <c r="O234" s="111">
        <f>SUM(I234)</f>
        <v>5097.7</v>
      </c>
      <c r="P234" s="97">
        <f t="shared" si="47"/>
        <v>5097.7</v>
      </c>
      <c r="Q234" s="97">
        <f t="shared" si="48"/>
        <v>0</v>
      </c>
    </row>
    <row r="235" spans="1:17" ht="54" customHeight="1" x14ac:dyDescent="0.2">
      <c r="A235" s="40"/>
      <c r="B235" s="142" t="s">
        <v>283</v>
      </c>
      <c r="C235" s="113">
        <v>992</v>
      </c>
      <c r="D235" s="133" t="s">
        <v>262</v>
      </c>
      <c r="E235" s="136" t="s">
        <v>284</v>
      </c>
      <c r="F235" s="134"/>
      <c r="G235" s="111">
        <f>SUM(G236)</f>
        <v>1159</v>
      </c>
      <c r="H235" s="111">
        <f>SUM(H236)</f>
        <v>0</v>
      </c>
      <c r="I235" s="111">
        <f>SUM(G235)+H235</f>
        <v>1159</v>
      </c>
      <c r="J235" s="115"/>
      <c r="K235" s="111"/>
      <c r="L235" s="115"/>
      <c r="M235" s="111">
        <f>SUM(G236)</f>
        <v>1159</v>
      </c>
      <c r="N235" s="111">
        <f t="shared" si="53"/>
        <v>0</v>
      </c>
      <c r="O235" s="111">
        <f t="shared" si="53"/>
        <v>1159</v>
      </c>
      <c r="P235" s="97">
        <f t="shared" si="47"/>
        <v>1159</v>
      </c>
      <c r="Q235" s="97">
        <f t="shared" si="48"/>
        <v>0</v>
      </c>
    </row>
    <row r="236" spans="1:17" ht="37.9" customHeight="1" x14ac:dyDescent="0.2">
      <c r="A236" s="40"/>
      <c r="B236" s="113" t="s">
        <v>95</v>
      </c>
      <c r="C236" s="113">
        <v>992</v>
      </c>
      <c r="D236" s="133" t="s">
        <v>262</v>
      </c>
      <c r="E236" s="136" t="s">
        <v>284</v>
      </c>
      <c r="F236" s="134">
        <v>600</v>
      </c>
      <c r="G236" s="111">
        <v>1159</v>
      </c>
      <c r="H236" s="111"/>
      <c r="I236" s="111">
        <f>SUM(G236)+H236</f>
        <v>1159</v>
      </c>
      <c r="J236" s="115"/>
      <c r="K236" s="111"/>
      <c r="L236" s="115"/>
      <c r="M236" s="111">
        <f>SUM(G236)</f>
        <v>1159</v>
      </c>
      <c r="N236" s="111">
        <f t="shared" si="53"/>
        <v>0</v>
      </c>
      <c r="O236" s="111">
        <f t="shared" si="53"/>
        <v>1159</v>
      </c>
      <c r="P236" s="97">
        <f t="shared" si="47"/>
        <v>1159</v>
      </c>
      <c r="Q236" s="97">
        <f t="shared" si="48"/>
        <v>0</v>
      </c>
    </row>
    <row r="237" spans="1:17" ht="31.5" x14ac:dyDescent="0.2">
      <c r="A237" s="40"/>
      <c r="B237" s="113" t="s">
        <v>218</v>
      </c>
      <c r="C237" s="113" t="s">
        <v>51</v>
      </c>
      <c r="D237" s="133" t="s">
        <v>262</v>
      </c>
      <c r="E237" s="133" t="s">
        <v>219</v>
      </c>
      <c r="F237" s="134" t="s">
        <v>11</v>
      </c>
      <c r="G237" s="111">
        <f>G238+G243+G250</f>
        <v>5526.1</v>
      </c>
      <c r="H237" s="111">
        <f>H238+H243</f>
        <v>0</v>
      </c>
      <c r="I237" s="111">
        <f>I238+I243+I250</f>
        <v>5326.1</v>
      </c>
      <c r="J237" s="114">
        <f>J238+J243+J250</f>
        <v>0</v>
      </c>
      <c r="K237" s="111">
        <f>K238</f>
        <v>0</v>
      </c>
      <c r="L237" s="114">
        <f>L238+L243+L250</f>
        <v>0</v>
      </c>
      <c r="M237" s="111">
        <f>M238+M243+M250</f>
        <v>5526.1</v>
      </c>
      <c r="N237" s="111">
        <f>N238+N243+N250</f>
        <v>-200</v>
      </c>
      <c r="O237" s="111">
        <f>O238+O243+O250</f>
        <v>5326.1</v>
      </c>
      <c r="P237" s="97">
        <f t="shared" si="47"/>
        <v>5526.1</v>
      </c>
      <c r="Q237" s="97">
        <f t="shared" si="48"/>
        <v>-200</v>
      </c>
    </row>
    <row r="238" spans="1:17" ht="31.5" x14ac:dyDescent="0.2">
      <c r="A238" s="40"/>
      <c r="B238" s="113" t="s">
        <v>285</v>
      </c>
      <c r="C238" s="113" t="s">
        <v>51</v>
      </c>
      <c r="D238" s="133" t="s">
        <v>262</v>
      </c>
      <c r="E238" s="133" t="s">
        <v>286</v>
      </c>
      <c r="F238" s="134" t="s">
        <v>11</v>
      </c>
      <c r="G238" s="111">
        <f>G239</f>
        <v>330</v>
      </c>
      <c r="H238" s="111">
        <f>H239</f>
        <v>0</v>
      </c>
      <c r="I238" s="111">
        <f>I239</f>
        <v>330</v>
      </c>
      <c r="J238" s="114">
        <f t="shared" ref="J238:O239" si="54">J239</f>
        <v>0</v>
      </c>
      <c r="K238" s="111">
        <f>K239</f>
        <v>0</v>
      </c>
      <c r="L238" s="114">
        <f t="shared" si="54"/>
        <v>0</v>
      </c>
      <c r="M238" s="111">
        <f t="shared" si="54"/>
        <v>330</v>
      </c>
      <c r="N238" s="111">
        <f t="shared" si="54"/>
        <v>0</v>
      </c>
      <c r="O238" s="111">
        <f t="shared" si="54"/>
        <v>330</v>
      </c>
      <c r="P238" s="97">
        <f t="shared" si="47"/>
        <v>330</v>
      </c>
      <c r="Q238" s="97">
        <f t="shared" si="48"/>
        <v>0</v>
      </c>
    </row>
    <row r="239" spans="1:17" ht="31.5" x14ac:dyDescent="0.2">
      <c r="A239" s="40"/>
      <c r="B239" s="113" t="s">
        <v>287</v>
      </c>
      <c r="C239" s="113" t="s">
        <v>51</v>
      </c>
      <c r="D239" s="133" t="s">
        <v>262</v>
      </c>
      <c r="E239" s="133" t="s">
        <v>288</v>
      </c>
      <c r="F239" s="134" t="s">
        <v>11</v>
      </c>
      <c r="G239" s="111">
        <f>G240</f>
        <v>330</v>
      </c>
      <c r="H239" s="111">
        <f>H241+H240</f>
        <v>0</v>
      </c>
      <c r="I239" s="111">
        <f>I240</f>
        <v>330</v>
      </c>
      <c r="J239" s="114">
        <f t="shared" si="54"/>
        <v>0</v>
      </c>
      <c r="K239" s="111">
        <f>K241+K240</f>
        <v>0</v>
      </c>
      <c r="L239" s="114">
        <f t="shared" si="54"/>
        <v>0</v>
      </c>
      <c r="M239" s="111">
        <f t="shared" si="54"/>
        <v>330</v>
      </c>
      <c r="N239" s="111">
        <f t="shared" si="54"/>
        <v>0</v>
      </c>
      <c r="O239" s="111">
        <f t="shared" si="54"/>
        <v>330</v>
      </c>
      <c r="P239" s="97">
        <f t="shared" si="47"/>
        <v>330</v>
      </c>
      <c r="Q239" s="97">
        <f t="shared" si="48"/>
        <v>0</v>
      </c>
    </row>
    <row r="240" spans="1:17" ht="31.5" x14ac:dyDescent="0.2">
      <c r="A240" s="40"/>
      <c r="B240" s="113" t="s">
        <v>285</v>
      </c>
      <c r="C240" s="113" t="s">
        <v>51</v>
      </c>
      <c r="D240" s="133" t="s">
        <v>262</v>
      </c>
      <c r="E240" s="133" t="s">
        <v>289</v>
      </c>
      <c r="F240" s="134" t="s">
        <v>11</v>
      </c>
      <c r="G240" s="111">
        <f>G242+G241</f>
        <v>330</v>
      </c>
      <c r="H240" s="111"/>
      <c r="I240" s="111">
        <f>I242+I241</f>
        <v>330</v>
      </c>
      <c r="J240" s="114">
        <f>J242+J241</f>
        <v>0</v>
      </c>
      <c r="K240" s="111"/>
      <c r="L240" s="114">
        <f>L242+L241</f>
        <v>0</v>
      </c>
      <c r="M240" s="111">
        <f>M242+M241</f>
        <v>330</v>
      </c>
      <c r="N240" s="111">
        <f>N242+N241</f>
        <v>0</v>
      </c>
      <c r="O240" s="111">
        <f>O242+O241</f>
        <v>330</v>
      </c>
      <c r="P240" s="97">
        <f t="shared" si="47"/>
        <v>330</v>
      </c>
      <c r="Q240" s="97">
        <f t="shared" si="48"/>
        <v>0</v>
      </c>
    </row>
    <row r="241" spans="1:17" ht="31.5" x14ac:dyDescent="0.2">
      <c r="A241" s="40"/>
      <c r="B241" s="113" t="s">
        <v>40</v>
      </c>
      <c r="C241" s="113" t="s">
        <v>51</v>
      </c>
      <c r="D241" s="133" t="s">
        <v>262</v>
      </c>
      <c r="E241" s="133" t="s">
        <v>289</v>
      </c>
      <c r="F241" s="134">
        <v>200</v>
      </c>
      <c r="G241" s="111">
        <v>200</v>
      </c>
      <c r="H241" s="111"/>
      <c r="I241" s="111">
        <v>200</v>
      </c>
      <c r="J241" s="114">
        <v>0</v>
      </c>
      <c r="K241" s="111"/>
      <c r="L241" s="114">
        <v>0</v>
      </c>
      <c r="M241" s="111">
        <v>200</v>
      </c>
      <c r="N241" s="111"/>
      <c r="O241" s="111">
        <v>200</v>
      </c>
      <c r="P241" s="97">
        <f t="shared" si="47"/>
        <v>200</v>
      </c>
      <c r="Q241" s="97">
        <f t="shared" si="48"/>
        <v>0</v>
      </c>
    </row>
    <row r="242" spans="1:17" ht="15.75" x14ac:dyDescent="0.2">
      <c r="A242" s="40"/>
      <c r="B242" s="113" t="s">
        <v>70</v>
      </c>
      <c r="C242" s="113" t="s">
        <v>51</v>
      </c>
      <c r="D242" s="133" t="s">
        <v>262</v>
      </c>
      <c r="E242" s="133" t="s">
        <v>289</v>
      </c>
      <c r="F242" s="134" t="s">
        <v>71</v>
      </c>
      <c r="G242" s="111">
        <v>130</v>
      </c>
      <c r="H242" s="111"/>
      <c r="I242" s="111">
        <v>130</v>
      </c>
      <c r="J242" s="115">
        <v>0</v>
      </c>
      <c r="K242" s="111"/>
      <c r="L242" s="115">
        <v>0</v>
      </c>
      <c r="M242" s="111">
        <v>130</v>
      </c>
      <c r="N242" s="111"/>
      <c r="O242" s="111">
        <v>130</v>
      </c>
      <c r="P242" s="97">
        <f t="shared" si="47"/>
        <v>130</v>
      </c>
      <c r="Q242" s="97">
        <f t="shared" si="48"/>
        <v>0</v>
      </c>
    </row>
    <row r="243" spans="1:17" ht="31.5" x14ac:dyDescent="0.2">
      <c r="A243" s="40"/>
      <c r="B243" s="113" t="s">
        <v>290</v>
      </c>
      <c r="C243" s="113" t="s">
        <v>51</v>
      </c>
      <c r="D243" s="133" t="s">
        <v>262</v>
      </c>
      <c r="E243" s="133" t="s">
        <v>291</v>
      </c>
      <c r="F243" s="134" t="s">
        <v>11</v>
      </c>
      <c r="G243" s="111">
        <f t="shared" ref="G243:O244" si="55">G244</f>
        <v>4396.1000000000004</v>
      </c>
      <c r="H243" s="111">
        <f t="shared" si="55"/>
        <v>0</v>
      </c>
      <c r="I243" s="111">
        <f t="shared" si="55"/>
        <v>4396.1000000000004</v>
      </c>
      <c r="J243" s="114">
        <f t="shared" si="55"/>
        <v>0</v>
      </c>
      <c r="K243" s="111">
        <f t="shared" si="55"/>
        <v>0</v>
      </c>
      <c r="L243" s="114">
        <f t="shared" si="55"/>
        <v>0</v>
      </c>
      <c r="M243" s="111">
        <f t="shared" si="55"/>
        <v>4396.1000000000004</v>
      </c>
      <c r="N243" s="111">
        <f t="shared" si="55"/>
        <v>0</v>
      </c>
      <c r="O243" s="111">
        <f t="shared" si="55"/>
        <v>4396.1000000000004</v>
      </c>
      <c r="P243" s="97">
        <f t="shared" si="47"/>
        <v>4396.1000000000004</v>
      </c>
      <c r="Q243" s="97">
        <f t="shared" si="48"/>
        <v>0</v>
      </c>
    </row>
    <row r="244" spans="1:17" ht="47.25" x14ac:dyDescent="0.2">
      <c r="A244" s="40"/>
      <c r="B244" s="113" t="s">
        <v>292</v>
      </c>
      <c r="C244" s="113" t="s">
        <v>51</v>
      </c>
      <c r="D244" s="133" t="s">
        <v>262</v>
      </c>
      <c r="E244" s="133" t="s">
        <v>293</v>
      </c>
      <c r="F244" s="134" t="s">
        <v>11</v>
      </c>
      <c r="G244" s="111">
        <f t="shared" si="55"/>
        <v>4396.1000000000004</v>
      </c>
      <c r="H244" s="111">
        <f t="shared" si="55"/>
        <v>0</v>
      </c>
      <c r="I244" s="111">
        <f t="shared" si="55"/>
        <v>4396.1000000000004</v>
      </c>
      <c r="J244" s="114">
        <f t="shared" si="55"/>
        <v>0</v>
      </c>
      <c r="K244" s="111">
        <f>K245+K246</f>
        <v>0</v>
      </c>
      <c r="L244" s="114">
        <f t="shared" si="55"/>
        <v>0</v>
      </c>
      <c r="M244" s="111">
        <f t="shared" si="55"/>
        <v>4396.1000000000004</v>
      </c>
      <c r="N244" s="111">
        <f>SUM(H244)</f>
        <v>0</v>
      </c>
      <c r="O244" s="111">
        <f t="shared" si="55"/>
        <v>4396.1000000000004</v>
      </c>
      <c r="P244" s="97">
        <f t="shared" si="47"/>
        <v>4396.1000000000004</v>
      </c>
      <c r="Q244" s="97">
        <f t="shared" si="48"/>
        <v>0</v>
      </c>
    </row>
    <row r="245" spans="1:17" ht="31.5" x14ac:dyDescent="0.2">
      <c r="A245" s="40"/>
      <c r="B245" s="113" t="s">
        <v>134</v>
      </c>
      <c r="C245" s="113" t="s">
        <v>51</v>
      </c>
      <c r="D245" s="133" t="s">
        <v>262</v>
      </c>
      <c r="E245" s="133" t="s">
        <v>294</v>
      </c>
      <c r="F245" s="134" t="s">
        <v>11</v>
      </c>
      <c r="G245" s="111">
        <f>G246+G247</f>
        <v>4396.1000000000004</v>
      </c>
      <c r="H245" s="111"/>
      <c r="I245" s="111">
        <f>I246+I247</f>
        <v>4396.1000000000004</v>
      </c>
      <c r="J245" s="114">
        <f>J246+J247</f>
        <v>0</v>
      </c>
      <c r="K245" s="111"/>
      <c r="L245" s="114">
        <f>L246+L247</f>
        <v>0</v>
      </c>
      <c r="M245" s="111">
        <f>M246+M247</f>
        <v>4396.1000000000004</v>
      </c>
      <c r="N245" s="111">
        <f>N246+N247</f>
        <v>0</v>
      </c>
      <c r="O245" s="111">
        <f>O246+O247</f>
        <v>4396.1000000000004</v>
      </c>
      <c r="P245" s="97">
        <f t="shared" si="47"/>
        <v>4396.1000000000004</v>
      </c>
      <c r="Q245" s="97">
        <f t="shared" si="48"/>
        <v>0</v>
      </c>
    </row>
    <row r="246" spans="1:17" ht="31.9" customHeight="1" x14ac:dyDescent="0.2">
      <c r="A246" s="40"/>
      <c r="B246" s="113" t="s">
        <v>61</v>
      </c>
      <c r="C246" s="113" t="s">
        <v>51</v>
      </c>
      <c r="D246" s="133" t="s">
        <v>262</v>
      </c>
      <c r="E246" s="133" t="s">
        <v>294</v>
      </c>
      <c r="F246" s="134" t="s">
        <v>62</v>
      </c>
      <c r="G246" s="111">
        <v>4250.6000000000004</v>
      </c>
      <c r="H246" s="111"/>
      <c r="I246" s="111">
        <f>SUM(G246)</f>
        <v>4250.6000000000004</v>
      </c>
      <c r="J246" s="115">
        <v>0</v>
      </c>
      <c r="K246" s="111"/>
      <c r="L246" s="115">
        <v>0</v>
      </c>
      <c r="M246" s="111">
        <f>SUM(G246)</f>
        <v>4250.6000000000004</v>
      </c>
      <c r="N246" s="111">
        <f>SUM(H246)</f>
        <v>0</v>
      </c>
      <c r="O246" s="111">
        <f>SUM(I246)</f>
        <v>4250.6000000000004</v>
      </c>
      <c r="P246" s="97">
        <f t="shared" si="47"/>
        <v>4250.6000000000004</v>
      </c>
      <c r="Q246" s="97">
        <f t="shared" si="48"/>
        <v>0</v>
      </c>
    </row>
    <row r="247" spans="1:17" ht="31.5" x14ac:dyDescent="0.2">
      <c r="A247" s="40"/>
      <c r="B247" s="113" t="s">
        <v>40</v>
      </c>
      <c r="C247" s="113" t="s">
        <v>51</v>
      </c>
      <c r="D247" s="133" t="s">
        <v>262</v>
      </c>
      <c r="E247" s="133" t="s">
        <v>294</v>
      </c>
      <c r="F247" s="134" t="s">
        <v>41</v>
      </c>
      <c r="G247" s="111">
        <v>145.5</v>
      </c>
      <c r="H247" s="111"/>
      <c r="I247" s="111">
        <v>145.5</v>
      </c>
      <c r="J247" s="115">
        <v>0</v>
      </c>
      <c r="K247" s="111"/>
      <c r="L247" s="115">
        <v>0</v>
      </c>
      <c r="M247" s="111">
        <v>145.5</v>
      </c>
      <c r="N247" s="111"/>
      <c r="O247" s="111">
        <v>145.5</v>
      </c>
      <c r="P247" s="97">
        <f t="shared" si="47"/>
        <v>145.5</v>
      </c>
      <c r="Q247" s="97">
        <f t="shared" si="48"/>
        <v>0</v>
      </c>
    </row>
    <row r="248" spans="1:17" ht="63" hidden="1" x14ac:dyDescent="0.2">
      <c r="A248" s="40"/>
      <c r="B248" s="135" t="s">
        <v>560</v>
      </c>
      <c r="C248" s="113">
        <v>992</v>
      </c>
      <c r="D248" s="133" t="s">
        <v>262</v>
      </c>
      <c r="E248" s="133" t="s">
        <v>559</v>
      </c>
      <c r="F248" s="134"/>
      <c r="G248" s="111"/>
      <c r="H248" s="111"/>
      <c r="I248" s="111">
        <f>SUM(H248)</f>
        <v>0</v>
      </c>
      <c r="J248" s="115"/>
      <c r="K248" s="111"/>
      <c r="L248" s="115"/>
      <c r="M248" s="111"/>
      <c r="N248" s="111">
        <f>SUM(H248)</f>
        <v>0</v>
      </c>
      <c r="O248" s="111">
        <f>SUM(H248)</f>
        <v>0</v>
      </c>
      <c r="P248" s="97">
        <f t="shared" si="47"/>
        <v>0</v>
      </c>
      <c r="Q248" s="97">
        <f t="shared" si="48"/>
        <v>0</v>
      </c>
    </row>
    <row r="249" spans="1:17" ht="15.75" hidden="1" x14ac:dyDescent="0.2">
      <c r="A249" s="40"/>
      <c r="B249" s="113" t="s">
        <v>47</v>
      </c>
      <c r="C249" s="113">
        <v>992</v>
      </c>
      <c r="D249" s="133" t="s">
        <v>262</v>
      </c>
      <c r="E249" s="133" t="s">
        <v>559</v>
      </c>
      <c r="F249" s="134">
        <v>500</v>
      </c>
      <c r="G249" s="111"/>
      <c r="H249" s="111"/>
      <c r="I249" s="111">
        <f>SUM(H249)</f>
        <v>0</v>
      </c>
      <c r="J249" s="115"/>
      <c r="K249" s="111"/>
      <c r="L249" s="115"/>
      <c r="M249" s="111"/>
      <c r="N249" s="111">
        <f>SUM(H249)</f>
        <v>0</v>
      </c>
      <c r="O249" s="111">
        <f>SUM(H249)</f>
        <v>0</v>
      </c>
      <c r="P249" s="97">
        <f t="shared" si="47"/>
        <v>0</v>
      </c>
      <c r="Q249" s="97">
        <f t="shared" si="48"/>
        <v>0</v>
      </c>
    </row>
    <row r="250" spans="1:17" ht="63" x14ac:dyDescent="0.2">
      <c r="A250" s="40"/>
      <c r="B250" s="113" t="s">
        <v>295</v>
      </c>
      <c r="C250" s="113" t="s">
        <v>51</v>
      </c>
      <c r="D250" s="133" t="s">
        <v>262</v>
      </c>
      <c r="E250" s="133" t="s">
        <v>296</v>
      </c>
      <c r="F250" s="134" t="s">
        <v>11</v>
      </c>
      <c r="G250" s="111">
        <f t="shared" ref="G250:O252" si="56">G251</f>
        <v>800</v>
      </c>
      <c r="H250" s="111">
        <f t="shared" si="56"/>
        <v>-200</v>
      </c>
      <c r="I250" s="111">
        <f t="shared" si="56"/>
        <v>600</v>
      </c>
      <c r="J250" s="114">
        <f t="shared" si="56"/>
        <v>0</v>
      </c>
      <c r="K250" s="111">
        <f>K251</f>
        <v>0</v>
      </c>
      <c r="L250" s="114">
        <f t="shared" si="56"/>
        <v>0</v>
      </c>
      <c r="M250" s="111">
        <f t="shared" si="56"/>
        <v>800</v>
      </c>
      <c r="N250" s="111">
        <f t="shared" si="56"/>
        <v>-200</v>
      </c>
      <c r="O250" s="111">
        <f t="shared" si="56"/>
        <v>600</v>
      </c>
      <c r="P250" s="97">
        <f t="shared" si="47"/>
        <v>600</v>
      </c>
      <c r="Q250" s="97">
        <f t="shared" si="48"/>
        <v>0</v>
      </c>
    </row>
    <row r="251" spans="1:17" ht="47.25" x14ac:dyDescent="0.2">
      <c r="A251" s="40"/>
      <c r="B251" s="113" t="s">
        <v>297</v>
      </c>
      <c r="C251" s="113" t="s">
        <v>51</v>
      </c>
      <c r="D251" s="133" t="s">
        <v>262</v>
      </c>
      <c r="E251" s="133" t="s">
        <v>298</v>
      </c>
      <c r="F251" s="134" t="s">
        <v>11</v>
      </c>
      <c r="G251" s="111">
        <f t="shared" si="56"/>
        <v>800</v>
      </c>
      <c r="H251" s="111">
        <f>H252</f>
        <v>-200</v>
      </c>
      <c r="I251" s="111">
        <f t="shared" si="56"/>
        <v>600</v>
      </c>
      <c r="J251" s="114">
        <f t="shared" si="56"/>
        <v>0</v>
      </c>
      <c r="K251" s="111">
        <f>K252</f>
        <v>0</v>
      </c>
      <c r="L251" s="114">
        <f t="shared" si="56"/>
        <v>0</v>
      </c>
      <c r="M251" s="111">
        <f t="shared" si="56"/>
        <v>800</v>
      </c>
      <c r="N251" s="111">
        <f t="shared" si="56"/>
        <v>-200</v>
      </c>
      <c r="O251" s="111">
        <f t="shared" si="56"/>
        <v>600</v>
      </c>
      <c r="P251" s="97">
        <f t="shared" si="47"/>
        <v>600</v>
      </c>
      <c r="Q251" s="97">
        <f t="shared" si="48"/>
        <v>0</v>
      </c>
    </row>
    <row r="252" spans="1:17" ht="31.5" x14ac:dyDescent="0.2">
      <c r="A252" s="40"/>
      <c r="B252" s="113" t="s">
        <v>299</v>
      </c>
      <c r="C252" s="113" t="s">
        <v>51</v>
      </c>
      <c r="D252" s="133" t="s">
        <v>262</v>
      </c>
      <c r="E252" s="133" t="s">
        <v>300</v>
      </c>
      <c r="F252" s="134" t="s">
        <v>11</v>
      </c>
      <c r="G252" s="111">
        <f>G253</f>
        <v>800</v>
      </c>
      <c r="H252" s="111">
        <f>H253</f>
        <v>-200</v>
      </c>
      <c r="I252" s="111">
        <f>I253</f>
        <v>600</v>
      </c>
      <c r="J252" s="114">
        <f t="shared" si="56"/>
        <v>0</v>
      </c>
      <c r="K252" s="111"/>
      <c r="L252" s="114">
        <f t="shared" si="56"/>
        <v>0</v>
      </c>
      <c r="M252" s="111">
        <f t="shared" si="56"/>
        <v>800</v>
      </c>
      <c r="N252" s="111">
        <f t="shared" si="56"/>
        <v>-200</v>
      </c>
      <c r="O252" s="111">
        <f t="shared" si="56"/>
        <v>600</v>
      </c>
      <c r="P252" s="97">
        <f t="shared" si="47"/>
        <v>600</v>
      </c>
      <c r="Q252" s="97">
        <f t="shared" si="48"/>
        <v>0</v>
      </c>
    </row>
    <row r="253" spans="1:17" ht="31.5" x14ac:dyDescent="0.2">
      <c r="A253" s="40"/>
      <c r="B253" s="113" t="s">
        <v>40</v>
      </c>
      <c r="C253" s="113" t="s">
        <v>51</v>
      </c>
      <c r="D253" s="133" t="s">
        <v>262</v>
      </c>
      <c r="E253" s="133" t="s">
        <v>300</v>
      </c>
      <c r="F253" s="134" t="s">
        <v>41</v>
      </c>
      <c r="G253" s="111">
        <v>800</v>
      </c>
      <c r="H253" s="111">
        <v>-200</v>
      </c>
      <c r="I253" s="111">
        <f>G253+H253</f>
        <v>600</v>
      </c>
      <c r="J253" s="115"/>
      <c r="K253" s="106"/>
      <c r="L253" s="115"/>
      <c r="M253" s="111">
        <f>SUM(G253)</f>
        <v>800</v>
      </c>
      <c r="N253" s="111">
        <f>SUM(H253)</f>
        <v>-200</v>
      </c>
      <c r="O253" s="111">
        <f>SUM(I253)</f>
        <v>600</v>
      </c>
      <c r="P253" s="97">
        <f t="shared" si="47"/>
        <v>600</v>
      </c>
      <c r="Q253" s="97">
        <f t="shared" si="48"/>
        <v>0</v>
      </c>
    </row>
    <row r="254" spans="1:17" ht="15.75" x14ac:dyDescent="0.2">
      <c r="A254" s="20" t="s">
        <v>301</v>
      </c>
      <c r="B254" s="107" t="s">
        <v>302</v>
      </c>
      <c r="C254" s="107" t="s">
        <v>51</v>
      </c>
      <c r="D254" s="129" t="s">
        <v>303</v>
      </c>
      <c r="E254" s="129" t="s">
        <v>11</v>
      </c>
      <c r="F254" s="134" t="s">
        <v>11</v>
      </c>
      <c r="G254" s="106">
        <f>G255+G281+G319+G380</f>
        <v>245688.40000000002</v>
      </c>
      <c r="H254" s="106">
        <f>H255+H281+H319+H380</f>
        <v>13977</v>
      </c>
      <c r="I254" s="106">
        <f>I255+I281+I319+I380</f>
        <v>259665.40000000002</v>
      </c>
      <c r="J254" s="108">
        <f>J255+J281+J319+J380</f>
        <v>2442527.3000000003</v>
      </c>
      <c r="K254" s="109">
        <f>K255+K281+K319</f>
        <v>-744760.79999999993</v>
      </c>
      <c r="L254" s="108">
        <f>L255+L281+L319+L380</f>
        <v>1697766.5</v>
      </c>
      <c r="M254" s="106">
        <f>M255+M281+M319+M380</f>
        <v>2688215.6999999997</v>
      </c>
      <c r="N254" s="106">
        <f>N255+N281+N319+N380</f>
        <v>-730783.8</v>
      </c>
      <c r="O254" s="106">
        <f>O255+O281+O319+O380</f>
        <v>1957431.9000000004</v>
      </c>
      <c r="P254" s="97">
        <f t="shared" si="47"/>
        <v>259665.40000000002</v>
      </c>
      <c r="Q254" s="97">
        <f t="shared" si="48"/>
        <v>0</v>
      </c>
    </row>
    <row r="255" spans="1:17" ht="15.75" x14ac:dyDescent="0.2">
      <c r="A255" s="33" t="s">
        <v>304</v>
      </c>
      <c r="B255" s="110" t="s">
        <v>305</v>
      </c>
      <c r="C255" s="110" t="s">
        <v>51</v>
      </c>
      <c r="D255" s="131" t="s">
        <v>306</v>
      </c>
      <c r="E255" s="137" t="s">
        <v>231</v>
      </c>
      <c r="F255" s="134" t="s">
        <v>11</v>
      </c>
      <c r="G255" s="109">
        <f>G270+G261</f>
        <v>7373.4000000000005</v>
      </c>
      <c r="H255" s="109">
        <f>H270+H261+H266+H256</f>
        <v>792.7</v>
      </c>
      <c r="I255" s="109">
        <f>I270+I261</f>
        <v>8166.1</v>
      </c>
      <c r="J255" s="112">
        <f>J270</f>
        <v>0</v>
      </c>
      <c r="K255" s="111">
        <f>K270</f>
        <v>0</v>
      </c>
      <c r="L255" s="112">
        <f>L270</f>
        <v>0</v>
      </c>
      <c r="M255" s="109">
        <f>M270+M261</f>
        <v>7373.4000000000005</v>
      </c>
      <c r="N255" s="111">
        <f>SUM(H255)</f>
        <v>792.7</v>
      </c>
      <c r="O255" s="109">
        <f>O270+O261</f>
        <v>8166.1</v>
      </c>
      <c r="P255" s="97">
        <f t="shared" si="47"/>
        <v>8166.1</v>
      </c>
      <c r="Q255" s="97">
        <f t="shared" si="48"/>
        <v>0</v>
      </c>
    </row>
    <row r="256" spans="1:17" ht="30.75" customHeight="1" x14ac:dyDescent="0.2">
      <c r="A256" s="33"/>
      <c r="B256" s="113" t="s">
        <v>185</v>
      </c>
      <c r="C256" s="118">
        <v>992</v>
      </c>
      <c r="D256" s="136" t="s">
        <v>306</v>
      </c>
      <c r="E256" s="136" t="s">
        <v>271</v>
      </c>
      <c r="F256" s="134"/>
      <c r="G256" s="111">
        <f>G261</f>
        <v>451.3</v>
      </c>
      <c r="H256" s="111">
        <f>H261+H257</f>
        <v>0</v>
      </c>
      <c r="I256" s="111">
        <f>I261+H256</f>
        <v>451.3</v>
      </c>
      <c r="J256" s="112"/>
      <c r="K256" s="111"/>
      <c r="L256" s="112"/>
      <c r="M256" s="111">
        <f>M261</f>
        <v>451.3</v>
      </c>
      <c r="N256" s="111">
        <f>SUM(N258)</f>
        <v>0</v>
      </c>
      <c r="O256" s="111">
        <f>O261+N256</f>
        <v>451.3</v>
      </c>
      <c r="P256" s="97">
        <f t="shared" si="47"/>
        <v>451.3</v>
      </c>
      <c r="Q256" s="97">
        <f t="shared" si="48"/>
        <v>0</v>
      </c>
    </row>
    <row r="257" spans="1:17" ht="47.25" hidden="1" x14ac:dyDescent="0.2">
      <c r="A257" s="33"/>
      <c r="B257" s="113" t="s">
        <v>591</v>
      </c>
      <c r="C257" s="118" t="s">
        <v>51</v>
      </c>
      <c r="D257" s="136" t="s">
        <v>306</v>
      </c>
      <c r="E257" s="136" t="s">
        <v>276</v>
      </c>
      <c r="F257" s="134"/>
      <c r="G257" s="111"/>
      <c r="H257" s="111"/>
      <c r="I257" s="111">
        <f>SUM(H257)</f>
        <v>0</v>
      </c>
      <c r="J257" s="112"/>
      <c r="K257" s="111"/>
      <c r="L257" s="112"/>
      <c r="M257" s="111"/>
      <c r="N257" s="111">
        <f t="shared" ref="N257:O259" si="57">SUM(H257)</f>
        <v>0</v>
      </c>
      <c r="O257" s="111">
        <f t="shared" si="57"/>
        <v>0</v>
      </c>
      <c r="P257" s="97">
        <f t="shared" si="47"/>
        <v>0</v>
      </c>
      <c r="Q257" s="97">
        <f t="shared" si="48"/>
        <v>0</v>
      </c>
    </row>
    <row r="258" spans="1:17" ht="31.5" hidden="1" x14ac:dyDescent="0.2">
      <c r="A258" s="33"/>
      <c r="B258" s="113" t="s">
        <v>592</v>
      </c>
      <c r="C258" s="118" t="s">
        <v>51</v>
      </c>
      <c r="D258" s="136" t="s">
        <v>306</v>
      </c>
      <c r="E258" s="136" t="s">
        <v>590</v>
      </c>
      <c r="F258" s="134"/>
      <c r="G258" s="111"/>
      <c r="H258" s="111"/>
      <c r="I258" s="111">
        <f>SUM(H258)</f>
        <v>0</v>
      </c>
      <c r="J258" s="112"/>
      <c r="K258" s="111"/>
      <c r="L258" s="112"/>
      <c r="M258" s="111"/>
      <c r="N258" s="111">
        <f t="shared" si="57"/>
        <v>0</v>
      </c>
      <c r="O258" s="111">
        <f t="shared" si="57"/>
        <v>0</v>
      </c>
      <c r="P258" s="97">
        <f t="shared" si="47"/>
        <v>0</v>
      </c>
      <c r="Q258" s="97">
        <f t="shared" si="48"/>
        <v>0</v>
      </c>
    </row>
    <row r="259" spans="1:17" ht="31.5" hidden="1" x14ac:dyDescent="0.2">
      <c r="A259" s="33"/>
      <c r="B259" s="113" t="s">
        <v>225</v>
      </c>
      <c r="C259" s="118" t="s">
        <v>51</v>
      </c>
      <c r="D259" s="136" t="s">
        <v>306</v>
      </c>
      <c r="E259" s="136" t="s">
        <v>590</v>
      </c>
      <c r="F259" s="134">
        <v>400</v>
      </c>
      <c r="G259" s="111"/>
      <c r="H259" s="111"/>
      <c r="I259" s="111">
        <f>SUM(H259)</f>
        <v>0</v>
      </c>
      <c r="J259" s="112"/>
      <c r="K259" s="111"/>
      <c r="L259" s="112"/>
      <c r="M259" s="111"/>
      <c r="N259" s="111">
        <f t="shared" si="57"/>
        <v>0</v>
      </c>
      <c r="O259" s="111">
        <f t="shared" si="57"/>
        <v>0</v>
      </c>
      <c r="P259" s="97">
        <f t="shared" si="47"/>
        <v>0</v>
      </c>
      <c r="Q259" s="97">
        <f t="shared" si="48"/>
        <v>0</v>
      </c>
    </row>
    <row r="260" spans="1:17" ht="0.75" customHeight="1" x14ac:dyDescent="0.2">
      <c r="A260" s="33"/>
      <c r="B260" s="113"/>
      <c r="C260" s="118"/>
      <c r="D260" s="136"/>
      <c r="E260" s="136"/>
      <c r="F260" s="134"/>
      <c r="G260" s="111"/>
      <c r="H260" s="111"/>
      <c r="I260" s="111"/>
      <c r="J260" s="112"/>
      <c r="K260" s="111"/>
      <c r="L260" s="112"/>
      <c r="M260" s="111"/>
      <c r="N260" s="111"/>
      <c r="O260" s="111"/>
      <c r="P260" s="97">
        <f t="shared" si="47"/>
        <v>0</v>
      </c>
      <c r="Q260" s="97">
        <f t="shared" si="48"/>
        <v>0</v>
      </c>
    </row>
    <row r="261" spans="1:17" ht="31.5" x14ac:dyDescent="0.2">
      <c r="A261" s="33"/>
      <c r="B261" s="113" t="s">
        <v>307</v>
      </c>
      <c r="C261" s="113">
        <v>992</v>
      </c>
      <c r="D261" s="133" t="s">
        <v>306</v>
      </c>
      <c r="E261" s="136" t="s">
        <v>308</v>
      </c>
      <c r="F261" s="134"/>
      <c r="G261" s="111">
        <f>SUM(G262)</f>
        <v>451.3</v>
      </c>
      <c r="H261" s="111">
        <f>SUM(H262)</f>
        <v>0</v>
      </c>
      <c r="I261" s="111">
        <f>SUM(G261:H261)</f>
        <v>451.3</v>
      </c>
      <c r="J261" s="112"/>
      <c r="K261" s="111"/>
      <c r="L261" s="112"/>
      <c r="M261" s="111">
        <f t="shared" ref="M261:O264" si="58">SUM(G261)</f>
        <v>451.3</v>
      </c>
      <c r="N261" s="111">
        <f t="shared" si="58"/>
        <v>0</v>
      </c>
      <c r="O261" s="111">
        <f t="shared" si="58"/>
        <v>451.3</v>
      </c>
      <c r="P261" s="97">
        <f t="shared" si="47"/>
        <v>451.3</v>
      </c>
      <c r="Q261" s="97">
        <f t="shared" si="48"/>
        <v>0</v>
      </c>
    </row>
    <row r="262" spans="1:17" ht="31.5" x14ac:dyDescent="0.2">
      <c r="A262" s="33"/>
      <c r="B262" s="135" t="s">
        <v>309</v>
      </c>
      <c r="C262" s="113">
        <v>992</v>
      </c>
      <c r="D262" s="133" t="s">
        <v>306</v>
      </c>
      <c r="E262" s="136" t="s">
        <v>310</v>
      </c>
      <c r="F262" s="134"/>
      <c r="G262" s="111">
        <f>SUM(G264)+G263</f>
        <v>451.3</v>
      </c>
      <c r="H262" s="111">
        <f>SUM(H264)+H263</f>
        <v>0</v>
      </c>
      <c r="I262" s="111">
        <f>SUM(G262:H262)</f>
        <v>451.3</v>
      </c>
      <c r="J262" s="112"/>
      <c r="K262" s="111"/>
      <c r="L262" s="112"/>
      <c r="M262" s="111">
        <f>SUM(G262)</f>
        <v>451.3</v>
      </c>
      <c r="N262" s="111">
        <f t="shared" si="58"/>
        <v>0</v>
      </c>
      <c r="O262" s="111">
        <f>SUM(I262)</f>
        <v>451.3</v>
      </c>
      <c r="P262" s="97">
        <f t="shared" si="47"/>
        <v>451.3</v>
      </c>
      <c r="Q262" s="97">
        <f t="shared" si="48"/>
        <v>0</v>
      </c>
    </row>
    <row r="263" spans="1:17" ht="31.5" x14ac:dyDescent="0.2">
      <c r="A263" s="33"/>
      <c r="B263" s="113" t="s">
        <v>40</v>
      </c>
      <c r="C263" s="113">
        <v>992</v>
      </c>
      <c r="D263" s="133" t="s">
        <v>306</v>
      </c>
      <c r="E263" s="136" t="s">
        <v>310</v>
      </c>
      <c r="F263" s="134">
        <v>200</v>
      </c>
      <c r="G263" s="111">
        <v>451.3</v>
      </c>
      <c r="H263" s="111"/>
      <c r="I263" s="111">
        <f>SUM(G263)+H263</f>
        <v>451.3</v>
      </c>
      <c r="J263" s="112"/>
      <c r="K263" s="111"/>
      <c r="L263" s="112"/>
      <c r="M263" s="111">
        <f>SUM(G263)</f>
        <v>451.3</v>
      </c>
      <c r="N263" s="111">
        <f>SUM(H263)</f>
        <v>0</v>
      </c>
      <c r="O263" s="111">
        <f t="shared" si="58"/>
        <v>451.3</v>
      </c>
      <c r="P263" s="97">
        <f t="shared" si="47"/>
        <v>451.3</v>
      </c>
      <c r="Q263" s="97">
        <f t="shared" si="48"/>
        <v>0</v>
      </c>
    </row>
    <row r="264" spans="1:17" ht="28.5" customHeight="1" x14ac:dyDescent="0.2">
      <c r="A264" s="33"/>
      <c r="B264" s="113" t="s">
        <v>225</v>
      </c>
      <c r="C264" s="113">
        <v>992</v>
      </c>
      <c r="D264" s="133" t="s">
        <v>306</v>
      </c>
      <c r="E264" s="136" t="s">
        <v>310</v>
      </c>
      <c r="F264" s="134">
        <v>400</v>
      </c>
      <c r="G264" s="111">
        <v>0</v>
      </c>
      <c r="H264" s="111"/>
      <c r="I264" s="111">
        <f>SUM(G264)+H264</f>
        <v>0</v>
      </c>
      <c r="J264" s="112"/>
      <c r="K264" s="111"/>
      <c r="L264" s="112"/>
      <c r="M264" s="111">
        <f>SUM(G264)</f>
        <v>0</v>
      </c>
      <c r="N264" s="111">
        <f t="shared" si="58"/>
        <v>0</v>
      </c>
      <c r="O264" s="111">
        <f t="shared" si="58"/>
        <v>0</v>
      </c>
      <c r="P264" s="97">
        <f t="shared" si="47"/>
        <v>0</v>
      </c>
      <c r="Q264" s="97">
        <f t="shared" si="48"/>
        <v>0</v>
      </c>
    </row>
    <row r="265" spans="1:17" ht="15.75" hidden="1" x14ac:dyDescent="0.2">
      <c r="A265" s="33"/>
      <c r="B265" s="110"/>
      <c r="C265" s="110"/>
      <c r="D265" s="131"/>
      <c r="E265" s="131"/>
      <c r="F265" s="132"/>
      <c r="G265" s="111"/>
      <c r="H265" s="111"/>
      <c r="I265" s="111"/>
      <c r="J265" s="112"/>
      <c r="K265" s="111"/>
      <c r="L265" s="112"/>
      <c r="M265" s="109"/>
      <c r="N265" s="109"/>
      <c r="O265" s="109"/>
      <c r="P265" s="97">
        <f t="shared" si="47"/>
        <v>0</v>
      </c>
      <c r="Q265" s="97">
        <f t="shared" si="48"/>
        <v>0</v>
      </c>
    </row>
    <row r="266" spans="1:17" ht="15.75" hidden="1" x14ac:dyDescent="0.2">
      <c r="A266" s="33"/>
      <c r="B266" s="110"/>
      <c r="C266" s="152">
        <v>992</v>
      </c>
      <c r="D266" s="133" t="s">
        <v>306</v>
      </c>
      <c r="E266" s="131"/>
      <c r="F266" s="132"/>
      <c r="G266" s="111"/>
      <c r="H266" s="111"/>
      <c r="I266" s="111">
        <f>SUM(H266)</f>
        <v>0</v>
      </c>
      <c r="J266" s="112"/>
      <c r="K266" s="111"/>
      <c r="L266" s="112"/>
      <c r="M266" s="109"/>
      <c r="N266" s="109"/>
      <c r="O266" s="109">
        <f>SUM(I266)</f>
        <v>0</v>
      </c>
      <c r="P266" s="97">
        <f t="shared" si="47"/>
        <v>0</v>
      </c>
      <c r="Q266" s="97">
        <f t="shared" si="48"/>
        <v>0</v>
      </c>
    </row>
    <row r="267" spans="1:17" ht="15.75" hidden="1" x14ac:dyDescent="0.2">
      <c r="A267" s="33"/>
      <c r="B267" s="110"/>
      <c r="C267" s="110"/>
      <c r="D267" s="131"/>
      <c r="E267" s="131"/>
      <c r="F267" s="132"/>
      <c r="G267" s="111"/>
      <c r="H267" s="111"/>
      <c r="I267" s="111">
        <f>SUM(H267)</f>
        <v>0</v>
      </c>
      <c r="J267" s="112"/>
      <c r="K267" s="111"/>
      <c r="L267" s="112"/>
      <c r="M267" s="109"/>
      <c r="N267" s="109"/>
      <c r="O267" s="109">
        <f>SUM(I267)</f>
        <v>0</v>
      </c>
      <c r="P267" s="97">
        <f t="shared" si="47"/>
        <v>0</v>
      </c>
      <c r="Q267" s="97">
        <f t="shared" si="48"/>
        <v>0</v>
      </c>
    </row>
    <row r="268" spans="1:17" ht="15.75" hidden="1" x14ac:dyDescent="0.2">
      <c r="A268" s="33"/>
      <c r="B268" s="110"/>
      <c r="C268" s="110"/>
      <c r="D268" s="131"/>
      <c r="E268" s="131"/>
      <c r="F268" s="132"/>
      <c r="G268" s="111"/>
      <c r="H268" s="111"/>
      <c r="I268" s="111">
        <f>SUM(H268)</f>
        <v>0</v>
      </c>
      <c r="J268" s="112"/>
      <c r="K268" s="111"/>
      <c r="L268" s="112"/>
      <c r="M268" s="109"/>
      <c r="N268" s="109">
        <f>SUM(H268)</f>
        <v>0</v>
      </c>
      <c r="O268" s="109">
        <f>SUM(I268)</f>
        <v>0</v>
      </c>
      <c r="P268" s="97">
        <f t="shared" si="47"/>
        <v>0</v>
      </c>
      <c r="Q268" s="97">
        <f t="shared" si="48"/>
        <v>0</v>
      </c>
    </row>
    <row r="269" spans="1:17" ht="31.5" hidden="1" x14ac:dyDescent="0.2">
      <c r="A269" s="33"/>
      <c r="B269" s="113" t="s">
        <v>225</v>
      </c>
      <c r="C269" s="110"/>
      <c r="D269" s="131"/>
      <c r="E269" s="131"/>
      <c r="F269" s="132">
        <v>400</v>
      </c>
      <c r="G269" s="111"/>
      <c r="H269" s="111"/>
      <c r="I269" s="111">
        <f>SUM(H269)</f>
        <v>0</v>
      </c>
      <c r="J269" s="112"/>
      <c r="K269" s="111"/>
      <c r="L269" s="112"/>
      <c r="M269" s="109"/>
      <c r="N269" s="109">
        <f>SUM(H269)</f>
        <v>0</v>
      </c>
      <c r="O269" s="109">
        <f>SUM(I269)</f>
        <v>0</v>
      </c>
      <c r="P269" s="97">
        <f t="shared" si="47"/>
        <v>0</v>
      </c>
      <c r="Q269" s="97">
        <f t="shared" si="48"/>
        <v>0</v>
      </c>
    </row>
    <row r="270" spans="1:17" ht="31.5" x14ac:dyDescent="0.2">
      <c r="A270" s="40"/>
      <c r="B270" s="113" t="s">
        <v>245</v>
      </c>
      <c r="C270" s="113" t="s">
        <v>51</v>
      </c>
      <c r="D270" s="133" t="s">
        <v>306</v>
      </c>
      <c r="E270" s="133" t="s">
        <v>246</v>
      </c>
      <c r="F270" s="134" t="s">
        <v>11</v>
      </c>
      <c r="G270" s="111">
        <f>G275</f>
        <v>6922.1</v>
      </c>
      <c r="H270" s="111">
        <f>H275+H271</f>
        <v>792.7</v>
      </c>
      <c r="I270" s="111">
        <f>I275+I271</f>
        <v>7714.8</v>
      </c>
      <c r="J270" s="114">
        <f>J275</f>
        <v>0</v>
      </c>
      <c r="K270" s="111">
        <f>K275</f>
        <v>0</v>
      </c>
      <c r="L270" s="114">
        <f>L275</f>
        <v>0</v>
      </c>
      <c r="M270" s="111">
        <f>M275</f>
        <v>6922.1</v>
      </c>
      <c r="N270" s="111">
        <f>N275+N271</f>
        <v>792.7</v>
      </c>
      <c r="O270" s="111">
        <f>O275+O271</f>
        <v>7714.8</v>
      </c>
      <c r="P270" s="97">
        <f t="shared" si="47"/>
        <v>7714.8</v>
      </c>
      <c r="Q270" s="97">
        <f t="shared" si="48"/>
        <v>0</v>
      </c>
    </row>
    <row r="271" spans="1:17" ht="31.5" hidden="1" x14ac:dyDescent="0.2">
      <c r="A271" s="40"/>
      <c r="B271" s="113" t="s">
        <v>595</v>
      </c>
      <c r="C271" s="113">
        <v>992</v>
      </c>
      <c r="D271" s="133" t="s">
        <v>306</v>
      </c>
      <c r="E271" s="136" t="s">
        <v>439</v>
      </c>
      <c r="F271" s="134"/>
      <c r="G271" s="111"/>
      <c r="H271" s="111">
        <f>SUM(H272)</f>
        <v>0</v>
      </c>
      <c r="I271" s="111">
        <f>SUM(H271)</f>
        <v>0</v>
      </c>
      <c r="J271" s="114"/>
      <c r="K271" s="111"/>
      <c r="L271" s="114"/>
      <c r="M271" s="111"/>
      <c r="N271" s="111">
        <f t="shared" ref="N271:O274" si="59">SUM(H271)</f>
        <v>0</v>
      </c>
      <c r="O271" s="111">
        <f t="shared" si="59"/>
        <v>0</v>
      </c>
      <c r="P271" s="97">
        <f t="shared" si="47"/>
        <v>0</v>
      </c>
      <c r="Q271" s="97">
        <f t="shared" si="48"/>
        <v>0</v>
      </c>
    </row>
    <row r="272" spans="1:17" ht="15.75" hidden="1" x14ac:dyDescent="0.2">
      <c r="A272" s="40"/>
      <c r="B272" s="113" t="s">
        <v>596</v>
      </c>
      <c r="C272" s="113">
        <v>992</v>
      </c>
      <c r="D272" s="133" t="s">
        <v>306</v>
      </c>
      <c r="E272" s="136" t="s">
        <v>593</v>
      </c>
      <c r="F272" s="134"/>
      <c r="G272" s="111"/>
      <c r="H272" s="111">
        <f>SUM(H273)</f>
        <v>0</v>
      </c>
      <c r="I272" s="111">
        <f>SUM(H272)</f>
        <v>0</v>
      </c>
      <c r="J272" s="114"/>
      <c r="K272" s="111"/>
      <c r="L272" s="114"/>
      <c r="M272" s="111"/>
      <c r="N272" s="111">
        <f t="shared" si="59"/>
        <v>0</v>
      </c>
      <c r="O272" s="111">
        <f t="shared" si="59"/>
        <v>0</v>
      </c>
      <c r="P272" s="97">
        <f t="shared" si="47"/>
        <v>0</v>
      </c>
      <c r="Q272" s="97">
        <f t="shared" si="48"/>
        <v>0</v>
      </c>
    </row>
    <row r="273" spans="1:17" ht="47.25" hidden="1" x14ac:dyDescent="0.2">
      <c r="A273" s="40"/>
      <c r="B273" s="113" t="s">
        <v>597</v>
      </c>
      <c r="C273" s="113">
        <v>992</v>
      </c>
      <c r="D273" s="133" t="s">
        <v>306</v>
      </c>
      <c r="E273" s="136" t="s">
        <v>594</v>
      </c>
      <c r="F273" s="134"/>
      <c r="G273" s="111"/>
      <c r="H273" s="111">
        <f>SUM(H274)</f>
        <v>0</v>
      </c>
      <c r="I273" s="111">
        <f>SUM(H273)</f>
        <v>0</v>
      </c>
      <c r="J273" s="114"/>
      <c r="K273" s="111"/>
      <c r="L273" s="114"/>
      <c r="M273" s="111"/>
      <c r="N273" s="111">
        <f t="shared" si="59"/>
        <v>0</v>
      </c>
      <c r="O273" s="111">
        <f t="shared" si="59"/>
        <v>0</v>
      </c>
      <c r="P273" s="97">
        <f t="shared" si="47"/>
        <v>0</v>
      </c>
      <c r="Q273" s="97">
        <f t="shared" si="48"/>
        <v>0</v>
      </c>
    </row>
    <row r="274" spans="1:17" ht="31.5" hidden="1" x14ac:dyDescent="0.2">
      <c r="A274" s="40"/>
      <c r="B274" s="113" t="s">
        <v>225</v>
      </c>
      <c r="C274" s="113">
        <v>992</v>
      </c>
      <c r="D274" s="133" t="s">
        <v>306</v>
      </c>
      <c r="E274" s="136" t="s">
        <v>594</v>
      </c>
      <c r="F274" s="134">
        <v>400</v>
      </c>
      <c r="G274" s="111"/>
      <c r="H274" s="111"/>
      <c r="I274" s="111">
        <f>SUM(H274)</f>
        <v>0</v>
      </c>
      <c r="J274" s="114"/>
      <c r="K274" s="111"/>
      <c r="L274" s="114"/>
      <c r="M274" s="111"/>
      <c r="N274" s="111">
        <f t="shared" si="59"/>
        <v>0</v>
      </c>
      <c r="O274" s="111">
        <f t="shared" si="59"/>
        <v>0</v>
      </c>
      <c r="P274" s="97">
        <f t="shared" si="47"/>
        <v>0</v>
      </c>
      <c r="Q274" s="97">
        <f t="shared" si="48"/>
        <v>0</v>
      </c>
    </row>
    <row r="275" spans="1:17" ht="31.5" x14ac:dyDescent="0.2">
      <c r="A275" s="40"/>
      <c r="B275" s="113" t="s">
        <v>311</v>
      </c>
      <c r="C275" s="113" t="s">
        <v>51</v>
      </c>
      <c r="D275" s="133" t="s">
        <v>306</v>
      </c>
      <c r="E275" s="133" t="s">
        <v>312</v>
      </c>
      <c r="F275" s="134" t="s">
        <v>11</v>
      </c>
      <c r="G275" s="111">
        <f>G276</f>
        <v>6922.1</v>
      </c>
      <c r="H275" s="111">
        <f>H276</f>
        <v>792.7</v>
      </c>
      <c r="I275" s="111">
        <f>I276</f>
        <v>7714.8</v>
      </c>
      <c r="J275" s="114">
        <f t="shared" ref="J275:O275" si="60">J276</f>
        <v>0</v>
      </c>
      <c r="K275" s="111">
        <f>K276+K278</f>
        <v>0</v>
      </c>
      <c r="L275" s="114">
        <f t="shared" si="60"/>
        <v>0</v>
      </c>
      <c r="M275" s="111">
        <f t="shared" si="60"/>
        <v>6922.1</v>
      </c>
      <c r="N275" s="111">
        <f t="shared" si="60"/>
        <v>792.7</v>
      </c>
      <c r="O275" s="111">
        <f t="shared" si="60"/>
        <v>7714.8</v>
      </c>
      <c r="P275" s="97">
        <f t="shared" si="47"/>
        <v>7714.8</v>
      </c>
      <c r="Q275" s="97">
        <f t="shared" si="48"/>
        <v>0</v>
      </c>
    </row>
    <row r="276" spans="1:17" ht="31.5" x14ac:dyDescent="0.2">
      <c r="A276" s="40"/>
      <c r="B276" s="113" t="s">
        <v>313</v>
      </c>
      <c r="C276" s="113" t="s">
        <v>51</v>
      </c>
      <c r="D276" s="133" t="s">
        <v>306</v>
      </c>
      <c r="E276" s="133" t="s">
        <v>314</v>
      </c>
      <c r="F276" s="134" t="s">
        <v>11</v>
      </c>
      <c r="G276" s="111">
        <f>G277+G279</f>
        <v>6922.1</v>
      </c>
      <c r="H276" s="111">
        <f>H277+H279</f>
        <v>792.7</v>
      </c>
      <c r="I276" s="111">
        <f>I277+I279</f>
        <v>7714.8</v>
      </c>
      <c r="J276" s="114">
        <f>J277+J279</f>
        <v>0</v>
      </c>
      <c r="K276" s="111">
        <f>K277</f>
        <v>0</v>
      </c>
      <c r="L276" s="114">
        <f>L277+L279</f>
        <v>0</v>
      </c>
      <c r="M276" s="111">
        <f>M277+M279</f>
        <v>6922.1</v>
      </c>
      <c r="N276" s="111">
        <f>N277+N279</f>
        <v>792.7</v>
      </c>
      <c r="O276" s="111">
        <f>O277+O279</f>
        <v>7714.8</v>
      </c>
      <c r="P276" s="97">
        <f t="shared" si="47"/>
        <v>7714.8</v>
      </c>
      <c r="Q276" s="97">
        <f t="shared" si="48"/>
        <v>0</v>
      </c>
    </row>
    <row r="277" spans="1:17" ht="47.25" x14ac:dyDescent="0.2">
      <c r="A277" s="40"/>
      <c r="B277" s="113" t="s">
        <v>315</v>
      </c>
      <c r="C277" s="113" t="s">
        <v>51</v>
      </c>
      <c r="D277" s="133" t="s">
        <v>306</v>
      </c>
      <c r="E277" s="133" t="s">
        <v>316</v>
      </c>
      <c r="F277" s="134" t="s">
        <v>11</v>
      </c>
      <c r="G277" s="111">
        <f>G278</f>
        <v>2400</v>
      </c>
      <c r="H277" s="111">
        <f>H278</f>
        <v>711.7</v>
      </c>
      <c r="I277" s="111">
        <f>I278</f>
        <v>3111.7</v>
      </c>
      <c r="J277" s="114">
        <f>J278</f>
        <v>0</v>
      </c>
      <c r="K277" s="111"/>
      <c r="L277" s="114">
        <f>L278</f>
        <v>0</v>
      </c>
      <c r="M277" s="111">
        <f>M278</f>
        <v>2400</v>
      </c>
      <c r="N277" s="111">
        <f>N278</f>
        <v>711.7</v>
      </c>
      <c r="O277" s="111">
        <f>O278</f>
        <v>3111.7</v>
      </c>
      <c r="P277" s="97">
        <f t="shared" si="47"/>
        <v>3111.7</v>
      </c>
      <c r="Q277" s="97">
        <f t="shared" si="48"/>
        <v>0</v>
      </c>
    </row>
    <row r="278" spans="1:17" ht="31.5" x14ac:dyDescent="0.2">
      <c r="A278" s="40"/>
      <c r="B278" s="113" t="s">
        <v>40</v>
      </c>
      <c r="C278" s="113" t="s">
        <v>51</v>
      </c>
      <c r="D278" s="133" t="s">
        <v>306</v>
      </c>
      <c r="E278" s="133" t="s">
        <v>316</v>
      </c>
      <c r="F278" s="134" t="s">
        <v>41</v>
      </c>
      <c r="G278" s="111">
        <v>2400</v>
      </c>
      <c r="H278" s="111">
        <v>711.7</v>
      </c>
      <c r="I278" s="111">
        <f>G278+H278</f>
        <v>3111.7</v>
      </c>
      <c r="J278" s="115"/>
      <c r="K278" s="111"/>
      <c r="L278" s="115"/>
      <c r="M278" s="111">
        <v>2400</v>
      </c>
      <c r="N278" s="111">
        <f>H278+K278</f>
        <v>711.7</v>
      </c>
      <c r="O278" s="111">
        <f>I278+L278</f>
        <v>3111.7</v>
      </c>
      <c r="P278" s="97">
        <f t="shared" ref="P278:P341" si="61">G278+H278</f>
        <v>3111.7</v>
      </c>
      <c r="Q278" s="97">
        <f t="shared" ref="Q278:Q341" si="62">I278-P278</f>
        <v>0</v>
      </c>
    </row>
    <row r="279" spans="1:17" ht="47.25" x14ac:dyDescent="0.2">
      <c r="A279" s="40"/>
      <c r="B279" s="113" t="s">
        <v>317</v>
      </c>
      <c r="C279" s="113" t="s">
        <v>51</v>
      </c>
      <c r="D279" s="133" t="s">
        <v>306</v>
      </c>
      <c r="E279" s="133" t="s">
        <v>318</v>
      </c>
      <c r="F279" s="134" t="s">
        <v>11</v>
      </c>
      <c r="G279" s="111">
        <f>G280</f>
        <v>4522.1000000000004</v>
      </c>
      <c r="H279" s="111">
        <f>H280</f>
        <v>81</v>
      </c>
      <c r="I279" s="111">
        <f>I280</f>
        <v>4603.1000000000004</v>
      </c>
      <c r="J279" s="114">
        <f>J280</f>
        <v>0</v>
      </c>
      <c r="K279" s="111"/>
      <c r="L279" s="114">
        <f>L280</f>
        <v>0</v>
      </c>
      <c r="M279" s="111">
        <f>M280</f>
        <v>4522.1000000000004</v>
      </c>
      <c r="N279" s="111">
        <f>N280</f>
        <v>81</v>
      </c>
      <c r="O279" s="111">
        <f>O280</f>
        <v>4603.1000000000004</v>
      </c>
      <c r="P279" s="97">
        <f t="shared" si="61"/>
        <v>4603.1000000000004</v>
      </c>
      <c r="Q279" s="97">
        <f t="shared" si="62"/>
        <v>0</v>
      </c>
    </row>
    <row r="280" spans="1:17" ht="31.5" x14ac:dyDescent="0.2">
      <c r="A280" s="40"/>
      <c r="B280" s="113" t="s">
        <v>40</v>
      </c>
      <c r="C280" s="113" t="s">
        <v>51</v>
      </c>
      <c r="D280" s="133" t="s">
        <v>306</v>
      </c>
      <c r="E280" s="133" t="s">
        <v>318</v>
      </c>
      <c r="F280" s="134" t="s">
        <v>41</v>
      </c>
      <c r="G280" s="111">
        <v>4522.1000000000004</v>
      </c>
      <c r="H280" s="117">
        <v>81</v>
      </c>
      <c r="I280" s="111">
        <f>SUM(G280)+H280</f>
        <v>4603.1000000000004</v>
      </c>
      <c r="J280" s="115"/>
      <c r="K280" s="109"/>
      <c r="L280" s="115"/>
      <c r="M280" s="111">
        <f>SUM(G280)</f>
        <v>4522.1000000000004</v>
      </c>
      <c r="N280" s="111">
        <f>SUM(H280)</f>
        <v>81</v>
      </c>
      <c r="O280" s="111">
        <f>SUM(M280)+N280</f>
        <v>4603.1000000000004</v>
      </c>
      <c r="P280" s="97">
        <f t="shared" si="61"/>
        <v>4603.1000000000004</v>
      </c>
      <c r="Q280" s="97">
        <f t="shared" si="62"/>
        <v>0</v>
      </c>
    </row>
    <row r="281" spans="1:17" ht="15.75" x14ac:dyDescent="0.2">
      <c r="A281" s="33" t="s">
        <v>319</v>
      </c>
      <c r="B281" s="110" t="s">
        <v>320</v>
      </c>
      <c r="C281" s="110" t="s">
        <v>51</v>
      </c>
      <c r="D281" s="131" t="s">
        <v>321</v>
      </c>
      <c r="E281" s="131" t="s">
        <v>11</v>
      </c>
      <c r="F281" s="132" t="s">
        <v>11</v>
      </c>
      <c r="G281" s="109">
        <f t="shared" ref="G281:O281" si="63">G282+G299</f>
        <v>64902.100000000006</v>
      </c>
      <c r="H281" s="111">
        <f t="shared" si="63"/>
        <v>-2178.4000000000005</v>
      </c>
      <c r="I281" s="109">
        <f t="shared" si="63"/>
        <v>62723.700000000004</v>
      </c>
      <c r="J281" s="112">
        <f t="shared" si="63"/>
        <v>2427470.1</v>
      </c>
      <c r="K281" s="111">
        <f t="shared" si="63"/>
        <v>-744760.79999999993</v>
      </c>
      <c r="L281" s="112">
        <f t="shared" si="63"/>
        <v>1682709.3</v>
      </c>
      <c r="M281" s="109">
        <f t="shared" si="63"/>
        <v>2492372.1999999997</v>
      </c>
      <c r="N281" s="111">
        <f t="shared" si="63"/>
        <v>-746939.2</v>
      </c>
      <c r="O281" s="109">
        <f t="shared" si="63"/>
        <v>1745433.0000000002</v>
      </c>
      <c r="P281" s="97">
        <f t="shared" si="61"/>
        <v>62723.700000000004</v>
      </c>
      <c r="Q281" s="97">
        <f t="shared" si="62"/>
        <v>0</v>
      </c>
    </row>
    <row r="282" spans="1:17" ht="31.5" x14ac:dyDescent="0.2">
      <c r="A282" s="40"/>
      <c r="B282" s="113" t="s">
        <v>245</v>
      </c>
      <c r="C282" s="113" t="s">
        <v>51</v>
      </c>
      <c r="D282" s="133" t="s">
        <v>321</v>
      </c>
      <c r="E282" s="133" t="s">
        <v>246</v>
      </c>
      <c r="F282" s="134" t="s">
        <v>11</v>
      </c>
      <c r="G282" s="111">
        <f>G283+G296</f>
        <v>19537.8</v>
      </c>
      <c r="H282" s="111">
        <f>H283+H296</f>
        <v>-482.90000000000055</v>
      </c>
      <c r="I282" s="111">
        <f>I283+I296</f>
        <v>19054.900000000001</v>
      </c>
      <c r="J282" s="114">
        <f t="shared" ref="G282:O283" si="64">J283</f>
        <v>2303079.5</v>
      </c>
      <c r="K282" s="111">
        <f t="shared" si="64"/>
        <v>-726371.7</v>
      </c>
      <c r="L282" s="114">
        <f t="shared" si="64"/>
        <v>1576707.8</v>
      </c>
      <c r="M282" s="111">
        <f>M283+M296</f>
        <v>2322617.2999999998</v>
      </c>
      <c r="N282" s="111">
        <f>SUM(N296)+N283</f>
        <v>-726854.6</v>
      </c>
      <c r="O282" s="111">
        <f>O283+O296</f>
        <v>1595762.7000000002</v>
      </c>
      <c r="P282" s="97">
        <f t="shared" si="61"/>
        <v>19054.899999999998</v>
      </c>
      <c r="Q282" s="97">
        <f t="shared" si="62"/>
        <v>0</v>
      </c>
    </row>
    <row r="283" spans="1:17" ht="31.5" x14ac:dyDescent="0.2">
      <c r="A283" s="40"/>
      <c r="B283" s="113" t="s">
        <v>322</v>
      </c>
      <c r="C283" s="113" t="s">
        <v>51</v>
      </c>
      <c r="D283" s="133" t="s">
        <v>321</v>
      </c>
      <c r="E283" s="133" t="s">
        <v>323</v>
      </c>
      <c r="F283" s="134" t="s">
        <v>11</v>
      </c>
      <c r="G283" s="111">
        <f t="shared" si="64"/>
        <v>12621</v>
      </c>
      <c r="H283" s="111">
        <f>SUM(H284)</f>
        <v>-3497.8</v>
      </c>
      <c r="I283" s="111">
        <f t="shared" si="64"/>
        <v>9123.2000000000007</v>
      </c>
      <c r="J283" s="114">
        <f t="shared" si="64"/>
        <v>2303079.5</v>
      </c>
      <c r="K283" s="111">
        <f>SUM(K284)</f>
        <v>-726371.7</v>
      </c>
      <c r="L283" s="114">
        <f t="shared" si="64"/>
        <v>1576707.8</v>
      </c>
      <c r="M283" s="111">
        <f t="shared" si="64"/>
        <v>2315700.5</v>
      </c>
      <c r="N283" s="111">
        <f t="shared" si="64"/>
        <v>-729869.5</v>
      </c>
      <c r="O283" s="111">
        <f t="shared" si="64"/>
        <v>1585831.0000000002</v>
      </c>
      <c r="P283" s="97">
        <f t="shared" si="61"/>
        <v>9123.2000000000007</v>
      </c>
      <c r="Q283" s="97">
        <f t="shared" si="62"/>
        <v>0</v>
      </c>
    </row>
    <row r="284" spans="1:17" ht="47.25" x14ac:dyDescent="0.2">
      <c r="A284" s="40"/>
      <c r="B284" s="113" t="s">
        <v>324</v>
      </c>
      <c r="C284" s="113" t="s">
        <v>51</v>
      </c>
      <c r="D284" s="133" t="s">
        <v>321</v>
      </c>
      <c r="E284" s="133" t="s">
        <v>325</v>
      </c>
      <c r="F284" s="134" t="s">
        <v>11</v>
      </c>
      <c r="G284" s="111">
        <f>G285+G288+G290+G292</f>
        <v>12621</v>
      </c>
      <c r="H284" s="111">
        <f>H285+H290+H292+H288</f>
        <v>-3497.8</v>
      </c>
      <c r="I284" s="111">
        <f>I285+I288+I290+I292</f>
        <v>9123.2000000000007</v>
      </c>
      <c r="J284" s="114">
        <f>J285+J288+J290+J292</f>
        <v>2303079.5</v>
      </c>
      <c r="K284" s="111">
        <f>K285+K288+K292</f>
        <v>-726371.7</v>
      </c>
      <c r="L284" s="114">
        <f>L285+L288+L290+L292</f>
        <v>1576707.8</v>
      </c>
      <c r="M284" s="111">
        <f>M285+M288+M290+M292</f>
        <v>2315700.5</v>
      </c>
      <c r="N284" s="111">
        <f>N285+N288+N290+N292</f>
        <v>-729869.5</v>
      </c>
      <c r="O284" s="111">
        <f>O285+O288+O290+O292</f>
        <v>1585831.0000000002</v>
      </c>
      <c r="P284" s="97">
        <f t="shared" si="61"/>
        <v>9123.2000000000007</v>
      </c>
      <c r="Q284" s="97">
        <f t="shared" si="62"/>
        <v>0</v>
      </c>
    </row>
    <row r="285" spans="1:17" ht="15.75" x14ac:dyDescent="0.2">
      <c r="A285" s="40"/>
      <c r="B285" s="113" t="s">
        <v>326</v>
      </c>
      <c r="C285" s="113" t="s">
        <v>51</v>
      </c>
      <c r="D285" s="133" t="s">
        <v>321</v>
      </c>
      <c r="E285" s="133" t="s">
        <v>327</v>
      </c>
      <c r="F285" s="134" t="s">
        <v>11</v>
      </c>
      <c r="G285" s="111">
        <f>G286+G287</f>
        <v>30.8</v>
      </c>
      <c r="H285" s="111">
        <f>SUM(H286)+H287</f>
        <v>152.19999999999999</v>
      </c>
      <c r="I285" s="111">
        <f>I286+I287</f>
        <v>183</v>
      </c>
      <c r="J285" s="114">
        <f>J286</f>
        <v>1529.5</v>
      </c>
      <c r="K285" s="111">
        <f>SUM(K286)</f>
        <v>0</v>
      </c>
      <c r="L285" s="114">
        <f>L286</f>
        <v>1529.5</v>
      </c>
      <c r="M285" s="111">
        <f>M286+M287</f>
        <v>1560.3</v>
      </c>
      <c r="N285" s="111">
        <f>N286+N287</f>
        <v>152.19999999999999</v>
      </c>
      <c r="O285" s="111">
        <f>O286+O287</f>
        <v>1712.5</v>
      </c>
      <c r="P285" s="97">
        <f t="shared" si="61"/>
        <v>183</v>
      </c>
      <c r="Q285" s="97">
        <f t="shared" si="62"/>
        <v>0</v>
      </c>
    </row>
    <row r="286" spans="1:17" ht="31.5" x14ac:dyDescent="0.2">
      <c r="A286" s="40"/>
      <c r="B286" s="113" t="s">
        <v>40</v>
      </c>
      <c r="C286" s="113" t="s">
        <v>51</v>
      </c>
      <c r="D286" s="133" t="s">
        <v>321</v>
      </c>
      <c r="E286" s="133" t="s">
        <v>327</v>
      </c>
      <c r="F286" s="134" t="s">
        <v>41</v>
      </c>
      <c r="G286" s="111">
        <v>0</v>
      </c>
      <c r="H286" s="111">
        <v>152.19999999999999</v>
      </c>
      <c r="I286" s="111">
        <f>G286+H286</f>
        <v>152.19999999999999</v>
      </c>
      <c r="J286" s="115">
        <v>1529.5</v>
      </c>
      <c r="K286" s="111"/>
      <c r="L286" s="111">
        <f>SUM(J286)</f>
        <v>1529.5</v>
      </c>
      <c r="M286" s="111">
        <f>SUM(J286)</f>
        <v>1529.5</v>
      </c>
      <c r="N286" s="111">
        <f>SUM(H286+K286)</f>
        <v>152.19999999999999</v>
      </c>
      <c r="O286" s="111">
        <f>I286+L286</f>
        <v>1681.7</v>
      </c>
      <c r="P286" s="97">
        <f t="shared" si="61"/>
        <v>152.19999999999999</v>
      </c>
      <c r="Q286" s="97">
        <f t="shared" si="62"/>
        <v>0</v>
      </c>
    </row>
    <row r="287" spans="1:17" ht="31.5" x14ac:dyDescent="0.2">
      <c r="A287" s="40"/>
      <c r="B287" s="113" t="s">
        <v>225</v>
      </c>
      <c r="C287" s="113">
        <v>992</v>
      </c>
      <c r="D287" s="133" t="s">
        <v>321</v>
      </c>
      <c r="E287" s="133" t="s">
        <v>327</v>
      </c>
      <c r="F287" s="134">
        <v>400</v>
      </c>
      <c r="G287" s="111">
        <v>30.8</v>
      </c>
      <c r="H287" s="111"/>
      <c r="I287" s="111">
        <f>SUM(G287)+H287</f>
        <v>30.8</v>
      </c>
      <c r="J287" s="115"/>
      <c r="K287" s="111"/>
      <c r="L287" s="119"/>
      <c r="M287" s="111">
        <f>SUM(G287)</f>
        <v>30.8</v>
      </c>
      <c r="N287" s="111">
        <f>SUM(H287)</f>
        <v>0</v>
      </c>
      <c r="O287" s="111">
        <f>SUM(M287)+N287</f>
        <v>30.8</v>
      </c>
      <c r="P287" s="97">
        <f t="shared" si="61"/>
        <v>30.8</v>
      </c>
      <c r="Q287" s="97">
        <f t="shared" si="62"/>
        <v>0</v>
      </c>
    </row>
    <row r="288" spans="1:17" ht="31.5" x14ac:dyDescent="0.2">
      <c r="A288" s="40"/>
      <c r="B288" s="113" t="s">
        <v>328</v>
      </c>
      <c r="C288" s="113" t="s">
        <v>51</v>
      </c>
      <c r="D288" s="133" t="s">
        <v>321</v>
      </c>
      <c r="E288" s="133" t="s">
        <v>329</v>
      </c>
      <c r="F288" s="134" t="s">
        <v>11</v>
      </c>
      <c r="G288" s="111">
        <f t="shared" ref="G288:O288" si="65">G289</f>
        <v>11457.5</v>
      </c>
      <c r="H288" s="111">
        <f t="shared" si="65"/>
        <v>-3650</v>
      </c>
      <c r="I288" s="111">
        <f t="shared" si="65"/>
        <v>7807.5</v>
      </c>
      <c r="J288" s="114">
        <f t="shared" si="65"/>
        <v>2280029.1</v>
      </c>
      <c r="K288" s="111">
        <f t="shared" si="65"/>
        <v>-726371.7</v>
      </c>
      <c r="L288" s="114">
        <f t="shared" si="65"/>
        <v>1553657.4000000001</v>
      </c>
      <c r="M288" s="111">
        <f t="shared" si="65"/>
        <v>2291486.6</v>
      </c>
      <c r="N288" s="111">
        <f t="shared" si="65"/>
        <v>-730021.7</v>
      </c>
      <c r="O288" s="111">
        <f t="shared" si="65"/>
        <v>1561464.9000000001</v>
      </c>
      <c r="P288" s="97">
        <f t="shared" si="61"/>
        <v>7807.5</v>
      </c>
      <c r="Q288" s="97">
        <f t="shared" si="62"/>
        <v>0</v>
      </c>
    </row>
    <row r="289" spans="1:17" ht="31.5" x14ac:dyDescent="0.2">
      <c r="A289" s="40"/>
      <c r="B289" s="113" t="s">
        <v>225</v>
      </c>
      <c r="C289" s="113" t="s">
        <v>51</v>
      </c>
      <c r="D289" s="133" t="s">
        <v>321</v>
      </c>
      <c r="E289" s="133" t="s">
        <v>329</v>
      </c>
      <c r="F289" s="134" t="s">
        <v>226</v>
      </c>
      <c r="G289" s="111">
        <v>11457.5</v>
      </c>
      <c r="H289" s="111">
        <f>-3650</f>
        <v>-3650</v>
      </c>
      <c r="I289" s="111">
        <f>11457.5+H289</f>
        <v>7807.5</v>
      </c>
      <c r="J289" s="115">
        <v>2280029.1</v>
      </c>
      <c r="K289" s="111">
        <f>-726371.7</f>
        <v>-726371.7</v>
      </c>
      <c r="L289" s="115">
        <f>2280029.1+K289</f>
        <v>1553657.4000000001</v>
      </c>
      <c r="M289" s="111">
        <f>11457.5+J289</f>
        <v>2291486.6</v>
      </c>
      <c r="N289" s="111">
        <f>SUM(H289+K289)</f>
        <v>-730021.7</v>
      </c>
      <c r="O289" s="111">
        <f>SUM(I289+L289)</f>
        <v>1561464.9000000001</v>
      </c>
      <c r="P289" s="97">
        <f t="shared" si="61"/>
        <v>7807.5</v>
      </c>
      <c r="Q289" s="97">
        <f t="shared" si="62"/>
        <v>0</v>
      </c>
    </row>
    <row r="290" spans="1:17" ht="15.75" x14ac:dyDescent="0.2">
      <c r="A290" s="40"/>
      <c r="B290" s="113" t="s">
        <v>330</v>
      </c>
      <c r="C290" s="113" t="s">
        <v>51</v>
      </c>
      <c r="D290" s="133" t="s">
        <v>321</v>
      </c>
      <c r="E290" s="133" t="s">
        <v>331</v>
      </c>
      <c r="F290" s="134" t="s">
        <v>11</v>
      </c>
      <c r="G290" s="111">
        <f>G291</f>
        <v>386.1</v>
      </c>
      <c r="H290" s="111">
        <f>SUM(H291)</f>
        <v>0</v>
      </c>
      <c r="I290" s="111">
        <f>I291</f>
        <v>386.1</v>
      </c>
      <c r="J290" s="114">
        <f>J291</f>
        <v>7335.5</v>
      </c>
      <c r="K290" s="111">
        <v>0</v>
      </c>
      <c r="L290" s="114">
        <f>L291</f>
        <v>7335.5</v>
      </c>
      <c r="M290" s="111">
        <f>M291</f>
        <v>7721.6</v>
      </c>
      <c r="N290" s="111">
        <f>N291</f>
        <v>0</v>
      </c>
      <c r="O290" s="111">
        <f>O291</f>
        <v>7721.6</v>
      </c>
      <c r="P290" s="97">
        <f t="shared" si="61"/>
        <v>386.1</v>
      </c>
      <c r="Q290" s="97">
        <f t="shared" si="62"/>
        <v>0</v>
      </c>
    </row>
    <row r="291" spans="1:17" ht="31.5" x14ac:dyDescent="0.2">
      <c r="A291" s="40"/>
      <c r="B291" s="113" t="s">
        <v>225</v>
      </c>
      <c r="C291" s="113" t="s">
        <v>51</v>
      </c>
      <c r="D291" s="133" t="s">
        <v>321</v>
      </c>
      <c r="E291" s="133" t="s">
        <v>331</v>
      </c>
      <c r="F291" s="134" t="s">
        <v>226</v>
      </c>
      <c r="G291" s="111">
        <v>386.1</v>
      </c>
      <c r="H291" s="111"/>
      <c r="I291" s="111">
        <f>SUM(G291)</f>
        <v>386.1</v>
      </c>
      <c r="J291" s="115">
        <f>14200-6864.5</f>
        <v>7335.5</v>
      </c>
      <c r="K291" s="111"/>
      <c r="L291" s="115">
        <f>14200-6864.5</f>
        <v>7335.5</v>
      </c>
      <c r="M291" s="111">
        <f>SUM(J291)+G291</f>
        <v>7721.6</v>
      </c>
      <c r="N291" s="111">
        <f>SUM(H291)</f>
        <v>0</v>
      </c>
      <c r="O291" s="111">
        <f>SUM(L291)+N291+I291</f>
        <v>7721.6</v>
      </c>
      <c r="P291" s="97">
        <f t="shared" si="61"/>
        <v>386.1</v>
      </c>
      <c r="Q291" s="97">
        <f t="shared" si="62"/>
        <v>0</v>
      </c>
    </row>
    <row r="292" spans="1:17" ht="15.75" x14ac:dyDescent="0.2">
      <c r="A292" s="40"/>
      <c r="B292" s="113" t="s">
        <v>332</v>
      </c>
      <c r="C292" s="113" t="s">
        <v>51</v>
      </c>
      <c r="D292" s="133" t="s">
        <v>321</v>
      </c>
      <c r="E292" s="133" t="s">
        <v>333</v>
      </c>
      <c r="F292" s="134" t="s">
        <v>11</v>
      </c>
      <c r="G292" s="111">
        <f>G293</f>
        <v>746.6</v>
      </c>
      <c r="H292" s="111"/>
      <c r="I292" s="111">
        <f>I293</f>
        <v>746.6</v>
      </c>
      <c r="J292" s="114">
        <f>J293</f>
        <v>14185.4</v>
      </c>
      <c r="K292" s="111"/>
      <c r="L292" s="114">
        <f>L293</f>
        <v>14185.4</v>
      </c>
      <c r="M292" s="111">
        <f>M293</f>
        <v>14932</v>
      </c>
      <c r="N292" s="111">
        <f>N293</f>
        <v>0</v>
      </c>
      <c r="O292" s="111">
        <f>O293</f>
        <v>14932</v>
      </c>
      <c r="P292" s="97">
        <f t="shared" si="61"/>
        <v>746.6</v>
      </c>
      <c r="Q292" s="97">
        <f t="shared" si="62"/>
        <v>0</v>
      </c>
    </row>
    <row r="293" spans="1:17" ht="31.5" x14ac:dyDescent="0.2">
      <c r="A293" s="40"/>
      <c r="B293" s="113" t="s">
        <v>225</v>
      </c>
      <c r="C293" s="113" t="s">
        <v>51</v>
      </c>
      <c r="D293" s="133" t="s">
        <v>321</v>
      </c>
      <c r="E293" s="133" t="s">
        <v>333</v>
      </c>
      <c r="F293" s="134" t="s">
        <v>226</v>
      </c>
      <c r="G293" s="111">
        <v>746.6</v>
      </c>
      <c r="H293" s="111"/>
      <c r="I293" s="111">
        <f>SUM(G293)+H293</f>
        <v>746.6</v>
      </c>
      <c r="J293" s="115">
        <v>14185.4</v>
      </c>
      <c r="K293" s="111"/>
      <c r="L293" s="115">
        <f>SUM(J293)</f>
        <v>14185.4</v>
      </c>
      <c r="M293" s="111">
        <f>SUM(G293+J293)</f>
        <v>14932</v>
      </c>
      <c r="N293" s="111">
        <f>SUM(K293)+H293</f>
        <v>0</v>
      </c>
      <c r="O293" s="111">
        <f>SUM(I293+L293)</f>
        <v>14932</v>
      </c>
      <c r="P293" s="97">
        <f t="shared" si="61"/>
        <v>746.6</v>
      </c>
      <c r="Q293" s="97">
        <f t="shared" si="62"/>
        <v>0</v>
      </c>
    </row>
    <row r="294" spans="1:17" ht="31.5" x14ac:dyDescent="0.2">
      <c r="A294" s="40"/>
      <c r="B294" s="118" t="s">
        <v>245</v>
      </c>
      <c r="C294" s="118" t="s">
        <v>51</v>
      </c>
      <c r="D294" s="136" t="s">
        <v>321</v>
      </c>
      <c r="E294" s="136" t="s">
        <v>246</v>
      </c>
      <c r="F294" s="141"/>
      <c r="G294" s="114">
        <f>G295</f>
        <v>6916.8</v>
      </c>
      <c r="H294" s="114">
        <f t="shared" ref="H294:O295" si="66">H295</f>
        <v>3014.8999999999996</v>
      </c>
      <c r="I294" s="114">
        <f t="shared" si="66"/>
        <v>9931.7000000000007</v>
      </c>
      <c r="J294" s="114">
        <f t="shared" si="66"/>
        <v>0</v>
      </c>
      <c r="K294" s="114">
        <f t="shared" si="66"/>
        <v>0</v>
      </c>
      <c r="L294" s="114">
        <f t="shared" si="66"/>
        <v>0</v>
      </c>
      <c r="M294" s="114">
        <f t="shared" si="66"/>
        <v>6916.8</v>
      </c>
      <c r="N294" s="114">
        <f t="shared" si="66"/>
        <v>3014.8999999999996</v>
      </c>
      <c r="O294" s="114">
        <f t="shared" si="66"/>
        <v>9931.7000000000007</v>
      </c>
      <c r="P294" s="97">
        <f t="shared" si="61"/>
        <v>9931.7000000000007</v>
      </c>
      <c r="Q294" s="97">
        <f t="shared" si="62"/>
        <v>0</v>
      </c>
    </row>
    <row r="295" spans="1:17" ht="15.75" x14ac:dyDescent="0.2">
      <c r="A295" s="40"/>
      <c r="B295" s="118" t="s">
        <v>247</v>
      </c>
      <c r="C295" s="118" t="s">
        <v>51</v>
      </c>
      <c r="D295" s="136" t="s">
        <v>321</v>
      </c>
      <c r="E295" s="136" t="s">
        <v>248</v>
      </c>
      <c r="F295" s="141"/>
      <c r="G295" s="114">
        <f>G296</f>
        <v>6916.8</v>
      </c>
      <c r="H295" s="114">
        <f t="shared" si="66"/>
        <v>3014.8999999999996</v>
      </c>
      <c r="I295" s="114">
        <f t="shared" si="66"/>
        <v>9931.7000000000007</v>
      </c>
      <c r="J295" s="114">
        <f t="shared" si="66"/>
        <v>0</v>
      </c>
      <c r="K295" s="114">
        <f t="shared" si="66"/>
        <v>0</v>
      </c>
      <c r="L295" s="114">
        <f t="shared" si="66"/>
        <v>0</v>
      </c>
      <c r="M295" s="114">
        <f t="shared" si="66"/>
        <v>6916.8</v>
      </c>
      <c r="N295" s="114">
        <f t="shared" si="66"/>
        <v>3014.8999999999996</v>
      </c>
      <c r="O295" s="114">
        <f t="shared" si="66"/>
        <v>9931.7000000000007</v>
      </c>
      <c r="P295" s="97">
        <f t="shared" si="61"/>
        <v>9931.7000000000007</v>
      </c>
      <c r="Q295" s="97">
        <f t="shared" si="62"/>
        <v>0</v>
      </c>
    </row>
    <row r="296" spans="1:17" ht="47.25" x14ac:dyDescent="0.2">
      <c r="A296" s="40"/>
      <c r="B296" s="143" t="s">
        <v>334</v>
      </c>
      <c r="C296" s="113">
        <v>992</v>
      </c>
      <c r="D296" s="133" t="s">
        <v>321</v>
      </c>
      <c r="E296" s="136" t="s">
        <v>335</v>
      </c>
      <c r="F296" s="134"/>
      <c r="G296" s="111">
        <f t="shared" ref="G296:I297" si="67">SUM(G297)</f>
        <v>6916.8</v>
      </c>
      <c r="H296" s="111">
        <f t="shared" si="67"/>
        <v>3014.8999999999996</v>
      </c>
      <c r="I296" s="111">
        <f t="shared" si="67"/>
        <v>9931.7000000000007</v>
      </c>
      <c r="J296" s="115"/>
      <c r="K296" s="111"/>
      <c r="L296" s="115"/>
      <c r="M296" s="111">
        <f>SUM(G296)</f>
        <v>6916.8</v>
      </c>
      <c r="N296" s="111">
        <f t="shared" ref="N296:O298" si="68">SUM(H296)</f>
        <v>3014.8999999999996</v>
      </c>
      <c r="O296" s="111">
        <f t="shared" si="68"/>
        <v>9931.7000000000007</v>
      </c>
      <c r="P296" s="97">
        <f t="shared" si="61"/>
        <v>9931.7000000000007</v>
      </c>
      <c r="Q296" s="97">
        <f t="shared" si="62"/>
        <v>0</v>
      </c>
    </row>
    <row r="297" spans="1:17" ht="78.75" x14ac:dyDescent="0.2">
      <c r="A297" s="40"/>
      <c r="B297" s="144" t="s">
        <v>336</v>
      </c>
      <c r="C297" s="113">
        <v>992</v>
      </c>
      <c r="D297" s="133" t="s">
        <v>321</v>
      </c>
      <c r="E297" s="136" t="s">
        <v>337</v>
      </c>
      <c r="F297" s="134"/>
      <c r="G297" s="111">
        <f t="shared" si="67"/>
        <v>6916.8</v>
      </c>
      <c r="H297" s="111">
        <f t="shared" si="67"/>
        <v>3014.8999999999996</v>
      </c>
      <c r="I297" s="111">
        <f t="shared" si="67"/>
        <v>9931.7000000000007</v>
      </c>
      <c r="J297" s="115"/>
      <c r="K297" s="111"/>
      <c r="L297" s="115"/>
      <c r="M297" s="111">
        <f>SUM(G297)</f>
        <v>6916.8</v>
      </c>
      <c r="N297" s="111">
        <f t="shared" si="68"/>
        <v>3014.8999999999996</v>
      </c>
      <c r="O297" s="111">
        <f t="shared" si="68"/>
        <v>9931.7000000000007</v>
      </c>
      <c r="P297" s="97">
        <f t="shared" si="61"/>
        <v>9931.7000000000007</v>
      </c>
      <c r="Q297" s="97">
        <f t="shared" si="62"/>
        <v>0</v>
      </c>
    </row>
    <row r="298" spans="1:17" ht="15.75" x14ac:dyDescent="0.2">
      <c r="A298" s="40"/>
      <c r="B298" s="113" t="s">
        <v>338</v>
      </c>
      <c r="C298" s="113">
        <v>992</v>
      </c>
      <c r="D298" s="133" t="s">
        <v>321</v>
      </c>
      <c r="E298" s="136" t="s">
        <v>337</v>
      </c>
      <c r="F298" s="134">
        <v>800</v>
      </c>
      <c r="G298" s="111">
        <v>6916.8</v>
      </c>
      <c r="H298" s="111">
        <f>3650-214.8-400-20.3</f>
        <v>3014.8999999999996</v>
      </c>
      <c r="I298" s="111">
        <f>SUM(G298)+H298</f>
        <v>9931.7000000000007</v>
      </c>
      <c r="J298" s="115"/>
      <c r="K298" s="111"/>
      <c r="L298" s="115"/>
      <c r="M298" s="111">
        <f>SUM(G298)</f>
        <v>6916.8</v>
      </c>
      <c r="N298" s="111">
        <f t="shared" si="68"/>
        <v>3014.8999999999996</v>
      </c>
      <c r="O298" s="111">
        <f t="shared" si="68"/>
        <v>9931.7000000000007</v>
      </c>
      <c r="P298" s="97">
        <f t="shared" si="61"/>
        <v>9931.7000000000007</v>
      </c>
      <c r="Q298" s="97">
        <f t="shared" si="62"/>
        <v>0</v>
      </c>
    </row>
    <row r="299" spans="1:17" ht="31.5" x14ac:dyDescent="0.2">
      <c r="A299" s="40"/>
      <c r="B299" s="113" t="s">
        <v>339</v>
      </c>
      <c r="C299" s="113" t="s">
        <v>51</v>
      </c>
      <c r="D299" s="133" t="s">
        <v>321</v>
      </c>
      <c r="E299" s="133" t="s">
        <v>340</v>
      </c>
      <c r="F299" s="134" t="s">
        <v>11</v>
      </c>
      <c r="G299" s="111">
        <f>G300+G312+G309</f>
        <v>45364.3</v>
      </c>
      <c r="H299" s="111">
        <f>H300+H309+H312</f>
        <v>-1695.5</v>
      </c>
      <c r="I299" s="111">
        <f>I300+I312+I309</f>
        <v>43668.800000000003</v>
      </c>
      <c r="J299" s="114">
        <f>J300+J312</f>
        <v>124390.6</v>
      </c>
      <c r="K299" s="111">
        <f>K300+K312</f>
        <v>-18389.099999999999</v>
      </c>
      <c r="L299" s="114">
        <f>L300+L312</f>
        <v>106001.5</v>
      </c>
      <c r="M299" s="111">
        <f>M300+M312+M309</f>
        <v>169754.90000000002</v>
      </c>
      <c r="N299" s="111">
        <f>N300+N309+N312</f>
        <v>-20084.599999999999</v>
      </c>
      <c r="O299" s="111">
        <f>O300+O312+O309</f>
        <v>149670.29999999999</v>
      </c>
      <c r="P299" s="97">
        <f t="shared" si="61"/>
        <v>43668.800000000003</v>
      </c>
      <c r="Q299" s="97">
        <f t="shared" si="62"/>
        <v>0</v>
      </c>
    </row>
    <row r="300" spans="1:17" ht="15.75" x14ac:dyDescent="0.2">
      <c r="A300" s="40"/>
      <c r="B300" s="113" t="s">
        <v>341</v>
      </c>
      <c r="C300" s="113" t="s">
        <v>51</v>
      </c>
      <c r="D300" s="133" t="s">
        <v>321</v>
      </c>
      <c r="E300" s="133" t="s">
        <v>342</v>
      </c>
      <c r="F300" s="134" t="s">
        <v>11</v>
      </c>
      <c r="G300" s="111">
        <f t="shared" ref="G300:O300" si="69">G301</f>
        <v>29421.300000000003</v>
      </c>
      <c r="H300" s="111">
        <f>H301</f>
        <v>-1695.5</v>
      </c>
      <c r="I300" s="111">
        <f t="shared" si="69"/>
        <v>27725.800000000003</v>
      </c>
      <c r="J300" s="114">
        <f t="shared" si="69"/>
        <v>119390.6</v>
      </c>
      <c r="K300" s="111">
        <f>K301+K304</f>
        <v>-18389.099999999999</v>
      </c>
      <c r="L300" s="114">
        <f t="shared" si="69"/>
        <v>101001.5</v>
      </c>
      <c r="M300" s="111">
        <f t="shared" si="69"/>
        <v>148811.90000000002</v>
      </c>
      <c r="N300" s="111">
        <f t="shared" si="69"/>
        <v>-20084.599999999999</v>
      </c>
      <c r="O300" s="111">
        <f t="shared" si="69"/>
        <v>128727.3</v>
      </c>
      <c r="P300" s="97">
        <f t="shared" si="61"/>
        <v>27725.800000000003</v>
      </c>
      <c r="Q300" s="97">
        <f t="shared" si="62"/>
        <v>0</v>
      </c>
    </row>
    <row r="301" spans="1:17" ht="47.25" x14ac:dyDescent="0.2">
      <c r="A301" s="40"/>
      <c r="B301" s="113" t="s">
        <v>343</v>
      </c>
      <c r="C301" s="113" t="s">
        <v>51</v>
      </c>
      <c r="D301" s="133" t="s">
        <v>321</v>
      </c>
      <c r="E301" s="133" t="s">
        <v>344</v>
      </c>
      <c r="F301" s="134" t="s">
        <v>11</v>
      </c>
      <c r="G301" s="111">
        <f>G302+G305</f>
        <v>29421.300000000003</v>
      </c>
      <c r="H301" s="111">
        <f>H302+H305</f>
        <v>-1695.5</v>
      </c>
      <c r="I301" s="111">
        <f>I302+I305</f>
        <v>27725.800000000003</v>
      </c>
      <c r="J301" s="114">
        <f>J302+J305</f>
        <v>119390.6</v>
      </c>
      <c r="K301" s="111">
        <f>K302+K305</f>
        <v>-18389.099999999999</v>
      </c>
      <c r="L301" s="114">
        <f>L302+L305</f>
        <v>101001.5</v>
      </c>
      <c r="M301" s="111">
        <f>M302+M305</f>
        <v>148811.90000000002</v>
      </c>
      <c r="N301" s="111">
        <f>N302+N305</f>
        <v>-20084.599999999999</v>
      </c>
      <c r="O301" s="111">
        <f>O302+O305</f>
        <v>128727.3</v>
      </c>
      <c r="P301" s="97">
        <f t="shared" si="61"/>
        <v>27725.800000000003</v>
      </c>
      <c r="Q301" s="97">
        <f t="shared" si="62"/>
        <v>0</v>
      </c>
    </row>
    <row r="302" spans="1:17" ht="47.25" x14ac:dyDescent="0.2">
      <c r="A302" s="40"/>
      <c r="B302" s="113" t="s">
        <v>345</v>
      </c>
      <c r="C302" s="113" t="s">
        <v>51</v>
      </c>
      <c r="D302" s="133" t="s">
        <v>321</v>
      </c>
      <c r="E302" s="133" t="s">
        <v>346</v>
      </c>
      <c r="F302" s="134" t="s">
        <v>11</v>
      </c>
      <c r="G302" s="111">
        <f>G303+G304</f>
        <v>9985.6</v>
      </c>
      <c r="H302" s="111">
        <f>SUM(H303+H304)</f>
        <v>1298</v>
      </c>
      <c r="I302" s="111">
        <f>I303+I304</f>
        <v>11283.6</v>
      </c>
      <c r="J302" s="114">
        <f>J303+J304</f>
        <v>0</v>
      </c>
      <c r="K302" s="111"/>
      <c r="L302" s="114">
        <f>L303+L304</f>
        <v>0</v>
      </c>
      <c r="M302" s="111">
        <f>M303+M304</f>
        <v>9985.6</v>
      </c>
      <c r="N302" s="111">
        <f>N303+N304</f>
        <v>1298</v>
      </c>
      <c r="O302" s="111">
        <f>O303+O304</f>
        <v>11283.6</v>
      </c>
      <c r="P302" s="97">
        <f t="shared" si="61"/>
        <v>11283.6</v>
      </c>
      <c r="Q302" s="97">
        <f t="shared" si="62"/>
        <v>0</v>
      </c>
    </row>
    <row r="303" spans="1:17" ht="31.5" x14ac:dyDescent="0.2">
      <c r="A303" s="40"/>
      <c r="B303" s="113" t="s">
        <v>40</v>
      </c>
      <c r="C303" s="113" t="s">
        <v>51</v>
      </c>
      <c r="D303" s="133" t="s">
        <v>321</v>
      </c>
      <c r="E303" s="133" t="s">
        <v>346</v>
      </c>
      <c r="F303" s="134" t="s">
        <v>41</v>
      </c>
      <c r="G303" s="111">
        <v>2940</v>
      </c>
      <c r="H303" s="111">
        <v>300</v>
      </c>
      <c r="I303" s="111">
        <f>SUM(G303)+H303</f>
        <v>3240</v>
      </c>
      <c r="J303" s="115">
        <v>0</v>
      </c>
      <c r="K303" s="111">
        <f>2803.6+840-1820-983.6-840</f>
        <v>0</v>
      </c>
      <c r="L303" s="115">
        <v>0</v>
      </c>
      <c r="M303" s="111">
        <f>SUM(G303)</f>
        <v>2940</v>
      </c>
      <c r="N303" s="111">
        <f>SUM(H303)</f>
        <v>300</v>
      </c>
      <c r="O303" s="111">
        <f>SUM(I303)</f>
        <v>3240</v>
      </c>
      <c r="P303" s="97">
        <f t="shared" si="61"/>
        <v>3240</v>
      </c>
      <c r="Q303" s="97">
        <f t="shared" si="62"/>
        <v>0</v>
      </c>
    </row>
    <row r="304" spans="1:17" ht="31.5" x14ac:dyDescent="0.2">
      <c r="A304" s="40"/>
      <c r="B304" s="113" t="s">
        <v>225</v>
      </c>
      <c r="C304" s="113" t="s">
        <v>51</v>
      </c>
      <c r="D304" s="133" t="s">
        <v>321</v>
      </c>
      <c r="E304" s="133" t="s">
        <v>346</v>
      </c>
      <c r="F304" s="134" t="s">
        <v>226</v>
      </c>
      <c r="G304" s="111">
        <v>7045.6</v>
      </c>
      <c r="H304" s="111">
        <v>998</v>
      </c>
      <c r="I304" s="111">
        <f>SUM(G304)+R305+H304</f>
        <v>8043.6</v>
      </c>
      <c r="J304" s="115">
        <v>0</v>
      </c>
      <c r="K304" s="111"/>
      <c r="L304" s="115">
        <v>0</v>
      </c>
      <c r="M304" s="111">
        <f>SUM(G304)</f>
        <v>7045.6</v>
      </c>
      <c r="N304" s="111">
        <f>SUM(H304)</f>
        <v>998</v>
      </c>
      <c r="O304" s="111">
        <f>SUM(M304)+N304</f>
        <v>8043.6</v>
      </c>
      <c r="P304" s="97">
        <f t="shared" si="61"/>
        <v>8043.6</v>
      </c>
      <c r="Q304" s="97">
        <f t="shared" si="62"/>
        <v>0</v>
      </c>
    </row>
    <row r="305" spans="1:17" ht="15.75" x14ac:dyDescent="0.2">
      <c r="A305" s="40"/>
      <c r="B305" s="113" t="s">
        <v>347</v>
      </c>
      <c r="C305" s="113" t="s">
        <v>51</v>
      </c>
      <c r="D305" s="133" t="s">
        <v>321</v>
      </c>
      <c r="E305" s="133" t="s">
        <v>348</v>
      </c>
      <c r="F305" s="134" t="s">
        <v>11</v>
      </c>
      <c r="G305" s="111">
        <f>G306</f>
        <v>19435.7</v>
      </c>
      <c r="H305" s="111">
        <f>SUM(H306)</f>
        <v>-2993.5</v>
      </c>
      <c r="I305" s="111">
        <f>I306</f>
        <v>16442.2</v>
      </c>
      <c r="J305" s="114">
        <f>J306</f>
        <v>119390.6</v>
      </c>
      <c r="K305" s="119">
        <v>-18389.099999999999</v>
      </c>
      <c r="L305" s="114">
        <f>L306</f>
        <v>101001.5</v>
      </c>
      <c r="M305" s="111">
        <f>M306</f>
        <v>138826.30000000002</v>
      </c>
      <c r="N305" s="111">
        <f>N306</f>
        <v>-21382.6</v>
      </c>
      <c r="O305" s="111">
        <f>O306</f>
        <v>117443.7</v>
      </c>
      <c r="P305" s="97">
        <f t="shared" si="61"/>
        <v>16442.2</v>
      </c>
      <c r="Q305" s="97">
        <f t="shared" si="62"/>
        <v>0</v>
      </c>
    </row>
    <row r="306" spans="1:17" ht="31.5" x14ac:dyDescent="0.2">
      <c r="A306" s="40"/>
      <c r="B306" s="113" t="s">
        <v>225</v>
      </c>
      <c r="C306" s="113" t="s">
        <v>51</v>
      </c>
      <c r="D306" s="133" t="s">
        <v>321</v>
      </c>
      <c r="E306" s="133" t="s">
        <v>348</v>
      </c>
      <c r="F306" s="134" t="s">
        <v>226</v>
      </c>
      <c r="G306" s="111">
        <v>19435.7</v>
      </c>
      <c r="H306" s="111">
        <v>-2993.5</v>
      </c>
      <c r="I306" s="111">
        <f>19435.7+H306</f>
        <v>16442.2</v>
      </c>
      <c r="J306" s="115">
        <v>119390.6</v>
      </c>
      <c r="K306" s="119">
        <v>-18389.099999999999</v>
      </c>
      <c r="L306" s="115">
        <f>SUM(J306)+K306</f>
        <v>101001.5</v>
      </c>
      <c r="M306" s="111">
        <f>SUM(G306+J306)</f>
        <v>138826.30000000002</v>
      </c>
      <c r="N306" s="111">
        <f>SUM(H306+K306)</f>
        <v>-21382.6</v>
      </c>
      <c r="O306" s="111">
        <f>SUM(I306+L306)</f>
        <v>117443.7</v>
      </c>
      <c r="P306" s="97">
        <f t="shared" si="61"/>
        <v>16442.2</v>
      </c>
      <c r="Q306" s="97">
        <f t="shared" si="62"/>
        <v>0</v>
      </c>
    </row>
    <row r="307" spans="1:17" ht="15.75" x14ac:dyDescent="0.2">
      <c r="A307" s="40"/>
      <c r="B307" s="118" t="s">
        <v>580</v>
      </c>
      <c r="C307" s="118" t="s">
        <v>51</v>
      </c>
      <c r="D307" s="136" t="s">
        <v>321</v>
      </c>
      <c r="E307" s="136" t="s">
        <v>579</v>
      </c>
      <c r="F307" s="141"/>
      <c r="G307" s="111">
        <f>G308</f>
        <v>0</v>
      </c>
      <c r="H307" s="111">
        <f t="shared" ref="H307:O308" si="70">H308</f>
        <v>0</v>
      </c>
      <c r="I307" s="120">
        <f t="shared" si="70"/>
        <v>0</v>
      </c>
      <c r="J307" s="114">
        <f t="shared" si="70"/>
        <v>0</v>
      </c>
      <c r="K307" s="114">
        <f t="shared" si="70"/>
        <v>0</v>
      </c>
      <c r="L307" s="119">
        <f t="shared" si="70"/>
        <v>0</v>
      </c>
      <c r="M307" s="111">
        <f t="shared" si="70"/>
        <v>0</v>
      </c>
      <c r="N307" s="111">
        <f t="shared" si="70"/>
        <v>0</v>
      </c>
      <c r="O307" s="111">
        <f t="shared" si="70"/>
        <v>0</v>
      </c>
      <c r="P307" s="97">
        <f t="shared" si="61"/>
        <v>0</v>
      </c>
      <c r="Q307" s="97">
        <f t="shared" si="62"/>
        <v>0</v>
      </c>
    </row>
    <row r="308" spans="1:17" ht="31.5" x14ac:dyDescent="0.2">
      <c r="A308" s="40"/>
      <c r="B308" s="118" t="s">
        <v>581</v>
      </c>
      <c r="C308" s="118" t="s">
        <v>51</v>
      </c>
      <c r="D308" s="136" t="s">
        <v>321</v>
      </c>
      <c r="E308" s="136" t="s">
        <v>578</v>
      </c>
      <c r="F308" s="141"/>
      <c r="G308" s="111">
        <f>G309</f>
        <v>0</v>
      </c>
      <c r="H308" s="111">
        <f t="shared" si="70"/>
        <v>0</v>
      </c>
      <c r="I308" s="120">
        <f t="shared" si="70"/>
        <v>0</v>
      </c>
      <c r="J308" s="114">
        <f t="shared" si="70"/>
        <v>0</v>
      </c>
      <c r="K308" s="114">
        <f t="shared" si="70"/>
        <v>0</v>
      </c>
      <c r="L308" s="119">
        <f t="shared" si="70"/>
        <v>0</v>
      </c>
      <c r="M308" s="111">
        <f t="shared" si="70"/>
        <v>0</v>
      </c>
      <c r="N308" s="111">
        <f t="shared" si="70"/>
        <v>0</v>
      </c>
      <c r="O308" s="111">
        <f t="shared" si="70"/>
        <v>0</v>
      </c>
      <c r="P308" s="97">
        <f t="shared" si="61"/>
        <v>0</v>
      </c>
      <c r="Q308" s="97">
        <f t="shared" si="62"/>
        <v>0</v>
      </c>
    </row>
    <row r="309" spans="1:17" ht="15.75" x14ac:dyDescent="0.2">
      <c r="A309" s="40"/>
      <c r="B309" s="113" t="s">
        <v>349</v>
      </c>
      <c r="C309" s="113">
        <v>992</v>
      </c>
      <c r="D309" s="133" t="s">
        <v>321</v>
      </c>
      <c r="E309" s="133">
        <v>1120121140</v>
      </c>
      <c r="F309" s="134"/>
      <c r="G309" s="111">
        <f>SUM(G311)</f>
        <v>0</v>
      </c>
      <c r="H309" s="111">
        <f>SUM(H311)</f>
        <v>0</v>
      </c>
      <c r="I309" s="111">
        <f>SUM(G309:H309)</f>
        <v>0</v>
      </c>
      <c r="J309" s="115"/>
      <c r="K309" s="111"/>
      <c r="L309" s="115"/>
      <c r="M309" s="111">
        <f>SUM(G309)</f>
        <v>0</v>
      </c>
      <c r="N309" s="111">
        <f t="shared" ref="N309:O311" si="71">SUM(H309)</f>
        <v>0</v>
      </c>
      <c r="O309" s="111">
        <f t="shared" si="71"/>
        <v>0</v>
      </c>
      <c r="P309" s="97">
        <f t="shared" si="61"/>
        <v>0</v>
      </c>
      <c r="Q309" s="97">
        <f t="shared" si="62"/>
        <v>0</v>
      </c>
    </row>
    <row r="310" spans="1:17" ht="25.9" hidden="1" customHeight="1" x14ac:dyDescent="0.2">
      <c r="A310" s="40"/>
      <c r="B310" s="113"/>
      <c r="C310" s="113">
        <v>992</v>
      </c>
      <c r="D310" s="133" t="s">
        <v>321</v>
      </c>
      <c r="E310" s="133">
        <v>1120121140</v>
      </c>
      <c r="F310" s="134">
        <v>400</v>
      </c>
      <c r="G310" s="111"/>
      <c r="H310" s="111">
        <f>SUM(H311)</f>
        <v>0</v>
      </c>
      <c r="I310" s="111">
        <f>SUM(H310)</f>
        <v>0</v>
      </c>
      <c r="J310" s="115"/>
      <c r="K310" s="111"/>
      <c r="L310" s="115"/>
      <c r="M310" s="111"/>
      <c r="N310" s="111">
        <f t="shared" si="71"/>
        <v>0</v>
      </c>
      <c r="O310" s="111">
        <f t="shared" si="71"/>
        <v>0</v>
      </c>
      <c r="P310" s="97">
        <f t="shared" si="61"/>
        <v>0</v>
      </c>
      <c r="Q310" s="97">
        <f t="shared" si="62"/>
        <v>0</v>
      </c>
    </row>
    <row r="311" spans="1:17" ht="31.5" x14ac:dyDescent="0.2">
      <c r="A311" s="40"/>
      <c r="B311" s="113" t="s">
        <v>225</v>
      </c>
      <c r="C311" s="113">
        <v>992</v>
      </c>
      <c r="D311" s="133" t="s">
        <v>321</v>
      </c>
      <c r="E311" s="133">
        <v>1120121140</v>
      </c>
      <c r="F311" s="134">
        <v>400</v>
      </c>
      <c r="G311" s="111">
        <v>0</v>
      </c>
      <c r="H311" s="111"/>
      <c r="I311" s="111">
        <f>SUM(G311:H311)</f>
        <v>0</v>
      </c>
      <c r="J311" s="115"/>
      <c r="K311" s="111"/>
      <c r="L311" s="115"/>
      <c r="M311" s="111">
        <f>SUM(G311)</f>
        <v>0</v>
      </c>
      <c r="N311" s="111">
        <f t="shared" si="71"/>
        <v>0</v>
      </c>
      <c r="O311" s="111">
        <f t="shared" si="71"/>
        <v>0</v>
      </c>
      <c r="P311" s="97">
        <f t="shared" si="61"/>
        <v>0</v>
      </c>
      <c r="Q311" s="97">
        <f t="shared" si="62"/>
        <v>0</v>
      </c>
    </row>
    <row r="312" spans="1:17" ht="15.75" x14ac:dyDescent="0.2">
      <c r="A312" s="40"/>
      <c r="B312" s="135" t="s">
        <v>350</v>
      </c>
      <c r="C312" s="113">
        <v>992</v>
      </c>
      <c r="D312" s="133" t="s">
        <v>321</v>
      </c>
      <c r="E312" s="133">
        <v>1130000000</v>
      </c>
      <c r="F312" s="134"/>
      <c r="G312" s="111">
        <f>SUM(G313)</f>
        <v>15943</v>
      </c>
      <c r="H312" s="111">
        <f>H313</f>
        <v>0</v>
      </c>
      <c r="I312" s="111">
        <f>SUM(I313)</f>
        <v>15943</v>
      </c>
      <c r="J312" s="111">
        <f t="shared" ref="J312:M313" si="72">SUM(J313)</f>
        <v>5000</v>
      </c>
      <c r="K312" s="111">
        <f t="shared" si="72"/>
        <v>0</v>
      </c>
      <c r="L312" s="111">
        <f t="shared" si="72"/>
        <v>5000</v>
      </c>
      <c r="M312" s="111">
        <f t="shared" si="72"/>
        <v>20943</v>
      </c>
      <c r="N312" s="111">
        <f>SUM(H312)+K312</f>
        <v>0</v>
      </c>
      <c r="O312" s="111">
        <f>SUM(O313)</f>
        <v>20943</v>
      </c>
      <c r="P312" s="97">
        <f t="shared" si="61"/>
        <v>15943</v>
      </c>
      <c r="Q312" s="97">
        <f t="shared" si="62"/>
        <v>0</v>
      </c>
    </row>
    <row r="313" spans="1:17" ht="47.25" x14ac:dyDescent="0.2">
      <c r="A313" s="40"/>
      <c r="B313" s="135" t="s">
        <v>351</v>
      </c>
      <c r="C313" s="113">
        <v>992</v>
      </c>
      <c r="D313" s="133" t="s">
        <v>321</v>
      </c>
      <c r="E313" s="133">
        <v>1130100000</v>
      </c>
      <c r="F313" s="134"/>
      <c r="G313" s="111">
        <f>SUM(G314)</f>
        <v>15943</v>
      </c>
      <c r="H313" s="111">
        <f>H314</f>
        <v>0</v>
      </c>
      <c r="I313" s="111">
        <f>SUM(I314)</f>
        <v>15943</v>
      </c>
      <c r="J313" s="111">
        <f>SUM(J314)+J317</f>
        <v>5000</v>
      </c>
      <c r="K313" s="111">
        <f t="shared" si="72"/>
        <v>0</v>
      </c>
      <c r="L313" s="111">
        <f>SUM(L314)+L317</f>
        <v>5000</v>
      </c>
      <c r="M313" s="111">
        <f>SUM(M314)+M317</f>
        <v>20943</v>
      </c>
      <c r="N313" s="111">
        <f>SUM(H313)+K313+N317</f>
        <v>0</v>
      </c>
      <c r="O313" s="111">
        <f>SUM(O314)+O317</f>
        <v>20943</v>
      </c>
      <c r="P313" s="97">
        <f t="shared" si="61"/>
        <v>15943</v>
      </c>
      <c r="Q313" s="97">
        <f t="shared" si="62"/>
        <v>0</v>
      </c>
    </row>
    <row r="314" spans="1:17" ht="15.75" x14ac:dyDescent="0.2">
      <c r="A314" s="40"/>
      <c r="B314" s="135" t="s">
        <v>582</v>
      </c>
      <c r="C314" s="113">
        <v>992</v>
      </c>
      <c r="D314" s="133" t="s">
        <v>321</v>
      </c>
      <c r="E314" s="133">
        <v>1130121070</v>
      </c>
      <c r="F314" s="134"/>
      <c r="G314" s="111">
        <f>SUM(G316)+G315</f>
        <v>15943</v>
      </c>
      <c r="H314" s="111">
        <f>H315+H316</f>
        <v>0</v>
      </c>
      <c r="I314" s="111">
        <f>SUM(G314:H314)</f>
        <v>15943</v>
      </c>
      <c r="J314" s="115"/>
      <c r="K314" s="111"/>
      <c r="L314" s="115">
        <f>SUM(J314)</f>
        <v>0</v>
      </c>
      <c r="M314" s="111">
        <f>SUM(G314)+J314</f>
        <v>15943</v>
      </c>
      <c r="N314" s="111">
        <f>N315+N316</f>
        <v>0</v>
      </c>
      <c r="O314" s="111">
        <f>SUM(I314)+L314</f>
        <v>15943</v>
      </c>
      <c r="P314" s="97">
        <f t="shared" si="61"/>
        <v>15943</v>
      </c>
      <c r="Q314" s="97">
        <f t="shared" si="62"/>
        <v>0</v>
      </c>
    </row>
    <row r="315" spans="1:17" ht="31.5" x14ac:dyDescent="0.2">
      <c r="A315" s="40"/>
      <c r="B315" s="113" t="s">
        <v>40</v>
      </c>
      <c r="C315" s="113">
        <v>992</v>
      </c>
      <c r="D315" s="133" t="s">
        <v>321</v>
      </c>
      <c r="E315" s="133">
        <v>1130121070</v>
      </c>
      <c r="F315" s="134">
        <v>200</v>
      </c>
      <c r="G315" s="111">
        <v>14129</v>
      </c>
      <c r="H315" s="111"/>
      <c r="I315" s="111">
        <f>SUM(G315:H315)</f>
        <v>14129</v>
      </c>
      <c r="J315" s="115"/>
      <c r="K315" s="111"/>
      <c r="L315" s="115">
        <f>SUM(J315)</f>
        <v>0</v>
      </c>
      <c r="M315" s="111">
        <f>SUM(G315)+J315</f>
        <v>14129</v>
      </c>
      <c r="N315" s="111">
        <f>SUM(H315)+K315</f>
        <v>0</v>
      </c>
      <c r="O315" s="111">
        <f>SUM(I315)+L315</f>
        <v>14129</v>
      </c>
      <c r="P315" s="97">
        <f t="shared" si="61"/>
        <v>14129</v>
      </c>
      <c r="Q315" s="97">
        <f t="shared" si="62"/>
        <v>0</v>
      </c>
    </row>
    <row r="316" spans="1:17" ht="31.5" x14ac:dyDescent="0.2">
      <c r="A316" s="40"/>
      <c r="B316" s="113" t="s">
        <v>225</v>
      </c>
      <c r="C316" s="113">
        <v>992</v>
      </c>
      <c r="D316" s="133" t="s">
        <v>321</v>
      </c>
      <c r="E316" s="136" t="s">
        <v>352</v>
      </c>
      <c r="F316" s="134">
        <v>400</v>
      </c>
      <c r="G316" s="111">
        <v>1814</v>
      </c>
      <c r="H316" s="111"/>
      <c r="I316" s="111">
        <v>1814</v>
      </c>
      <c r="J316" s="115"/>
      <c r="K316" s="109"/>
      <c r="L316" s="115"/>
      <c r="M316" s="111">
        <f>SUM(G316)</f>
        <v>1814</v>
      </c>
      <c r="N316" s="111">
        <f>SUM(H316)</f>
        <v>0</v>
      </c>
      <c r="O316" s="111">
        <f>SUM(I316)</f>
        <v>1814</v>
      </c>
      <c r="P316" s="97">
        <f t="shared" si="61"/>
        <v>1814</v>
      </c>
      <c r="Q316" s="97">
        <f t="shared" si="62"/>
        <v>0</v>
      </c>
    </row>
    <row r="317" spans="1:17" ht="31.5" x14ac:dyDescent="0.2">
      <c r="A317" s="40"/>
      <c r="B317" s="113" t="s">
        <v>603</v>
      </c>
      <c r="C317" s="113">
        <v>992</v>
      </c>
      <c r="D317" s="133" t="s">
        <v>321</v>
      </c>
      <c r="E317" s="136" t="s">
        <v>602</v>
      </c>
      <c r="F317" s="134"/>
      <c r="G317" s="111"/>
      <c r="H317" s="111"/>
      <c r="I317" s="111"/>
      <c r="J317" s="115">
        <v>5000</v>
      </c>
      <c r="K317" s="109"/>
      <c r="L317" s="121">
        <v>5000</v>
      </c>
      <c r="M317" s="121">
        <v>5000</v>
      </c>
      <c r="N317" s="111"/>
      <c r="O317" s="111">
        <f>SUM(M317)</f>
        <v>5000</v>
      </c>
      <c r="P317" s="97">
        <f t="shared" si="61"/>
        <v>0</v>
      </c>
      <c r="Q317" s="97">
        <f t="shared" si="62"/>
        <v>0</v>
      </c>
    </row>
    <row r="318" spans="1:17" ht="31.5" x14ac:dyDescent="0.2">
      <c r="A318" s="40"/>
      <c r="B318" s="113" t="s">
        <v>40</v>
      </c>
      <c r="C318" s="113">
        <v>992</v>
      </c>
      <c r="D318" s="133" t="s">
        <v>321</v>
      </c>
      <c r="E318" s="136" t="s">
        <v>602</v>
      </c>
      <c r="F318" s="134">
        <v>200</v>
      </c>
      <c r="G318" s="111"/>
      <c r="H318" s="111"/>
      <c r="I318" s="111"/>
      <c r="J318" s="115">
        <v>5000</v>
      </c>
      <c r="K318" s="109"/>
      <c r="L318" s="121">
        <v>5000</v>
      </c>
      <c r="M318" s="121">
        <v>5000</v>
      </c>
      <c r="N318" s="111"/>
      <c r="O318" s="111">
        <f>SUM(M318)</f>
        <v>5000</v>
      </c>
      <c r="P318" s="97">
        <f t="shared" si="61"/>
        <v>0</v>
      </c>
      <c r="Q318" s="97">
        <f t="shared" si="62"/>
        <v>0</v>
      </c>
    </row>
    <row r="319" spans="1:17" ht="15.75" x14ac:dyDescent="0.2">
      <c r="A319" s="33" t="s">
        <v>353</v>
      </c>
      <c r="B319" s="110" t="s">
        <v>354</v>
      </c>
      <c r="C319" s="110" t="s">
        <v>51</v>
      </c>
      <c r="D319" s="131" t="s">
        <v>355</v>
      </c>
      <c r="E319" s="131" t="s">
        <v>11</v>
      </c>
      <c r="F319" s="132" t="s">
        <v>11</v>
      </c>
      <c r="G319" s="109">
        <f>G320+G361+G368+G355+G375</f>
        <v>65688.700000000012</v>
      </c>
      <c r="H319" s="111">
        <f>H320+Z322+H368+H354</f>
        <v>15362.7</v>
      </c>
      <c r="I319" s="109">
        <f>I320+I361+I368+I355+I375</f>
        <v>81051.400000000009</v>
      </c>
      <c r="J319" s="112">
        <f>J320+J361+J368+J355</f>
        <v>15057.2</v>
      </c>
      <c r="K319" s="111">
        <f>K320+K355+K361+K375+K368</f>
        <v>0</v>
      </c>
      <c r="L319" s="111">
        <f>L320+L355+L361+L375+L368</f>
        <v>15057.2</v>
      </c>
      <c r="M319" s="109">
        <f>M320+M361+M368+M355+M375</f>
        <v>80745.900000000009</v>
      </c>
      <c r="N319" s="111">
        <f>N320+AF322+N368+N361+N354</f>
        <v>15362.7</v>
      </c>
      <c r="O319" s="109">
        <f>O320+O361+O368+O355+O375</f>
        <v>96108.599999999991</v>
      </c>
      <c r="P319" s="97">
        <f t="shared" si="61"/>
        <v>81051.400000000009</v>
      </c>
      <c r="Q319" s="97">
        <f t="shared" si="62"/>
        <v>0</v>
      </c>
    </row>
    <row r="320" spans="1:17" ht="31.5" x14ac:dyDescent="0.2">
      <c r="A320" s="40"/>
      <c r="B320" s="113" t="s">
        <v>245</v>
      </c>
      <c r="C320" s="113" t="s">
        <v>51</v>
      </c>
      <c r="D320" s="133" t="s">
        <v>355</v>
      </c>
      <c r="E320" s="133" t="s">
        <v>246</v>
      </c>
      <c r="F320" s="134" t="s">
        <v>11</v>
      </c>
      <c r="G320" s="111">
        <f>G321+G349</f>
        <v>57776.9</v>
      </c>
      <c r="H320" s="111">
        <f>H321+H349</f>
        <v>15198.2</v>
      </c>
      <c r="I320" s="111">
        <f>I321+I349</f>
        <v>72975.100000000006</v>
      </c>
      <c r="J320" s="114">
        <f t="shared" ref="G320:O321" si="73">J321</f>
        <v>11157.2</v>
      </c>
      <c r="K320" s="111">
        <f t="shared" si="73"/>
        <v>0</v>
      </c>
      <c r="L320" s="114">
        <f t="shared" si="73"/>
        <v>11157.2</v>
      </c>
      <c r="M320" s="111">
        <f>SUM(G320+J320)</f>
        <v>68934.100000000006</v>
      </c>
      <c r="N320" s="111">
        <f>N321+N349</f>
        <v>15198.2</v>
      </c>
      <c r="O320" s="111">
        <f>O321+O349</f>
        <v>84132.299999999988</v>
      </c>
      <c r="P320" s="97">
        <f t="shared" si="61"/>
        <v>72975.100000000006</v>
      </c>
      <c r="Q320" s="97">
        <f t="shared" si="62"/>
        <v>0</v>
      </c>
    </row>
    <row r="321" spans="1:17" ht="15.75" x14ac:dyDescent="0.2">
      <c r="A321" s="40"/>
      <c r="B321" s="113" t="s">
        <v>356</v>
      </c>
      <c r="C321" s="113" t="s">
        <v>51</v>
      </c>
      <c r="D321" s="133" t="s">
        <v>355</v>
      </c>
      <c r="E321" s="133" t="s">
        <v>357</v>
      </c>
      <c r="F321" s="134" t="s">
        <v>11</v>
      </c>
      <c r="G321" s="111">
        <f t="shared" si="73"/>
        <v>54426.9</v>
      </c>
      <c r="H321" s="111">
        <f t="shared" si="73"/>
        <v>15198.2</v>
      </c>
      <c r="I321" s="111">
        <f t="shared" si="73"/>
        <v>69625.100000000006</v>
      </c>
      <c r="J321" s="114">
        <f t="shared" si="73"/>
        <v>11157.2</v>
      </c>
      <c r="K321" s="111">
        <f>K322+K324+K326+K328+K330+K336</f>
        <v>0</v>
      </c>
      <c r="L321" s="114">
        <f t="shared" si="73"/>
        <v>11157.2</v>
      </c>
      <c r="M321" s="111">
        <f t="shared" si="73"/>
        <v>65584.100000000006</v>
      </c>
      <c r="N321" s="111">
        <f t="shared" si="73"/>
        <v>15198.2</v>
      </c>
      <c r="O321" s="111">
        <f t="shared" si="73"/>
        <v>80782.299999999988</v>
      </c>
      <c r="P321" s="97">
        <f t="shared" si="61"/>
        <v>69625.100000000006</v>
      </c>
      <c r="Q321" s="97">
        <f t="shared" si="62"/>
        <v>0</v>
      </c>
    </row>
    <row r="322" spans="1:17" ht="47.25" x14ac:dyDescent="0.2">
      <c r="A322" s="40"/>
      <c r="B322" s="113" t="s">
        <v>358</v>
      </c>
      <c r="C322" s="113" t="s">
        <v>51</v>
      </c>
      <c r="D322" s="133" t="s">
        <v>355</v>
      </c>
      <c r="E322" s="133" t="s">
        <v>359</v>
      </c>
      <c r="F322" s="134" t="s">
        <v>11</v>
      </c>
      <c r="G322" s="111">
        <f>G323+G325+G327+G329+G335+G337+G331+G347+G345+G343</f>
        <v>54426.9</v>
      </c>
      <c r="H322" s="111">
        <f>H323+H325+H327+H329+H335+H337+H331+H347+H345+H343+H333</f>
        <v>15198.2</v>
      </c>
      <c r="I322" s="111">
        <f>I323+I325+I327+I329+I335+I337+I331+I347+I345+I343</f>
        <v>69625.100000000006</v>
      </c>
      <c r="J322" s="114">
        <f>J323+J325+J327+J329+J331+J333+J335+J337+J343+J345+J347</f>
        <v>11157.2</v>
      </c>
      <c r="K322" s="111">
        <f>SUM(K347)+K343+K345+K333</f>
        <v>0</v>
      </c>
      <c r="L322" s="114">
        <f>L323+L325+L327+L329+L331+L333+L335+L337+L343+L345+L347</f>
        <v>11157.2</v>
      </c>
      <c r="M322" s="114">
        <f t="shared" ref="M322:O322" si="74">M323+M325+M327+M329+M331+M333+M335+M337+M343+M345+M347</f>
        <v>65584.100000000006</v>
      </c>
      <c r="N322" s="114">
        <f>N323+N325+N327+N329+N331+N333+N335+N337+N343+N345+N347</f>
        <v>15198.2</v>
      </c>
      <c r="O322" s="114">
        <f t="shared" si="74"/>
        <v>80782.299999999988</v>
      </c>
      <c r="P322" s="97">
        <f t="shared" si="61"/>
        <v>69625.100000000006</v>
      </c>
      <c r="Q322" s="97">
        <f t="shared" si="62"/>
        <v>0</v>
      </c>
    </row>
    <row r="323" spans="1:17" ht="15.75" x14ac:dyDescent="0.2">
      <c r="A323" s="40"/>
      <c r="B323" s="113" t="s">
        <v>360</v>
      </c>
      <c r="C323" s="113" t="s">
        <v>51</v>
      </c>
      <c r="D323" s="133" t="s">
        <v>355</v>
      </c>
      <c r="E323" s="133" t="s">
        <v>361</v>
      </c>
      <c r="F323" s="134" t="s">
        <v>11</v>
      </c>
      <c r="G323" s="111">
        <f>G324</f>
        <v>22389.9</v>
      </c>
      <c r="H323" s="111">
        <f>H324</f>
        <v>1210.4000000000001</v>
      </c>
      <c r="I323" s="111">
        <f>I324</f>
        <v>23600.300000000003</v>
      </c>
      <c r="J323" s="114">
        <f>J324</f>
        <v>0</v>
      </c>
      <c r="K323" s="111"/>
      <c r="L323" s="114">
        <f>L324</f>
        <v>0</v>
      </c>
      <c r="M323" s="111">
        <f>M324</f>
        <v>22389.9</v>
      </c>
      <c r="N323" s="111">
        <f>N324</f>
        <v>1210.4000000000001</v>
      </c>
      <c r="O323" s="111">
        <f>O324</f>
        <v>23600.300000000003</v>
      </c>
      <c r="P323" s="97">
        <f t="shared" si="61"/>
        <v>23600.300000000003</v>
      </c>
      <c r="Q323" s="97">
        <f t="shared" si="62"/>
        <v>0</v>
      </c>
    </row>
    <row r="324" spans="1:17" ht="31.5" x14ac:dyDescent="0.2">
      <c r="A324" s="40"/>
      <c r="B324" s="113" t="s">
        <v>40</v>
      </c>
      <c r="C324" s="113" t="s">
        <v>51</v>
      </c>
      <c r="D324" s="133" t="s">
        <v>355</v>
      </c>
      <c r="E324" s="133" t="s">
        <v>361</v>
      </c>
      <c r="F324" s="134" t="s">
        <v>41</v>
      </c>
      <c r="G324" s="111">
        <v>22389.9</v>
      </c>
      <c r="H324" s="111">
        <f>210.4+1000</f>
        <v>1210.4000000000001</v>
      </c>
      <c r="I324" s="111">
        <f>SUM(G324)+H324</f>
        <v>23600.300000000003</v>
      </c>
      <c r="J324" s="115"/>
      <c r="K324" s="111"/>
      <c r="L324" s="115"/>
      <c r="M324" s="111">
        <f>SUM(G324)</f>
        <v>22389.9</v>
      </c>
      <c r="N324" s="111">
        <f>SUM(H324)+K324</f>
        <v>1210.4000000000001</v>
      </c>
      <c r="O324" s="111">
        <f>SUM(I324)</f>
        <v>23600.300000000003</v>
      </c>
      <c r="P324" s="97">
        <f t="shared" si="61"/>
        <v>23600.300000000003</v>
      </c>
      <c r="Q324" s="97">
        <f t="shared" si="62"/>
        <v>0</v>
      </c>
    </row>
    <row r="325" spans="1:17" ht="15.75" x14ac:dyDescent="0.2">
      <c r="A325" s="40"/>
      <c r="B325" s="113" t="s">
        <v>362</v>
      </c>
      <c r="C325" s="113" t="s">
        <v>51</v>
      </c>
      <c r="D325" s="133" t="s">
        <v>355</v>
      </c>
      <c r="E325" s="133" t="s">
        <v>363</v>
      </c>
      <c r="F325" s="134" t="s">
        <v>11</v>
      </c>
      <c r="G325" s="111">
        <f>G326</f>
        <v>13950.8</v>
      </c>
      <c r="H325" s="111">
        <f>H326</f>
        <v>2978</v>
      </c>
      <c r="I325" s="111">
        <f>I326</f>
        <v>16928.8</v>
      </c>
      <c r="J325" s="114">
        <f>J326</f>
        <v>75</v>
      </c>
      <c r="K325" s="111">
        <f>SUM(K326)</f>
        <v>0</v>
      </c>
      <c r="L325" s="114">
        <f>L326</f>
        <v>75</v>
      </c>
      <c r="M325" s="111">
        <f>M326</f>
        <v>14025.8</v>
      </c>
      <c r="N325" s="111">
        <f>N326</f>
        <v>2978</v>
      </c>
      <c r="O325" s="111">
        <f>O326</f>
        <v>17003.8</v>
      </c>
      <c r="P325" s="97">
        <f t="shared" si="61"/>
        <v>16928.8</v>
      </c>
      <c r="Q325" s="97">
        <f t="shared" si="62"/>
        <v>0</v>
      </c>
    </row>
    <row r="326" spans="1:17" ht="31.5" x14ac:dyDescent="0.2">
      <c r="A326" s="40"/>
      <c r="B326" s="113" t="s">
        <v>40</v>
      </c>
      <c r="C326" s="113" t="s">
        <v>51</v>
      </c>
      <c r="D326" s="133" t="s">
        <v>355</v>
      </c>
      <c r="E326" s="133" t="s">
        <v>363</v>
      </c>
      <c r="F326" s="134" t="s">
        <v>41</v>
      </c>
      <c r="G326" s="111">
        <v>13950.8</v>
      </c>
      <c r="H326" s="111">
        <v>2978</v>
      </c>
      <c r="I326" s="111">
        <f>SUM(G326)+H326</f>
        <v>16928.8</v>
      </c>
      <c r="J326" s="115">
        <v>75</v>
      </c>
      <c r="K326" s="111"/>
      <c r="L326" s="111">
        <f>SUM(J326)</f>
        <v>75</v>
      </c>
      <c r="M326" s="111">
        <f>SUM(G326+J326)</f>
        <v>14025.8</v>
      </c>
      <c r="N326" s="111">
        <f>SUM(H326)+K326</f>
        <v>2978</v>
      </c>
      <c r="O326" s="111">
        <f>SUM(I326+L326)</f>
        <v>17003.8</v>
      </c>
      <c r="P326" s="97">
        <f t="shared" si="61"/>
        <v>16928.8</v>
      </c>
      <c r="Q326" s="97">
        <f t="shared" si="62"/>
        <v>0</v>
      </c>
    </row>
    <row r="327" spans="1:17" ht="15.75" x14ac:dyDescent="0.2">
      <c r="A327" s="40"/>
      <c r="B327" s="113" t="s">
        <v>364</v>
      </c>
      <c r="C327" s="113" t="s">
        <v>51</v>
      </c>
      <c r="D327" s="133" t="s">
        <v>355</v>
      </c>
      <c r="E327" s="133" t="s">
        <v>365</v>
      </c>
      <c r="F327" s="134" t="s">
        <v>11</v>
      </c>
      <c r="G327" s="111">
        <f>G328</f>
        <v>2772.9</v>
      </c>
      <c r="H327" s="111">
        <f>H328</f>
        <v>750</v>
      </c>
      <c r="I327" s="111">
        <f>I328</f>
        <v>3522.9</v>
      </c>
      <c r="J327" s="114">
        <f>J328</f>
        <v>0</v>
      </c>
      <c r="K327" s="111"/>
      <c r="L327" s="114">
        <f>L328</f>
        <v>0</v>
      </c>
      <c r="M327" s="111">
        <f>M328</f>
        <v>2772.9</v>
      </c>
      <c r="N327" s="111">
        <f>N328</f>
        <v>750</v>
      </c>
      <c r="O327" s="111">
        <f>O328</f>
        <v>3522.9</v>
      </c>
      <c r="P327" s="97">
        <f t="shared" si="61"/>
        <v>3522.9</v>
      </c>
      <c r="Q327" s="97">
        <f t="shared" si="62"/>
        <v>0</v>
      </c>
    </row>
    <row r="328" spans="1:17" ht="31.5" x14ac:dyDescent="0.2">
      <c r="A328" s="40"/>
      <c r="B328" s="113" t="s">
        <v>40</v>
      </c>
      <c r="C328" s="113" t="s">
        <v>51</v>
      </c>
      <c r="D328" s="133" t="s">
        <v>355</v>
      </c>
      <c r="E328" s="133" t="s">
        <v>365</v>
      </c>
      <c r="F328" s="134" t="s">
        <v>41</v>
      </c>
      <c r="G328" s="111">
        <v>2772.9</v>
      </c>
      <c r="H328" s="111">
        <v>750</v>
      </c>
      <c r="I328" s="111">
        <f>G328+H328</f>
        <v>3522.9</v>
      </c>
      <c r="J328" s="115"/>
      <c r="K328" s="111"/>
      <c r="L328" s="115"/>
      <c r="M328" s="111">
        <f>SUM(G328)</f>
        <v>2772.9</v>
      </c>
      <c r="N328" s="111">
        <f>SUM(H328)</f>
        <v>750</v>
      </c>
      <c r="O328" s="111">
        <f>SUM(I328)</f>
        <v>3522.9</v>
      </c>
      <c r="P328" s="97">
        <f t="shared" si="61"/>
        <v>3522.9</v>
      </c>
      <c r="Q328" s="97">
        <f t="shared" si="62"/>
        <v>0</v>
      </c>
    </row>
    <row r="329" spans="1:17" ht="15.75" x14ac:dyDescent="0.2">
      <c r="A329" s="40"/>
      <c r="B329" s="113" t="s">
        <v>366</v>
      </c>
      <c r="C329" s="113" t="s">
        <v>51</v>
      </c>
      <c r="D329" s="133" t="s">
        <v>355</v>
      </c>
      <c r="E329" s="133" t="s">
        <v>367</v>
      </c>
      <c r="F329" s="134" t="s">
        <v>11</v>
      </c>
      <c r="G329" s="111">
        <f>G330</f>
        <v>3270</v>
      </c>
      <c r="H329" s="111">
        <f>H330</f>
        <v>8100</v>
      </c>
      <c r="I329" s="111">
        <f>I330</f>
        <v>11370</v>
      </c>
      <c r="J329" s="114">
        <f>J330</f>
        <v>0</v>
      </c>
      <c r="K329" s="111"/>
      <c r="L329" s="114">
        <f>L330</f>
        <v>0</v>
      </c>
      <c r="M329" s="111">
        <f>M330</f>
        <v>3270</v>
      </c>
      <c r="N329" s="111">
        <f>N330</f>
        <v>8100</v>
      </c>
      <c r="O329" s="111">
        <f>O330</f>
        <v>11370</v>
      </c>
      <c r="P329" s="97">
        <f t="shared" si="61"/>
        <v>11370</v>
      </c>
      <c r="Q329" s="97">
        <f t="shared" si="62"/>
        <v>0</v>
      </c>
    </row>
    <row r="330" spans="1:17" ht="31.5" x14ac:dyDescent="0.2">
      <c r="A330" s="40"/>
      <c r="B330" s="113" t="s">
        <v>40</v>
      </c>
      <c r="C330" s="113" t="s">
        <v>51</v>
      </c>
      <c r="D330" s="133" t="s">
        <v>355</v>
      </c>
      <c r="E330" s="133" t="s">
        <v>367</v>
      </c>
      <c r="F330" s="134" t="s">
        <v>41</v>
      </c>
      <c r="G330" s="111">
        <v>3270</v>
      </c>
      <c r="H330" s="111">
        <v>8100</v>
      </c>
      <c r="I330" s="111">
        <f>SUM(G330)+H330</f>
        <v>11370</v>
      </c>
      <c r="J330" s="115"/>
      <c r="K330" s="111"/>
      <c r="L330" s="115"/>
      <c r="M330" s="111">
        <f t="shared" ref="M330:O332" si="75">SUM(G330)</f>
        <v>3270</v>
      </c>
      <c r="N330" s="111">
        <f t="shared" si="75"/>
        <v>8100</v>
      </c>
      <c r="O330" s="111">
        <f t="shared" si="75"/>
        <v>11370</v>
      </c>
      <c r="P330" s="97">
        <f t="shared" si="61"/>
        <v>11370</v>
      </c>
      <c r="Q330" s="97">
        <f t="shared" si="62"/>
        <v>0</v>
      </c>
    </row>
    <row r="331" spans="1:17" ht="31.5" x14ac:dyDescent="0.2">
      <c r="A331" s="40"/>
      <c r="B331" s="135" t="s">
        <v>368</v>
      </c>
      <c r="C331" s="113">
        <v>992</v>
      </c>
      <c r="D331" s="133" t="s">
        <v>355</v>
      </c>
      <c r="E331" s="136" t="s">
        <v>369</v>
      </c>
      <c r="F331" s="134"/>
      <c r="G331" s="111">
        <v>583.6</v>
      </c>
      <c r="H331" s="111"/>
      <c r="I331" s="111">
        <f>SUM(G331)+H331</f>
        <v>583.6</v>
      </c>
      <c r="J331" s="115"/>
      <c r="K331" s="111"/>
      <c r="L331" s="115"/>
      <c r="M331" s="111">
        <f t="shared" si="75"/>
        <v>583.6</v>
      </c>
      <c r="N331" s="111">
        <f t="shared" si="75"/>
        <v>0</v>
      </c>
      <c r="O331" s="111">
        <f t="shared" si="75"/>
        <v>583.6</v>
      </c>
      <c r="P331" s="97">
        <f t="shared" si="61"/>
        <v>583.6</v>
      </c>
      <c r="Q331" s="97">
        <f t="shared" si="62"/>
        <v>0</v>
      </c>
    </row>
    <row r="332" spans="1:17" ht="31.5" x14ac:dyDescent="0.2">
      <c r="A332" s="40"/>
      <c r="B332" s="113" t="s">
        <v>40</v>
      </c>
      <c r="C332" s="113">
        <v>992</v>
      </c>
      <c r="D332" s="133" t="s">
        <v>355</v>
      </c>
      <c r="E332" s="136" t="s">
        <v>369</v>
      </c>
      <c r="F332" s="134">
        <v>200</v>
      </c>
      <c r="G332" s="111">
        <v>583.6</v>
      </c>
      <c r="H332" s="111"/>
      <c r="I332" s="111">
        <f>SUM(G332)+H332</f>
        <v>583.6</v>
      </c>
      <c r="J332" s="115"/>
      <c r="K332" s="111"/>
      <c r="L332" s="115"/>
      <c r="M332" s="111">
        <f t="shared" si="75"/>
        <v>583.6</v>
      </c>
      <c r="N332" s="111">
        <f t="shared" si="75"/>
        <v>0</v>
      </c>
      <c r="O332" s="111">
        <f t="shared" si="75"/>
        <v>583.6</v>
      </c>
      <c r="P332" s="97">
        <f t="shared" si="61"/>
        <v>583.6</v>
      </c>
      <c r="Q332" s="97">
        <f t="shared" si="62"/>
        <v>0</v>
      </c>
    </row>
    <row r="333" spans="1:17" ht="31.5" x14ac:dyDescent="0.2">
      <c r="A333" s="40"/>
      <c r="B333" s="118" t="s">
        <v>585</v>
      </c>
      <c r="C333" s="118" t="s">
        <v>51</v>
      </c>
      <c r="D333" s="136" t="s">
        <v>355</v>
      </c>
      <c r="E333" s="136" t="s">
        <v>584</v>
      </c>
      <c r="F333" s="141"/>
      <c r="G333" s="111"/>
      <c r="H333" s="111">
        <f t="shared" ref="H333:O333" si="76">H334</f>
        <v>0</v>
      </c>
      <c r="I333" s="111">
        <f t="shared" si="76"/>
        <v>0</v>
      </c>
      <c r="J333" s="115">
        <f t="shared" si="76"/>
        <v>3070</v>
      </c>
      <c r="K333" s="111">
        <f t="shared" si="76"/>
        <v>0</v>
      </c>
      <c r="L333" s="115">
        <f t="shared" si="76"/>
        <v>3070</v>
      </c>
      <c r="M333" s="111">
        <f t="shared" si="76"/>
        <v>3070</v>
      </c>
      <c r="N333" s="111">
        <f t="shared" si="76"/>
        <v>0</v>
      </c>
      <c r="O333" s="111">
        <f t="shared" si="76"/>
        <v>3070</v>
      </c>
      <c r="P333" s="97">
        <f t="shared" si="61"/>
        <v>0</v>
      </c>
      <c r="Q333" s="97">
        <f t="shared" si="62"/>
        <v>0</v>
      </c>
    </row>
    <row r="334" spans="1:17" ht="31.5" x14ac:dyDescent="0.2">
      <c r="A334" s="40"/>
      <c r="B334" s="113" t="s">
        <v>40</v>
      </c>
      <c r="C334" s="118" t="s">
        <v>51</v>
      </c>
      <c r="D334" s="136" t="s">
        <v>355</v>
      </c>
      <c r="E334" s="136" t="s">
        <v>584</v>
      </c>
      <c r="F334" s="141" t="s">
        <v>41</v>
      </c>
      <c r="G334" s="111"/>
      <c r="H334" s="111"/>
      <c r="I334" s="111">
        <f>SUM(G334:H334)</f>
        <v>0</v>
      </c>
      <c r="J334" s="115">
        <v>3070</v>
      </c>
      <c r="K334" s="111"/>
      <c r="L334" s="115">
        <f>SUM(J334:K334)</f>
        <v>3070</v>
      </c>
      <c r="M334" s="111">
        <f>G334+J334</f>
        <v>3070</v>
      </c>
      <c r="N334" s="111">
        <f>H334+K334</f>
        <v>0</v>
      </c>
      <c r="O334" s="111">
        <f>I334+L334</f>
        <v>3070</v>
      </c>
      <c r="P334" s="97">
        <f t="shared" si="61"/>
        <v>0</v>
      </c>
      <c r="Q334" s="97">
        <f t="shared" si="62"/>
        <v>0</v>
      </c>
    </row>
    <row r="335" spans="1:17" ht="31.5" x14ac:dyDescent="0.2">
      <c r="A335" s="40"/>
      <c r="B335" s="113" t="s">
        <v>370</v>
      </c>
      <c r="C335" s="113" t="s">
        <v>51</v>
      </c>
      <c r="D335" s="133" t="s">
        <v>355</v>
      </c>
      <c r="E335" s="133" t="s">
        <v>371</v>
      </c>
      <c r="F335" s="134" t="s">
        <v>11</v>
      </c>
      <c r="G335" s="111">
        <f>G336</f>
        <v>4252.3999999999996</v>
      </c>
      <c r="H335" s="111">
        <f>SUM(H336)</f>
        <v>1609.8000000000002</v>
      </c>
      <c r="I335" s="111">
        <f>I336</f>
        <v>5862.2</v>
      </c>
      <c r="J335" s="114">
        <f>J336</f>
        <v>0</v>
      </c>
      <c r="K335" s="111"/>
      <c r="L335" s="114">
        <f>L336</f>
        <v>0</v>
      </c>
      <c r="M335" s="111">
        <f>M336</f>
        <v>4252.3999999999996</v>
      </c>
      <c r="N335" s="111">
        <f>N336</f>
        <v>1609.8000000000002</v>
      </c>
      <c r="O335" s="111">
        <f>O336</f>
        <v>5862.2</v>
      </c>
      <c r="P335" s="97">
        <f t="shared" si="61"/>
        <v>5862.2</v>
      </c>
      <c r="Q335" s="97">
        <f t="shared" si="62"/>
        <v>0</v>
      </c>
    </row>
    <row r="336" spans="1:17" ht="31.5" x14ac:dyDescent="0.2">
      <c r="A336" s="40"/>
      <c r="B336" s="113" t="s">
        <v>40</v>
      </c>
      <c r="C336" s="113" t="s">
        <v>51</v>
      </c>
      <c r="D336" s="133" t="s">
        <v>355</v>
      </c>
      <c r="E336" s="133" t="s">
        <v>371</v>
      </c>
      <c r="F336" s="134" t="s">
        <v>41</v>
      </c>
      <c r="G336" s="111">
        <v>4252.3999999999996</v>
      </c>
      <c r="H336" s="111">
        <f>2000+209.8-2000+1400</f>
        <v>1609.8000000000002</v>
      </c>
      <c r="I336" s="111">
        <f>H336+G336</f>
        <v>5862.2</v>
      </c>
      <c r="J336" s="115"/>
      <c r="K336" s="111"/>
      <c r="L336" s="115"/>
      <c r="M336" s="111">
        <f>SUM(G336)</f>
        <v>4252.3999999999996</v>
      </c>
      <c r="N336" s="111">
        <f>SUM(H336)</f>
        <v>1609.8000000000002</v>
      </c>
      <c r="O336" s="111">
        <f>SUM(I336)</f>
        <v>5862.2</v>
      </c>
      <c r="P336" s="97">
        <f t="shared" si="61"/>
        <v>5862.2</v>
      </c>
      <c r="Q336" s="97">
        <f t="shared" si="62"/>
        <v>0</v>
      </c>
    </row>
    <row r="337" spans="1:17" ht="47.25" x14ac:dyDescent="0.2">
      <c r="A337" s="40"/>
      <c r="B337" s="113" t="s">
        <v>372</v>
      </c>
      <c r="C337" s="113" t="s">
        <v>51</v>
      </c>
      <c r="D337" s="133" t="s">
        <v>355</v>
      </c>
      <c r="E337" s="133" t="s">
        <v>373</v>
      </c>
      <c r="F337" s="134" t="s">
        <v>11</v>
      </c>
      <c r="G337" s="111">
        <f>G338</f>
        <v>7140.9</v>
      </c>
      <c r="H337" s="111">
        <f>SUM(H338)</f>
        <v>550</v>
      </c>
      <c r="I337" s="111">
        <f>I338</f>
        <v>7690.9</v>
      </c>
      <c r="J337" s="114">
        <f>J338</f>
        <v>0</v>
      </c>
      <c r="K337" s="111">
        <f>SUM(K338)</f>
        <v>0</v>
      </c>
      <c r="L337" s="114">
        <f>L338</f>
        <v>0</v>
      </c>
      <c r="M337" s="111">
        <f>M338</f>
        <v>7140.9</v>
      </c>
      <c r="N337" s="111">
        <f>N338</f>
        <v>550</v>
      </c>
      <c r="O337" s="111">
        <f>SUM(M337+N337)</f>
        <v>7690.9</v>
      </c>
      <c r="P337" s="97">
        <f t="shared" si="61"/>
        <v>7690.9</v>
      </c>
      <c r="Q337" s="97">
        <f t="shared" si="62"/>
        <v>0</v>
      </c>
    </row>
    <row r="338" spans="1:17" ht="35.25" customHeight="1" x14ac:dyDescent="0.2">
      <c r="A338" s="40"/>
      <c r="B338" s="113" t="s">
        <v>40</v>
      </c>
      <c r="C338" s="113" t="s">
        <v>51</v>
      </c>
      <c r="D338" s="133" t="s">
        <v>355</v>
      </c>
      <c r="E338" s="133" t="s">
        <v>373</v>
      </c>
      <c r="F338" s="134" t="s">
        <v>41</v>
      </c>
      <c r="G338" s="111">
        <v>7140.9</v>
      </c>
      <c r="H338" s="111">
        <v>550</v>
      </c>
      <c r="I338" s="111">
        <f>SUM(G338)+H338</f>
        <v>7690.9</v>
      </c>
      <c r="J338" s="115">
        <v>0</v>
      </c>
      <c r="K338" s="111"/>
      <c r="L338" s="115">
        <f>SUM(K338)</f>
        <v>0</v>
      </c>
      <c r="M338" s="111">
        <f>SUM(G338)</f>
        <v>7140.9</v>
      </c>
      <c r="N338" s="111">
        <f>SUM(H338)</f>
        <v>550</v>
      </c>
      <c r="O338" s="111">
        <f>SUM(I338)</f>
        <v>7690.9</v>
      </c>
      <c r="P338" s="97">
        <f t="shared" si="61"/>
        <v>7690.9</v>
      </c>
      <c r="Q338" s="97">
        <f t="shared" si="62"/>
        <v>0</v>
      </c>
    </row>
    <row r="339" spans="1:17" ht="15.75" hidden="1" x14ac:dyDescent="0.2">
      <c r="A339" s="40"/>
      <c r="B339" s="113"/>
      <c r="C339" s="113"/>
      <c r="D339" s="133"/>
      <c r="E339" s="133"/>
      <c r="F339" s="134"/>
      <c r="G339" s="111"/>
      <c r="H339" s="111"/>
      <c r="I339" s="111"/>
      <c r="J339" s="115"/>
      <c r="K339" s="111">
        <v>4251.8</v>
      </c>
      <c r="L339" s="121">
        <f>SUM(K339)</f>
        <v>4251.8</v>
      </c>
      <c r="M339" s="111"/>
      <c r="N339" s="111">
        <f t="shared" ref="N339:O342" si="77">SUM(K339)</f>
        <v>4251.8</v>
      </c>
      <c r="O339" s="111">
        <f t="shared" si="77"/>
        <v>4251.8</v>
      </c>
      <c r="P339" s="97">
        <f t="shared" si="61"/>
        <v>0</v>
      </c>
      <c r="Q339" s="97">
        <f t="shared" si="62"/>
        <v>0</v>
      </c>
    </row>
    <row r="340" spans="1:17" ht="15.75" hidden="1" x14ac:dyDescent="0.2">
      <c r="A340" s="40"/>
      <c r="B340" s="113"/>
      <c r="C340" s="113"/>
      <c r="D340" s="133"/>
      <c r="E340" s="133"/>
      <c r="F340" s="134">
        <v>200</v>
      </c>
      <c r="G340" s="111"/>
      <c r="H340" s="111"/>
      <c r="I340" s="111"/>
      <c r="J340" s="115"/>
      <c r="K340" s="111">
        <v>4251.8</v>
      </c>
      <c r="L340" s="121">
        <f>SUM(K340)</f>
        <v>4251.8</v>
      </c>
      <c r="M340" s="111"/>
      <c r="N340" s="111">
        <f t="shared" si="77"/>
        <v>4251.8</v>
      </c>
      <c r="O340" s="111">
        <f t="shared" si="77"/>
        <v>4251.8</v>
      </c>
      <c r="P340" s="97">
        <f t="shared" si="61"/>
        <v>0</v>
      </c>
      <c r="Q340" s="97">
        <f t="shared" si="62"/>
        <v>0</v>
      </c>
    </row>
    <row r="341" spans="1:17" ht="15.75" hidden="1" x14ac:dyDescent="0.2">
      <c r="A341" s="40"/>
      <c r="B341" s="113"/>
      <c r="C341" s="113"/>
      <c r="D341" s="133"/>
      <c r="E341" s="133"/>
      <c r="F341" s="134"/>
      <c r="G341" s="111"/>
      <c r="H341" s="111"/>
      <c r="I341" s="111"/>
      <c r="J341" s="115"/>
      <c r="K341" s="111">
        <v>5</v>
      </c>
      <c r="L341" s="121">
        <f>SUM(K341)</f>
        <v>5</v>
      </c>
      <c r="M341" s="111"/>
      <c r="N341" s="111">
        <f t="shared" si="77"/>
        <v>5</v>
      </c>
      <c r="O341" s="111">
        <f t="shared" si="77"/>
        <v>5</v>
      </c>
      <c r="P341" s="97">
        <f t="shared" si="61"/>
        <v>0</v>
      </c>
      <c r="Q341" s="97">
        <f t="shared" si="62"/>
        <v>0</v>
      </c>
    </row>
    <row r="342" spans="1:17" ht="15.75" hidden="1" x14ac:dyDescent="0.2">
      <c r="A342" s="40"/>
      <c r="B342" s="113"/>
      <c r="C342" s="113"/>
      <c r="D342" s="133"/>
      <c r="E342" s="133"/>
      <c r="F342" s="134">
        <v>200</v>
      </c>
      <c r="G342" s="111"/>
      <c r="H342" s="111"/>
      <c r="I342" s="111"/>
      <c r="J342" s="115"/>
      <c r="K342" s="111">
        <v>5</v>
      </c>
      <c r="L342" s="121">
        <f>SUM(K342)</f>
        <v>5</v>
      </c>
      <c r="M342" s="111"/>
      <c r="N342" s="111">
        <f t="shared" si="77"/>
        <v>5</v>
      </c>
      <c r="O342" s="111">
        <f t="shared" si="77"/>
        <v>5</v>
      </c>
      <c r="P342" s="97">
        <f t="shared" ref="P342:P405" si="78">G342+H342</f>
        <v>0</v>
      </c>
      <c r="Q342" s="97">
        <f t="shared" ref="Q342:Q405" si="79">I342-P342</f>
        <v>0</v>
      </c>
    </row>
    <row r="343" spans="1:17" ht="63" x14ac:dyDescent="0.2">
      <c r="A343" s="40"/>
      <c r="B343" s="135" t="s">
        <v>572</v>
      </c>
      <c r="C343" s="113">
        <v>992</v>
      </c>
      <c r="D343" s="133" t="s">
        <v>355</v>
      </c>
      <c r="E343" s="136" t="s">
        <v>573</v>
      </c>
      <c r="F343" s="134"/>
      <c r="G343" s="111">
        <v>0</v>
      </c>
      <c r="H343" s="111">
        <f>SUM(H344)</f>
        <v>0</v>
      </c>
      <c r="I343" s="111">
        <f>SUM(G343)</f>
        <v>0</v>
      </c>
      <c r="J343" s="115">
        <v>2500.4</v>
      </c>
      <c r="K343" s="111"/>
      <c r="L343" s="111">
        <f>SUM(L344)</f>
        <v>2500.4</v>
      </c>
      <c r="M343" s="111">
        <f>SUM(G343+J343)</f>
        <v>2500.4</v>
      </c>
      <c r="N343" s="111">
        <f t="shared" ref="N343:O346" si="80">SUM(K343)+H343</f>
        <v>0</v>
      </c>
      <c r="O343" s="111">
        <f t="shared" si="80"/>
        <v>2500.4</v>
      </c>
      <c r="P343" s="97">
        <f t="shared" si="78"/>
        <v>0</v>
      </c>
      <c r="Q343" s="97">
        <f t="shared" si="79"/>
        <v>0</v>
      </c>
    </row>
    <row r="344" spans="1:17" ht="31.5" x14ac:dyDescent="0.2">
      <c r="A344" s="40"/>
      <c r="B344" s="113" t="s">
        <v>40</v>
      </c>
      <c r="C344" s="113">
        <v>992</v>
      </c>
      <c r="D344" s="133" t="s">
        <v>355</v>
      </c>
      <c r="E344" s="136" t="s">
        <v>573</v>
      </c>
      <c r="F344" s="134">
        <v>200</v>
      </c>
      <c r="G344" s="111">
        <v>0</v>
      </c>
      <c r="H344" s="111"/>
      <c r="I344" s="111">
        <f>SUM(G344)</f>
        <v>0</v>
      </c>
      <c r="J344" s="115">
        <v>2500.4</v>
      </c>
      <c r="K344" s="111"/>
      <c r="L344" s="115">
        <v>2500.4</v>
      </c>
      <c r="M344" s="111">
        <f>SUM(G344+J344)</f>
        <v>2500.4</v>
      </c>
      <c r="N344" s="111">
        <f t="shared" si="80"/>
        <v>0</v>
      </c>
      <c r="O344" s="111">
        <f t="shared" si="80"/>
        <v>2500.4</v>
      </c>
      <c r="P344" s="97">
        <f t="shared" si="78"/>
        <v>0</v>
      </c>
      <c r="Q344" s="97">
        <f t="shared" si="79"/>
        <v>0</v>
      </c>
    </row>
    <row r="345" spans="1:17" ht="31.5" x14ac:dyDescent="0.2">
      <c r="A345" s="40"/>
      <c r="B345" s="113" t="s">
        <v>575</v>
      </c>
      <c r="C345" s="113">
        <v>992</v>
      </c>
      <c r="D345" s="133" t="s">
        <v>355</v>
      </c>
      <c r="E345" s="136" t="s">
        <v>574</v>
      </c>
      <c r="F345" s="134"/>
      <c r="G345" s="111"/>
      <c r="H345" s="111"/>
      <c r="I345" s="111">
        <f>SUM(H345)</f>
        <v>0</v>
      </c>
      <c r="J345" s="115">
        <v>4251.8</v>
      </c>
      <c r="K345" s="111"/>
      <c r="L345" s="121">
        <f>SUM(J345)</f>
        <v>4251.8</v>
      </c>
      <c r="M345" s="111">
        <f>SUM(J345)</f>
        <v>4251.8</v>
      </c>
      <c r="N345" s="111">
        <f t="shared" si="80"/>
        <v>0</v>
      </c>
      <c r="O345" s="111">
        <f t="shared" si="80"/>
        <v>4251.8</v>
      </c>
      <c r="P345" s="97">
        <f t="shared" si="78"/>
        <v>0</v>
      </c>
      <c r="Q345" s="97">
        <f t="shared" si="79"/>
        <v>0</v>
      </c>
    </row>
    <row r="346" spans="1:17" ht="31.5" x14ac:dyDescent="0.2">
      <c r="A346" s="40"/>
      <c r="B346" s="113" t="s">
        <v>40</v>
      </c>
      <c r="C346" s="113">
        <v>992</v>
      </c>
      <c r="D346" s="133" t="s">
        <v>355</v>
      </c>
      <c r="E346" s="136" t="s">
        <v>574</v>
      </c>
      <c r="F346" s="134">
        <v>200</v>
      </c>
      <c r="G346" s="111"/>
      <c r="H346" s="111"/>
      <c r="I346" s="111">
        <f>SUM(H346)</f>
        <v>0</v>
      </c>
      <c r="J346" s="115">
        <v>4251.8</v>
      </c>
      <c r="K346" s="111"/>
      <c r="L346" s="121">
        <f>SUM(J346)</f>
        <v>4251.8</v>
      </c>
      <c r="M346" s="111">
        <f>SUM(J346)</f>
        <v>4251.8</v>
      </c>
      <c r="N346" s="111">
        <f t="shared" si="80"/>
        <v>0</v>
      </c>
      <c r="O346" s="111">
        <f t="shared" si="80"/>
        <v>4251.8</v>
      </c>
      <c r="P346" s="97">
        <f t="shared" si="78"/>
        <v>0</v>
      </c>
      <c r="Q346" s="97">
        <f t="shared" si="79"/>
        <v>0</v>
      </c>
    </row>
    <row r="347" spans="1:17" ht="126" customHeight="1" x14ac:dyDescent="0.2">
      <c r="A347" s="40"/>
      <c r="B347" s="135" t="s">
        <v>598</v>
      </c>
      <c r="C347" s="113">
        <v>992</v>
      </c>
      <c r="D347" s="136" t="s">
        <v>355</v>
      </c>
      <c r="E347" s="133" t="s">
        <v>550</v>
      </c>
      <c r="F347" s="134"/>
      <c r="G347" s="111">
        <f>SUM(G348)</f>
        <v>66.400000000000006</v>
      </c>
      <c r="H347" s="111">
        <f>SUM(H348)</f>
        <v>0</v>
      </c>
      <c r="I347" s="111">
        <f>SUM(G347)</f>
        <v>66.400000000000006</v>
      </c>
      <c r="J347" s="115">
        <f>SUM(J348)</f>
        <v>1260</v>
      </c>
      <c r="K347" s="111">
        <f>SUM(K348)</f>
        <v>0</v>
      </c>
      <c r="L347" s="111">
        <f>SUM(L348)</f>
        <v>1260</v>
      </c>
      <c r="M347" s="111">
        <f t="shared" ref="M347:O348" si="81">SUM(G347+J347)</f>
        <v>1326.4</v>
      </c>
      <c r="N347" s="111">
        <f t="shared" si="81"/>
        <v>0</v>
      </c>
      <c r="O347" s="111">
        <f t="shared" si="81"/>
        <v>1326.4</v>
      </c>
      <c r="P347" s="97">
        <f t="shared" si="78"/>
        <v>66.400000000000006</v>
      </c>
      <c r="Q347" s="97">
        <f t="shared" si="79"/>
        <v>0</v>
      </c>
    </row>
    <row r="348" spans="1:17" ht="31.5" x14ac:dyDescent="0.2">
      <c r="A348" s="40"/>
      <c r="B348" s="113" t="s">
        <v>40</v>
      </c>
      <c r="C348" s="113">
        <v>992</v>
      </c>
      <c r="D348" s="133" t="s">
        <v>355</v>
      </c>
      <c r="E348" s="133" t="s">
        <v>550</v>
      </c>
      <c r="F348" s="134">
        <v>200</v>
      </c>
      <c r="G348" s="111">
        <v>66.400000000000006</v>
      </c>
      <c r="H348" s="111">
        <f>SUM(H351)</f>
        <v>0</v>
      </c>
      <c r="I348" s="111">
        <f>SUM(G348)</f>
        <v>66.400000000000006</v>
      </c>
      <c r="J348" s="115">
        <v>1260</v>
      </c>
      <c r="K348" s="111"/>
      <c r="L348" s="115">
        <f>SUM(J348)</f>
        <v>1260</v>
      </c>
      <c r="M348" s="111">
        <f t="shared" si="81"/>
        <v>1326.4</v>
      </c>
      <c r="N348" s="111">
        <f t="shared" si="81"/>
        <v>0</v>
      </c>
      <c r="O348" s="111">
        <f t="shared" si="81"/>
        <v>1326.4</v>
      </c>
      <c r="P348" s="97">
        <f t="shared" si="78"/>
        <v>66.400000000000006</v>
      </c>
      <c r="Q348" s="97">
        <f t="shared" si="79"/>
        <v>0</v>
      </c>
    </row>
    <row r="349" spans="1:17" ht="15.75" x14ac:dyDescent="0.2">
      <c r="A349" s="40"/>
      <c r="B349" s="140" t="s">
        <v>247</v>
      </c>
      <c r="C349" s="113">
        <v>992</v>
      </c>
      <c r="D349" s="133" t="s">
        <v>355</v>
      </c>
      <c r="E349" s="136" t="s">
        <v>248</v>
      </c>
      <c r="F349" s="134"/>
      <c r="G349" s="111">
        <f>SUM(G352)</f>
        <v>3350</v>
      </c>
      <c r="H349" s="111">
        <f>SUM(H350)</f>
        <v>0</v>
      </c>
      <c r="I349" s="111">
        <f>SUM(I352)</f>
        <v>3350</v>
      </c>
      <c r="J349" s="115"/>
      <c r="K349" s="111"/>
      <c r="L349" s="115"/>
      <c r="M349" s="111">
        <f t="shared" ref="M349:O350" si="82">SUM(G349)</f>
        <v>3350</v>
      </c>
      <c r="N349" s="111">
        <f t="shared" si="82"/>
        <v>0</v>
      </c>
      <c r="O349" s="111">
        <f t="shared" si="82"/>
        <v>3350</v>
      </c>
      <c r="P349" s="97">
        <f t="shared" si="78"/>
        <v>3350</v>
      </c>
      <c r="Q349" s="97">
        <f t="shared" si="79"/>
        <v>0</v>
      </c>
    </row>
    <row r="350" spans="1:17" ht="63" x14ac:dyDescent="0.2">
      <c r="A350" s="40"/>
      <c r="B350" s="140" t="s">
        <v>569</v>
      </c>
      <c r="C350" s="113">
        <v>992</v>
      </c>
      <c r="D350" s="133" t="s">
        <v>355</v>
      </c>
      <c r="E350" s="136" t="s">
        <v>567</v>
      </c>
      <c r="F350" s="134"/>
      <c r="G350" s="111">
        <f>SUM(G352)</f>
        <v>3350</v>
      </c>
      <c r="H350" s="111">
        <f>SUM(H352)</f>
        <v>0</v>
      </c>
      <c r="I350" s="111">
        <f>SUM(I352)</f>
        <v>3350</v>
      </c>
      <c r="J350" s="115"/>
      <c r="K350" s="111"/>
      <c r="L350" s="115"/>
      <c r="M350" s="111">
        <f t="shared" si="82"/>
        <v>3350</v>
      </c>
      <c r="N350" s="111">
        <f t="shared" si="82"/>
        <v>0</v>
      </c>
      <c r="O350" s="111">
        <f t="shared" si="82"/>
        <v>3350</v>
      </c>
      <c r="P350" s="97">
        <f t="shared" si="78"/>
        <v>3350</v>
      </c>
      <c r="Q350" s="97">
        <f t="shared" si="79"/>
        <v>0</v>
      </c>
    </row>
    <row r="351" spans="1:17" ht="0.75" customHeight="1" x14ac:dyDescent="0.2">
      <c r="A351" s="40"/>
      <c r="B351" s="140"/>
      <c r="C351" s="113"/>
      <c r="D351" s="133"/>
      <c r="E351" s="136"/>
      <c r="F351" s="134"/>
      <c r="G351" s="111"/>
      <c r="H351" s="111"/>
      <c r="I351" s="111"/>
      <c r="J351" s="115"/>
      <c r="K351" s="111"/>
      <c r="L351" s="115"/>
      <c r="M351" s="111"/>
      <c r="N351" s="111"/>
      <c r="O351" s="111"/>
      <c r="P351" s="97">
        <f t="shared" si="78"/>
        <v>0</v>
      </c>
      <c r="Q351" s="97">
        <f t="shared" si="79"/>
        <v>0</v>
      </c>
    </row>
    <row r="352" spans="1:17" ht="47.25" x14ac:dyDescent="0.2">
      <c r="A352" s="40"/>
      <c r="B352" s="96" t="s">
        <v>570</v>
      </c>
      <c r="C352" s="113">
        <v>992</v>
      </c>
      <c r="D352" s="133" t="s">
        <v>355</v>
      </c>
      <c r="E352" s="136" t="s">
        <v>568</v>
      </c>
      <c r="F352" s="134"/>
      <c r="G352" s="111">
        <f>SUM(G353)</f>
        <v>3350</v>
      </c>
      <c r="H352" s="111">
        <f>SUM(H353)</f>
        <v>0</v>
      </c>
      <c r="I352" s="111">
        <f>SUM(G352)+H352</f>
        <v>3350</v>
      </c>
      <c r="J352" s="115"/>
      <c r="K352" s="111"/>
      <c r="L352" s="115"/>
      <c r="M352" s="111">
        <f t="shared" ref="M352:O353" si="83">SUM(G352)</f>
        <v>3350</v>
      </c>
      <c r="N352" s="111">
        <f t="shared" si="83"/>
        <v>0</v>
      </c>
      <c r="O352" s="111">
        <f t="shared" si="83"/>
        <v>3350</v>
      </c>
      <c r="P352" s="97">
        <f t="shared" si="78"/>
        <v>3350</v>
      </c>
      <c r="Q352" s="97">
        <f t="shared" si="79"/>
        <v>0</v>
      </c>
    </row>
    <row r="353" spans="1:17" ht="27" customHeight="1" x14ac:dyDescent="0.2">
      <c r="A353" s="40"/>
      <c r="B353" s="113" t="s">
        <v>70</v>
      </c>
      <c r="C353" s="113">
        <v>992</v>
      </c>
      <c r="D353" s="133" t="s">
        <v>355</v>
      </c>
      <c r="E353" s="136" t="s">
        <v>568</v>
      </c>
      <c r="F353" s="134">
        <v>800</v>
      </c>
      <c r="G353" s="111">
        <v>3350</v>
      </c>
      <c r="H353" s="111"/>
      <c r="I353" s="111">
        <f>SUM(G353)+H353</f>
        <v>3350</v>
      </c>
      <c r="J353" s="115"/>
      <c r="K353" s="111"/>
      <c r="L353" s="115"/>
      <c r="M353" s="111">
        <f t="shared" si="83"/>
        <v>3350</v>
      </c>
      <c r="N353" s="111">
        <f t="shared" si="83"/>
        <v>0</v>
      </c>
      <c r="O353" s="111">
        <f t="shared" si="83"/>
        <v>3350</v>
      </c>
      <c r="P353" s="97">
        <f t="shared" si="78"/>
        <v>3350</v>
      </c>
      <c r="Q353" s="97">
        <f t="shared" si="79"/>
        <v>0</v>
      </c>
    </row>
    <row r="354" spans="1:17" ht="27" customHeight="1" x14ac:dyDescent="0.2">
      <c r="A354" s="40"/>
      <c r="B354" s="118" t="s">
        <v>218</v>
      </c>
      <c r="C354" s="118" t="s">
        <v>51</v>
      </c>
      <c r="D354" s="136" t="s">
        <v>355</v>
      </c>
      <c r="E354" s="136" t="s">
        <v>219</v>
      </c>
      <c r="F354" s="141"/>
      <c r="G354" s="114">
        <f>G355</f>
        <v>3623</v>
      </c>
      <c r="H354" s="114">
        <f t="shared" ref="H354:O354" si="84">H355</f>
        <v>0</v>
      </c>
      <c r="I354" s="114">
        <f t="shared" si="84"/>
        <v>3623</v>
      </c>
      <c r="J354" s="114">
        <f t="shared" si="84"/>
        <v>3300</v>
      </c>
      <c r="K354" s="114">
        <f t="shared" si="84"/>
        <v>0</v>
      </c>
      <c r="L354" s="114">
        <f t="shared" si="84"/>
        <v>3300</v>
      </c>
      <c r="M354" s="114">
        <f t="shared" si="84"/>
        <v>6923</v>
      </c>
      <c r="N354" s="114">
        <f t="shared" si="84"/>
        <v>0</v>
      </c>
      <c r="O354" s="114">
        <f t="shared" si="84"/>
        <v>6923</v>
      </c>
      <c r="P354" s="97">
        <f t="shared" si="78"/>
        <v>3623</v>
      </c>
      <c r="Q354" s="97">
        <f t="shared" si="79"/>
        <v>0</v>
      </c>
    </row>
    <row r="355" spans="1:17" ht="15.75" x14ac:dyDescent="0.2">
      <c r="A355" s="40"/>
      <c r="B355" s="135" t="s">
        <v>374</v>
      </c>
      <c r="C355" s="113">
        <v>992</v>
      </c>
      <c r="D355" s="133" t="s">
        <v>355</v>
      </c>
      <c r="E355" s="136" t="s">
        <v>375</v>
      </c>
      <c r="F355" s="134"/>
      <c r="G355" s="111">
        <f t="shared" ref="G355:O357" si="85">G356</f>
        <v>3623</v>
      </c>
      <c r="H355" s="111">
        <f t="shared" si="85"/>
        <v>0</v>
      </c>
      <c r="I355" s="111">
        <f t="shared" si="85"/>
        <v>3623</v>
      </c>
      <c r="J355" s="115">
        <f t="shared" si="85"/>
        <v>3300</v>
      </c>
      <c r="K355" s="111">
        <f t="shared" si="85"/>
        <v>0</v>
      </c>
      <c r="L355" s="115">
        <f t="shared" si="85"/>
        <v>3300</v>
      </c>
      <c r="M355" s="111">
        <f t="shared" si="85"/>
        <v>6923</v>
      </c>
      <c r="N355" s="111">
        <f t="shared" si="85"/>
        <v>0</v>
      </c>
      <c r="O355" s="111">
        <f t="shared" si="85"/>
        <v>6923</v>
      </c>
      <c r="P355" s="97">
        <f t="shared" si="78"/>
        <v>3623</v>
      </c>
      <c r="Q355" s="97">
        <f t="shared" si="79"/>
        <v>0</v>
      </c>
    </row>
    <row r="356" spans="1:17" ht="31.5" x14ac:dyDescent="0.2">
      <c r="A356" s="40"/>
      <c r="B356" s="135" t="s">
        <v>376</v>
      </c>
      <c r="C356" s="113">
        <v>992</v>
      </c>
      <c r="D356" s="133" t="s">
        <v>355</v>
      </c>
      <c r="E356" s="136" t="s">
        <v>377</v>
      </c>
      <c r="F356" s="134"/>
      <c r="G356" s="111">
        <f t="shared" ref="G356:M356" si="86">G357+G359</f>
        <v>3623</v>
      </c>
      <c r="H356" s="111">
        <f t="shared" si="86"/>
        <v>0</v>
      </c>
      <c r="I356" s="111">
        <f t="shared" si="86"/>
        <v>3623</v>
      </c>
      <c r="J356" s="115">
        <f t="shared" si="86"/>
        <v>3300</v>
      </c>
      <c r="K356" s="111">
        <f t="shared" si="86"/>
        <v>0</v>
      </c>
      <c r="L356" s="115">
        <f t="shared" si="86"/>
        <v>3300</v>
      </c>
      <c r="M356" s="111">
        <f t="shared" si="86"/>
        <v>6923</v>
      </c>
      <c r="N356" s="111">
        <f>SUM(H356)+K356</f>
        <v>0</v>
      </c>
      <c r="O356" s="111">
        <f>O357+O359</f>
        <v>6923</v>
      </c>
      <c r="P356" s="97">
        <f t="shared" si="78"/>
        <v>3623</v>
      </c>
      <c r="Q356" s="97">
        <f t="shared" si="79"/>
        <v>0</v>
      </c>
    </row>
    <row r="357" spans="1:17" ht="15.75" x14ac:dyDescent="0.2">
      <c r="A357" s="40"/>
      <c r="B357" s="135" t="s">
        <v>378</v>
      </c>
      <c r="C357" s="113">
        <v>992</v>
      </c>
      <c r="D357" s="133" t="s">
        <v>355</v>
      </c>
      <c r="E357" s="136" t="s">
        <v>379</v>
      </c>
      <c r="F357" s="134"/>
      <c r="G357" s="111">
        <f t="shared" si="85"/>
        <v>2059</v>
      </c>
      <c r="H357" s="111">
        <f t="shared" si="85"/>
        <v>0</v>
      </c>
      <c r="I357" s="111">
        <f t="shared" si="85"/>
        <v>2059</v>
      </c>
      <c r="J357" s="115">
        <f t="shared" si="85"/>
        <v>0</v>
      </c>
      <c r="K357" s="111"/>
      <c r="L357" s="115">
        <f t="shared" si="85"/>
        <v>0</v>
      </c>
      <c r="M357" s="111">
        <f t="shared" si="85"/>
        <v>2059</v>
      </c>
      <c r="N357" s="111">
        <f t="shared" si="85"/>
        <v>0</v>
      </c>
      <c r="O357" s="111">
        <f t="shared" si="85"/>
        <v>2059</v>
      </c>
      <c r="P357" s="97">
        <f t="shared" si="78"/>
        <v>2059</v>
      </c>
      <c r="Q357" s="97">
        <f t="shared" si="79"/>
        <v>0</v>
      </c>
    </row>
    <row r="358" spans="1:17" ht="31.5" x14ac:dyDescent="0.2">
      <c r="A358" s="40"/>
      <c r="B358" s="113" t="s">
        <v>40</v>
      </c>
      <c r="C358" s="113">
        <v>992</v>
      </c>
      <c r="D358" s="133" t="s">
        <v>355</v>
      </c>
      <c r="E358" s="136" t="s">
        <v>379</v>
      </c>
      <c r="F358" s="134">
        <v>200</v>
      </c>
      <c r="G358" s="111">
        <v>2059</v>
      </c>
      <c r="H358" s="111"/>
      <c r="I358" s="111">
        <f>SUM(G358)+H358</f>
        <v>2059</v>
      </c>
      <c r="J358" s="115">
        <v>0</v>
      </c>
      <c r="K358" s="111"/>
      <c r="L358" s="115">
        <f>SUM(K358)</f>
        <v>0</v>
      </c>
      <c r="M358" s="111">
        <f>SUM(G358)</f>
        <v>2059</v>
      </c>
      <c r="N358" s="111">
        <f>SUM(H358)+K358</f>
        <v>0</v>
      </c>
      <c r="O358" s="111">
        <f>SUM(I358)+L358</f>
        <v>2059</v>
      </c>
      <c r="P358" s="97">
        <f t="shared" si="78"/>
        <v>2059</v>
      </c>
      <c r="Q358" s="97">
        <f t="shared" si="79"/>
        <v>0</v>
      </c>
    </row>
    <row r="359" spans="1:17" ht="47.25" x14ac:dyDescent="0.2">
      <c r="A359" s="40"/>
      <c r="B359" s="113" t="s">
        <v>372</v>
      </c>
      <c r="C359" s="113">
        <v>992</v>
      </c>
      <c r="D359" s="133" t="s">
        <v>355</v>
      </c>
      <c r="E359" s="136" t="s">
        <v>549</v>
      </c>
      <c r="F359" s="134"/>
      <c r="G359" s="111">
        <f>SUM(G360)</f>
        <v>1564</v>
      </c>
      <c r="H359" s="111">
        <f>SUM(H360)</f>
        <v>0</v>
      </c>
      <c r="I359" s="111">
        <f>SUM(G359)+H359</f>
        <v>1564</v>
      </c>
      <c r="J359" s="115">
        <f>SUM(J360)</f>
        <v>3300</v>
      </c>
      <c r="K359" s="111"/>
      <c r="L359" s="115">
        <v>3300</v>
      </c>
      <c r="M359" s="111">
        <f t="shared" ref="M359:O360" si="87">SUM(G359+J359)</f>
        <v>4864</v>
      </c>
      <c r="N359" s="111">
        <f t="shared" si="87"/>
        <v>0</v>
      </c>
      <c r="O359" s="111">
        <f t="shared" si="87"/>
        <v>4864</v>
      </c>
      <c r="P359" s="97">
        <f t="shared" si="78"/>
        <v>1564</v>
      </c>
      <c r="Q359" s="97">
        <f t="shared" si="79"/>
        <v>0</v>
      </c>
    </row>
    <row r="360" spans="1:17" ht="31.5" x14ac:dyDescent="0.2">
      <c r="A360" s="40"/>
      <c r="B360" s="113" t="s">
        <v>40</v>
      </c>
      <c r="C360" s="113">
        <v>992</v>
      </c>
      <c r="D360" s="133" t="s">
        <v>355</v>
      </c>
      <c r="E360" s="136" t="s">
        <v>549</v>
      </c>
      <c r="F360" s="134">
        <v>200</v>
      </c>
      <c r="G360" s="111">
        <v>1564</v>
      </c>
      <c r="H360" s="111"/>
      <c r="I360" s="111">
        <f>SUM(G360)+H360</f>
        <v>1564</v>
      </c>
      <c r="J360" s="115">
        <v>3300</v>
      </c>
      <c r="K360" s="111"/>
      <c r="L360" s="115">
        <v>3300</v>
      </c>
      <c r="M360" s="111">
        <f t="shared" si="87"/>
        <v>4864</v>
      </c>
      <c r="N360" s="111">
        <f t="shared" si="87"/>
        <v>0</v>
      </c>
      <c r="O360" s="111">
        <f t="shared" si="87"/>
        <v>4864</v>
      </c>
      <c r="P360" s="97">
        <f t="shared" si="78"/>
        <v>1564</v>
      </c>
      <c r="Q360" s="97">
        <f t="shared" si="79"/>
        <v>0</v>
      </c>
    </row>
    <row r="361" spans="1:17" ht="47.25" x14ac:dyDescent="0.2">
      <c r="A361" s="40"/>
      <c r="B361" s="113" t="s">
        <v>105</v>
      </c>
      <c r="C361" s="113" t="s">
        <v>51</v>
      </c>
      <c r="D361" s="133" t="s">
        <v>355</v>
      </c>
      <c r="E361" s="133" t="s">
        <v>106</v>
      </c>
      <c r="F361" s="134" t="s">
        <v>11</v>
      </c>
      <c r="G361" s="111">
        <f>G362</f>
        <v>300</v>
      </c>
      <c r="H361" s="111"/>
      <c r="I361" s="111">
        <f>I362</f>
        <v>300</v>
      </c>
      <c r="J361" s="114">
        <f t="shared" ref="G361:O364" si="88">J362</f>
        <v>600</v>
      </c>
      <c r="K361" s="111">
        <f>K362</f>
        <v>0</v>
      </c>
      <c r="L361" s="114">
        <f t="shared" si="88"/>
        <v>600</v>
      </c>
      <c r="M361" s="111">
        <f t="shared" si="88"/>
        <v>900</v>
      </c>
      <c r="N361" s="111">
        <f>SUM(K361)</f>
        <v>0</v>
      </c>
      <c r="O361" s="111">
        <f t="shared" si="88"/>
        <v>900</v>
      </c>
      <c r="P361" s="97">
        <f t="shared" si="78"/>
        <v>300</v>
      </c>
      <c r="Q361" s="97">
        <f t="shared" si="79"/>
        <v>0</v>
      </c>
    </row>
    <row r="362" spans="1:17" ht="31.5" x14ac:dyDescent="0.2">
      <c r="A362" s="40"/>
      <c r="B362" s="113" t="s">
        <v>107</v>
      </c>
      <c r="C362" s="113" t="s">
        <v>51</v>
      </c>
      <c r="D362" s="133" t="s">
        <v>355</v>
      </c>
      <c r="E362" s="133" t="s">
        <v>108</v>
      </c>
      <c r="F362" s="134" t="s">
        <v>11</v>
      </c>
      <c r="G362" s="111">
        <f t="shared" si="88"/>
        <v>300</v>
      </c>
      <c r="H362" s="111">
        <f t="shared" si="88"/>
        <v>0</v>
      </c>
      <c r="I362" s="111">
        <f t="shared" si="88"/>
        <v>300</v>
      </c>
      <c r="J362" s="114">
        <f t="shared" si="88"/>
        <v>600</v>
      </c>
      <c r="K362" s="111">
        <f>K363</f>
        <v>0</v>
      </c>
      <c r="L362" s="114">
        <f t="shared" si="88"/>
        <v>600</v>
      </c>
      <c r="M362" s="111">
        <f t="shared" si="88"/>
        <v>900</v>
      </c>
      <c r="N362" s="111">
        <f t="shared" si="88"/>
        <v>0</v>
      </c>
      <c r="O362" s="111">
        <f>N362+M362</f>
        <v>900</v>
      </c>
      <c r="P362" s="97">
        <f t="shared" si="78"/>
        <v>300</v>
      </c>
      <c r="Q362" s="97">
        <f t="shared" si="79"/>
        <v>0</v>
      </c>
    </row>
    <row r="363" spans="1:17" ht="31.5" x14ac:dyDescent="0.2">
      <c r="A363" s="40"/>
      <c r="B363" s="113" t="s">
        <v>109</v>
      </c>
      <c r="C363" s="113" t="s">
        <v>51</v>
      </c>
      <c r="D363" s="133" t="s">
        <v>355</v>
      </c>
      <c r="E363" s="133" t="s">
        <v>110</v>
      </c>
      <c r="F363" s="134" t="s">
        <v>11</v>
      </c>
      <c r="G363" s="111">
        <f t="shared" si="88"/>
        <v>300</v>
      </c>
      <c r="H363" s="111">
        <f t="shared" si="88"/>
        <v>0</v>
      </c>
      <c r="I363" s="111">
        <f t="shared" si="88"/>
        <v>300</v>
      </c>
      <c r="J363" s="114">
        <f>J364+J366</f>
        <v>600</v>
      </c>
      <c r="K363" s="111">
        <f>K364+K366</f>
        <v>0</v>
      </c>
      <c r="L363" s="111">
        <f>L364+L366</f>
        <v>600</v>
      </c>
      <c r="M363" s="111">
        <f>M364+J363</f>
        <v>900</v>
      </c>
      <c r="N363" s="111">
        <f>SUM(K363)</f>
        <v>0</v>
      </c>
      <c r="O363" s="111">
        <f>O364+L363</f>
        <v>900</v>
      </c>
      <c r="P363" s="97">
        <f t="shared" si="78"/>
        <v>300</v>
      </c>
      <c r="Q363" s="97">
        <f t="shared" si="79"/>
        <v>0</v>
      </c>
    </row>
    <row r="364" spans="1:17" ht="31.5" x14ac:dyDescent="0.2">
      <c r="A364" s="40"/>
      <c r="B364" s="113" t="s">
        <v>114</v>
      </c>
      <c r="C364" s="113" t="s">
        <v>51</v>
      </c>
      <c r="D364" s="133" t="s">
        <v>355</v>
      </c>
      <c r="E364" s="133" t="s">
        <v>115</v>
      </c>
      <c r="F364" s="134" t="s">
        <v>11</v>
      </c>
      <c r="G364" s="111">
        <f>G365</f>
        <v>300</v>
      </c>
      <c r="H364" s="111"/>
      <c r="I364" s="111">
        <f>I365</f>
        <v>300</v>
      </c>
      <c r="J364" s="114">
        <f t="shared" si="88"/>
        <v>0</v>
      </c>
      <c r="K364" s="111"/>
      <c r="L364" s="114">
        <f t="shared" si="88"/>
        <v>0</v>
      </c>
      <c r="M364" s="111">
        <f t="shared" si="88"/>
        <v>300</v>
      </c>
      <c r="N364" s="111">
        <f t="shared" si="88"/>
        <v>0</v>
      </c>
      <c r="O364" s="111">
        <f t="shared" si="88"/>
        <v>300</v>
      </c>
      <c r="P364" s="97">
        <f t="shared" si="78"/>
        <v>300</v>
      </c>
      <c r="Q364" s="97">
        <f t="shared" si="79"/>
        <v>0</v>
      </c>
    </row>
    <row r="365" spans="1:17" ht="31.5" x14ac:dyDescent="0.2">
      <c r="A365" s="40"/>
      <c r="B365" s="113" t="s">
        <v>40</v>
      </c>
      <c r="C365" s="113" t="s">
        <v>51</v>
      </c>
      <c r="D365" s="133" t="s">
        <v>355</v>
      </c>
      <c r="E365" s="133" t="s">
        <v>115</v>
      </c>
      <c r="F365" s="134" t="s">
        <v>41</v>
      </c>
      <c r="G365" s="111">
        <v>300</v>
      </c>
      <c r="H365" s="111"/>
      <c r="I365" s="111">
        <v>300</v>
      </c>
      <c r="J365" s="115">
        <v>0</v>
      </c>
      <c r="K365" s="111"/>
      <c r="L365" s="115">
        <v>0</v>
      </c>
      <c r="M365" s="111">
        <v>300</v>
      </c>
      <c r="N365" s="111"/>
      <c r="O365" s="111">
        <v>300</v>
      </c>
      <c r="P365" s="97">
        <f t="shared" si="78"/>
        <v>300</v>
      </c>
      <c r="Q365" s="97">
        <f t="shared" si="79"/>
        <v>0</v>
      </c>
    </row>
    <row r="366" spans="1:17" ht="47.25" x14ac:dyDescent="0.2">
      <c r="A366" s="40"/>
      <c r="B366" s="113" t="s">
        <v>566</v>
      </c>
      <c r="C366" s="113">
        <v>992</v>
      </c>
      <c r="D366" s="133" t="s">
        <v>355</v>
      </c>
      <c r="E366" s="133">
        <v>1010160390</v>
      </c>
      <c r="F366" s="134"/>
      <c r="G366" s="111"/>
      <c r="H366" s="111"/>
      <c r="I366" s="111"/>
      <c r="J366" s="115">
        <v>600</v>
      </c>
      <c r="K366" s="111">
        <f>SUM(K367)</f>
        <v>0</v>
      </c>
      <c r="L366" s="111">
        <f>SUM(L367)</f>
        <v>600</v>
      </c>
      <c r="M366" s="111">
        <f t="shared" ref="M366:O367" si="89">SUM(J366)</f>
        <v>600</v>
      </c>
      <c r="N366" s="111">
        <f t="shared" si="89"/>
        <v>0</v>
      </c>
      <c r="O366" s="111">
        <f t="shared" si="89"/>
        <v>600</v>
      </c>
      <c r="P366" s="97">
        <f t="shared" si="78"/>
        <v>0</v>
      </c>
      <c r="Q366" s="97">
        <f t="shared" si="79"/>
        <v>0</v>
      </c>
    </row>
    <row r="367" spans="1:17" ht="31.5" x14ac:dyDescent="0.2">
      <c r="A367" s="40"/>
      <c r="B367" s="113" t="s">
        <v>40</v>
      </c>
      <c r="C367" s="113">
        <v>992</v>
      </c>
      <c r="D367" s="133" t="s">
        <v>355</v>
      </c>
      <c r="E367" s="133">
        <v>1010160390</v>
      </c>
      <c r="F367" s="134">
        <v>200</v>
      </c>
      <c r="G367" s="111"/>
      <c r="H367" s="111"/>
      <c r="I367" s="111"/>
      <c r="J367" s="115">
        <v>600</v>
      </c>
      <c r="K367" s="111"/>
      <c r="L367" s="115">
        <f>SUM(J367)</f>
        <v>600</v>
      </c>
      <c r="M367" s="111">
        <f t="shared" si="89"/>
        <v>600</v>
      </c>
      <c r="N367" s="111">
        <f t="shared" si="89"/>
        <v>0</v>
      </c>
      <c r="O367" s="111">
        <f t="shared" si="89"/>
        <v>600</v>
      </c>
      <c r="P367" s="97">
        <f t="shared" si="78"/>
        <v>0</v>
      </c>
      <c r="Q367" s="97">
        <f t="shared" si="79"/>
        <v>0</v>
      </c>
    </row>
    <row r="368" spans="1:17" ht="63" x14ac:dyDescent="0.2">
      <c r="A368" s="40"/>
      <c r="B368" s="113" t="s">
        <v>380</v>
      </c>
      <c r="C368" s="113" t="s">
        <v>51</v>
      </c>
      <c r="D368" s="133" t="s">
        <v>355</v>
      </c>
      <c r="E368" s="133" t="s">
        <v>381</v>
      </c>
      <c r="F368" s="134" t="s">
        <v>11</v>
      </c>
      <c r="G368" s="111">
        <f t="shared" ref="G368:O368" si="90">G369</f>
        <v>1150.3</v>
      </c>
      <c r="H368" s="111">
        <f t="shared" si="90"/>
        <v>164.5</v>
      </c>
      <c r="I368" s="111">
        <f t="shared" si="90"/>
        <v>1314.8</v>
      </c>
      <c r="J368" s="114">
        <f t="shared" si="90"/>
        <v>0</v>
      </c>
      <c r="K368" s="111">
        <f t="shared" si="90"/>
        <v>0</v>
      </c>
      <c r="L368" s="114">
        <f t="shared" si="90"/>
        <v>0</v>
      </c>
      <c r="M368" s="111">
        <f t="shared" si="90"/>
        <v>1150.3</v>
      </c>
      <c r="N368" s="111">
        <f t="shared" si="90"/>
        <v>164.5</v>
      </c>
      <c r="O368" s="111">
        <f t="shared" si="90"/>
        <v>1314.8</v>
      </c>
      <c r="P368" s="97">
        <f t="shared" si="78"/>
        <v>1314.8</v>
      </c>
      <c r="Q368" s="97">
        <f t="shared" si="79"/>
        <v>0</v>
      </c>
    </row>
    <row r="369" spans="1:17" ht="47.25" x14ac:dyDescent="0.2">
      <c r="A369" s="40"/>
      <c r="B369" s="113" t="s">
        <v>382</v>
      </c>
      <c r="C369" s="113" t="s">
        <v>51</v>
      </c>
      <c r="D369" s="133" t="s">
        <v>355</v>
      </c>
      <c r="E369" s="133" t="s">
        <v>383</v>
      </c>
      <c r="F369" s="134" t="s">
        <v>11</v>
      </c>
      <c r="G369" s="111">
        <f>G370+G373</f>
        <v>1150.3</v>
      </c>
      <c r="H369" s="111">
        <f>H370+H373</f>
        <v>164.5</v>
      </c>
      <c r="I369" s="111">
        <f>I370+I373</f>
        <v>1314.8</v>
      </c>
      <c r="J369" s="114">
        <f>J370</f>
        <v>0</v>
      </c>
      <c r="K369" s="111">
        <f>K370</f>
        <v>0</v>
      </c>
      <c r="L369" s="114">
        <f>L370</f>
        <v>0</v>
      </c>
      <c r="M369" s="111">
        <f>M370+M373</f>
        <v>1150.3</v>
      </c>
      <c r="N369" s="111">
        <f>N370+N373</f>
        <v>164.5</v>
      </c>
      <c r="O369" s="111">
        <f>O370+O373</f>
        <v>1314.8</v>
      </c>
      <c r="P369" s="97">
        <f t="shared" si="78"/>
        <v>1314.8</v>
      </c>
      <c r="Q369" s="97">
        <f t="shared" si="79"/>
        <v>0</v>
      </c>
    </row>
    <row r="370" spans="1:17" ht="63" x14ac:dyDescent="0.2">
      <c r="A370" s="40"/>
      <c r="B370" s="113" t="s">
        <v>384</v>
      </c>
      <c r="C370" s="113" t="s">
        <v>51</v>
      </c>
      <c r="D370" s="133" t="s">
        <v>355</v>
      </c>
      <c r="E370" s="136" t="s">
        <v>545</v>
      </c>
      <c r="F370" s="134" t="s">
        <v>11</v>
      </c>
      <c r="G370" s="111">
        <f>G371+G372</f>
        <v>385.4</v>
      </c>
      <c r="H370" s="111">
        <f>H371+H372</f>
        <v>164.5</v>
      </c>
      <c r="I370" s="111">
        <f>I371+I372</f>
        <v>549.9</v>
      </c>
      <c r="J370" s="114">
        <f>J371</f>
        <v>0</v>
      </c>
      <c r="K370" s="111"/>
      <c r="L370" s="114">
        <f>L371</f>
        <v>0</v>
      </c>
      <c r="M370" s="111">
        <f>M371+M372</f>
        <v>385.4</v>
      </c>
      <c r="N370" s="111">
        <f>N371+N372</f>
        <v>164.5</v>
      </c>
      <c r="O370" s="111">
        <f>O371+O372</f>
        <v>549.9</v>
      </c>
      <c r="P370" s="97">
        <f t="shared" si="78"/>
        <v>549.9</v>
      </c>
      <c r="Q370" s="97">
        <f t="shared" si="79"/>
        <v>0</v>
      </c>
    </row>
    <row r="371" spans="1:17" ht="31.5" x14ac:dyDescent="0.2">
      <c r="A371" s="40"/>
      <c r="B371" s="113" t="s">
        <v>40</v>
      </c>
      <c r="C371" s="113" t="s">
        <v>51</v>
      </c>
      <c r="D371" s="133" t="s">
        <v>355</v>
      </c>
      <c r="E371" s="136" t="s">
        <v>545</v>
      </c>
      <c r="F371" s="134" t="s">
        <v>41</v>
      </c>
      <c r="G371" s="111">
        <v>185.4</v>
      </c>
      <c r="H371" s="117">
        <v>164.5</v>
      </c>
      <c r="I371" s="111">
        <f>SUM(G371:H371)</f>
        <v>349.9</v>
      </c>
      <c r="J371" s="115">
        <v>0</v>
      </c>
      <c r="K371" s="109"/>
      <c r="L371" s="115">
        <v>0</v>
      </c>
      <c r="M371" s="111">
        <f>SUM(G371)</f>
        <v>185.4</v>
      </c>
      <c r="N371" s="111">
        <f t="shared" ref="N371:O378" si="91">SUM(H371)</f>
        <v>164.5</v>
      </c>
      <c r="O371" s="111">
        <f>SUM(I371)</f>
        <v>349.9</v>
      </c>
      <c r="P371" s="97">
        <f t="shared" si="78"/>
        <v>349.9</v>
      </c>
      <c r="Q371" s="97">
        <f t="shared" si="79"/>
        <v>0</v>
      </c>
    </row>
    <row r="372" spans="1:17" ht="31.5" x14ac:dyDescent="0.2">
      <c r="A372" s="40"/>
      <c r="B372" s="113" t="s">
        <v>112</v>
      </c>
      <c r="C372" s="113">
        <v>992</v>
      </c>
      <c r="D372" s="133" t="s">
        <v>355</v>
      </c>
      <c r="E372" s="136" t="s">
        <v>545</v>
      </c>
      <c r="F372" s="134">
        <v>300</v>
      </c>
      <c r="G372" s="111">
        <v>200</v>
      </c>
      <c r="H372" s="117"/>
      <c r="I372" s="111">
        <f>SUM(G372)</f>
        <v>200</v>
      </c>
      <c r="J372" s="115"/>
      <c r="K372" s="109"/>
      <c r="L372" s="115"/>
      <c r="M372" s="111">
        <f>SUM(G372)</f>
        <v>200</v>
      </c>
      <c r="N372" s="111">
        <f>SUM(H372)</f>
        <v>0</v>
      </c>
      <c r="O372" s="111">
        <f>SUM(I372)</f>
        <v>200</v>
      </c>
      <c r="P372" s="97">
        <f t="shared" si="78"/>
        <v>200</v>
      </c>
      <c r="Q372" s="97">
        <f t="shared" si="79"/>
        <v>0</v>
      </c>
    </row>
    <row r="373" spans="1:17" ht="31.5" x14ac:dyDescent="0.2">
      <c r="A373" s="40"/>
      <c r="B373" s="113" t="s">
        <v>385</v>
      </c>
      <c r="C373" s="113">
        <v>992</v>
      </c>
      <c r="D373" s="133" t="s">
        <v>355</v>
      </c>
      <c r="E373" s="133">
        <v>1400124240</v>
      </c>
      <c r="F373" s="134"/>
      <c r="G373" s="111">
        <v>764.9</v>
      </c>
      <c r="H373" s="117"/>
      <c r="I373" s="111">
        <f>SUM(G373)+H373</f>
        <v>764.9</v>
      </c>
      <c r="J373" s="115"/>
      <c r="K373" s="109"/>
      <c r="L373" s="115"/>
      <c r="M373" s="111">
        <f>SUM(G373)</f>
        <v>764.9</v>
      </c>
      <c r="N373" s="111">
        <f t="shared" si="91"/>
        <v>0</v>
      </c>
      <c r="O373" s="111">
        <f t="shared" si="91"/>
        <v>764.9</v>
      </c>
      <c r="P373" s="97">
        <f t="shared" si="78"/>
        <v>764.9</v>
      </c>
      <c r="Q373" s="97">
        <f t="shared" si="79"/>
        <v>0</v>
      </c>
    </row>
    <row r="374" spans="1:17" ht="31.5" x14ac:dyDescent="0.2">
      <c r="A374" s="40"/>
      <c r="B374" s="113" t="s">
        <v>40</v>
      </c>
      <c r="C374" s="113">
        <v>992</v>
      </c>
      <c r="D374" s="133" t="s">
        <v>355</v>
      </c>
      <c r="E374" s="133">
        <v>1400124240</v>
      </c>
      <c r="F374" s="134">
        <v>200</v>
      </c>
      <c r="G374" s="111">
        <v>764.9</v>
      </c>
      <c r="H374" s="117"/>
      <c r="I374" s="111">
        <f>SUM(G374)+H374</f>
        <v>764.9</v>
      </c>
      <c r="J374" s="115"/>
      <c r="K374" s="109"/>
      <c r="L374" s="115"/>
      <c r="M374" s="111">
        <f>SUM(G374)</f>
        <v>764.9</v>
      </c>
      <c r="N374" s="111">
        <f t="shared" si="91"/>
        <v>0</v>
      </c>
      <c r="O374" s="163">
        <f t="shared" si="91"/>
        <v>764.9</v>
      </c>
      <c r="P374" s="97">
        <f t="shared" si="78"/>
        <v>764.9</v>
      </c>
      <c r="Q374" s="97">
        <f t="shared" si="79"/>
        <v>0</v>
      </c>
    </row>
    <row r="375" spans="1:17" ht="31.5" x14ac:dyDescent="0.2">
      <c r="A375" s="40"/>
      <c r="B375" s="113" t="s">
        <v>66</v>
      </c>
      <c r="C375" s="113">
        <v>992</v>
      </c>
      <c r="D375" s="133" t="s">
        <v>355</v>
      </c>
      <c r="E375" s="133">
        <v>5200000000</v>
      </c>
      <c r="F375" s="134"/>
      <c r="G375" s="111">
        <v>2838.5</v>
      </c>
      <c r="H375" s="117">
        <f>SUM(H377)</f>
        <v>0</v>
      </c>
      <c r="I375" s="111">
        <f t="shared" ref="I375:I378" si="92">SUM(G375)</f>
        <v>2838.5</v>
      </c>
      <c r="J375" s="115"/>
      <c r="K375" s="109"/>
      <c r="L375" s="115"/>
      <c r="M375" s="111">
        <v>2838.5</v>
      </c>
      <c r="N375" s="111">
        <f t="shared" si="91"/>
        <v>0</v>
      </c>
      <c r="O375" s="111">
        <f t="shared" si="91"/>
        <v>2838.5</v>
      </c>
      <c r="P375" s="97">
        <f t="shared" si="78"/>
        <v>2838.5</v>
      </c>
      <c r="Q375" s="97">
        <f t="shared" si="79"/>
        <v>0</v>
      </c>
    </row>
    <row r="376" spans="1:17" ht="31.5" x14ac:dyDescent="0.2">
      <c r="A376" s="40"/>
      <c r="B376" s="113" t="s">
        <v>80</v>
      </c>
      <c r="C376" s="113">
        <v>992</v>
      </c>
      <c r="D376" s="133" t="s">
        <v>355</v>
      </c>
      <c r="E376" s="133">
        <v>5230000000</v>
      </c>
      <c r="F376" s="134"/>
      <c r="G376" s="111">
        <v>2838.5</v>
      </c>
      <c r="H376" s="117">
        <f>SUM(H378)</f>
        <v>0</v>
      </c>
      <c r="I376" s="111">
        <f t="shared" si="92"/>
        <v>2838.5</v>
      </c>
      <c r="J376" s="115"/>
      <c r="K376" s="109"/>
      <c r="L376" s="115"/>
      <c r="M376" s="111">
        <f>SUM(M378)</f>
        <v>2838.5</v>
      </c>
      <c r="N376" s="111">
        <f t="shared" si="91"/>
        <v>0</v>
      </c>
      <c r="O376" s="111">
        <f t="shared" si="91"/>
        <v>2838.5</v>
      </c>
      <c r="P376" s="97">
        <f t="shared" si="78"/>
        <v>2838.5</v>
      </c>
      <c r="Q376" s="97">
        <f t="shared" si="79"/>
        <v>0</v>
      </c>
    </row>
    <row r="377" spans="1:17" ht="31.5" x14ac:dyDescent="0.2">
      <c r="A377" s="40"/>
      <c r="B377" s="113" t="s">
        <v>82</v>
      </c>
      <c r="C377" s="113">
        <v>992</v>
      </c>
      <c r="D377" s="133" t="s">
        <v>355</v>
      </c>
      <c r="E377" s="133">
        <v>5230010490</v>
      </c>
      <c r="F377" s="134"/>
      <c r="G377" s="111">
        <v>2838.5</v>
      </c>
      <c r="H377" s="117">
        <f>SUM(H378)</f>
        <v>0</v>
      </c>
      <c r="I377" s="111">
        <f t="shared" si="92"/>
        <v>2838.5</v>
      </c>
      <c r="J377" s="115"/>
      <c r="K377" s="109"/>
      <c r="L377" s="115"/>
      <c r="M377" s="111">
        <f>SUM(G377)</f>
        <v>2838.5</v>
      </c>
      <c r="N377" s="111">
        <f t="shared" si="91"/>
        <v>0</v>
      </c>
      <c r="O377" s="111">
        <f t="shared" si="91"/>
        <v>2838.5</v>
      </c>
      <c r="P377" s="97">
        <f t="shared" si="78"/>
        <v>2838.5</v>
      </c>
      <c r="Q377" s="97">
        <f t="shared" si="79"/>
        <v>0</v>
      </c>
    </row>
    <row r="378" spans="1:17" ht="29.25" customHeight="1" x14ac:dyDescent="0.2">
      <c r="A378" s="40"/>
      <c r="B378" s="113" t="s">
        <v>40</v>
      </c>
      <c r="C378" s="113">
        <v>992</v>
      </c>
      <c r="D378" s="133" t="s">
        <v>355</v>
      </c>
      <c r="E378" s="133">
        <v>5230010490</v>
      </c>
      <c r="F378" s="134">
        <v>200</v>
      </c>
      <c r="G378" s="111">
        <v>2838.5</v>
      </c>
      <c r="H378" s="117"/>
      <c r="I378" s="111">
        <f t="shared" si="92"/>
        <v>2838.5</v>
      </c>
      <c r="J378" s="115"/>
      <c r="K378" s="109"/>
      <c r="L378" s="115"/>
      <c r="M378" s="111">
        <f>SUM(G378)</f>
        <v>2838.5</v>
      </c>
      <c r="N378" s="111">
        <f t="shared" si="91"/>
        <v>0</v>
      </c>
      <c r="O378" s="111">
        <f t="shared" si="91"/>
        <v>2838.5</v>
      </c>
      <c r="P378" s="97">
        <f t="shared" si="78"/>
        <v>2838.5</v>
      </c>
      <c r="Q378" s="97">
        <f t="shared" si="79"/>
        <v>0</v>
      </c>
    </row>
    <row r="379" spans="1:17" ht="31.5" hidden="1" x14ac:dyDescent="0.2">
      <c r="A379" s="40"/>
      <c r="B379" s="113" t="s">
        <v>40</v>
      </c>
      <c r="C379" s="113"/>
      <c r="D379" s="133"/>
      <c r="E379" s="133"/>
      <c r="F379" s="134"/>
      <c r="G379" s="111"/>
      <c r="H379" s="109"/>
      <c r="I379" s="111"/>
      <c r="J379" s="115"/>
      <c r="K379" s="109"/>
      <c r="L379" s="115"/>
      <c r="M379" s="111"/>
      <c r="N379" s="111"/>
      <c r="O379" s="111"/>
      <c r="P379" s="97">
        <f t="shared" si="78"/>
        <v>0</v>
      </c>
      <c r="Q379" s="97">
        <f t="shared" si="79"/>
        <v>0</v>
      </c>
    </row>
    <row r="380" spans="1:17" ht="31.5" x14ac:dyDescent="0.2">
      <c r="A380" s="33" t="s">
        <v>386</v>
      </c>
      <c r="B380" s="110" t="s">
        <v>387</v>
      </c>
      <c r="C380" s="110" t="s">
        <v>51</v>
      </c>
      <c r="D380" s="131" t="s">
        <v>388</v>
      </c>
      <c r="E380" s="131" t="s">
        <v>11</v>
      </c>
      <c r="F380" s="132" t="s">
        <v>11</v>
      </c>
      <c r="G380" s="109">
        <f t="shared" ref="G380:O381" si="93">G381</f>
        <v>107724.20000000001</v>
      </c>
      <c r="H380" s="111">
        <f t="shared" si="93"/>
        <v>0</v>
      </c>
      <c r="I380" s="109">
        <f t="shared" si="93"/>
        <v>107724.20000000001</v>
      </c>
      <c r="J380" s="112">
        <f t="shared" si="93"/>
        <v>0</v>
      </c>
      <c r="K380" s="111">
        <f t="shared" si="93"/>
        <v>0</v>
      </c>
      <c r="L380" s="112">
        <f t="shared" si="93"/>
        <v>0</v>
      </c>
      <c r="M380" s="109">
        <f t="shared" si="93"/>
        <v>107724.20000000001</v>
      </c>
      <c r="N380" s="109">
        <f t="shared" si="93"/>
        <v>0</v>
      </c>
      <c r="O380" s="109">
        <f t="shared" si="93"/>
        <v>107724.20000000001</v>
      </c>
      <c r="P380" s="97">
        <f t="shared" si="78"/>
        <v>107724.20000000001</v>
      </c>
      <c r="Q380" s="97">
        <f t="shared" si="79"/>
        <v>0</v>
      </c>
    </row>
    <row r="381" spans="1:17" ht="31.5" x14ac:dyDescent="0.2">
      <c r="A381" s="40"/>
      <c r="B381" s="113" t="s">
        <v>245</v>
      </c>
      <c r="C381" s="113" t="s">
        <v>51</v>
      </c>
      <c r="D381" s="133" t="s">
        <v>388</v>
      </c>
      <c r="E381" s="133" t="s">
        <v>246</v>
      </c>
      <c r="F381" s="134" t="s">
        <v>11</v>
      </c>
      <c r="G381" s="111">
        <f t="shared" si="93"/>
        <v>107724.20000000001</v>
      </c>
      <c r="H381" s="111">
        <f t="shared" si="93"/>
        <v>0</v>
      </c>
      <c r="I381" s="111">
        <f t="shared" si="93"/>
        <v>107724.20000000001</v>
      </c>
      <c r="J381" s="114">
        <f t="shared" si="93"/>
        <v>0</v>
      </c>
      <c r="K381" s="111">
        <f>K382+K385</f>
        <v>0</v>
      </c>
      <c r="L381" s="114">
        <f t="shared" si="93"/>
        <v>0</v>
      </c>
      <c r="M381" s="111">
        <f t="shared" si="93"/>
        <v>107724.20000000001</v>
      </c>
      <c r="N381" s="111">
        <f t="shared" si="93"/>
        <v>0</v>
      </c>
      <c r="O381" s="111">
        <f t="shared" si="93"/>
        <v>107724.20000000001</v>
      </c>
      <c r="P381" s="97">
        <f t="shared" si="78"/>
        <v>107724.20000000001</v>
      </c>
      <c r="Q381" s="97">
        <f t="shared" si="79"/>
        <v>0</v>
      </c>
    </row>
    <row r="382" spans="1:17" ht="15.75" x14ac:dyDescent="0.2">
      <c r="A382" s="40"/>
      <c r="B382" s="113" t="s">
        <v>247</v>
      </c>
      <c r="C382" s="113" t="s">
        <v>51</v>
      </c>
      <c r="D382" s="133" t="s">
        <v>388</v>
      </c>
      <c r="E382" s="133" t="s">
        <v>248</v>
      </c>
      <c r="F382" s="134" t="s">
        <v>11</v>
      </c>
      <c r="G382" s="111">
        <f>G383+G386</f>
        <v>107724.20000000001</v>
      </c>
      <c r="H382" s="111">
        <f>SUM(H386)+H383</f>
        <v>0</v>
      </c>
      <c r="I382" s="111">
        <f>I383+I386</f>
        <v>107724.20000000001</v>
      </c>
      <c r="J382" s="114">
        <f>J383+J386</f>
        <v>0</v>
      </c>
      <c r="K382" s="111">
        <f t="shared" ref="G382:O384" si="94">K383</f>
        <v>0</v>
      </c>
      <c r="L382" s="114">
        <f>L383+L386</f>
        <v>0</v>
      </c>
      <c r="M382" s="111">
        <f>M383+M386</f>
        <v>107724.20000000001</v>
      </c>
      <c r="N382" s="111">
        <f>N383+N386</f>
        <v>0</v>
      </c>
      <c r="O382" s="111">
        <f>O383+O386</f>
        <v>107724.20000000001</v>
      </c>
      <c r="P382" s="97">
        <f t="shared" si="78"/>
        <v>107724.20000000001</v>
      </c>
      <c r="Q382" s="97">
        <f t="shared" si="79"/>
        <v>0</v>
      </c>
    </row>
    <row r="383" spans="1:17" ht="31.5" x14ac:dyDescent="0.2">
      <c r="A383" s="40"/>
      <c r="B383" s="113" t="s">
        <v>389</v>
      </c>
      <c r="C383" s="113" t="s">
        <v>51</v>
      </c>
      <c r="D383" s="133" t="s">
        <v>388</v>
      </c>
      <c r="E383" s="133" t="s">
        <v>390</v>
      </c>
      <c r="F383" s="134" t="s">
        <v>11</v>
      </c>
      <c r="G383" s="111">
        <f t="shared" si="94"/>
        <v>8699.1</v>
      </c>
      <c r="H383" s="111">
        <f t="shared" si="94"/>
        <v>0</v>
      </c>
      <c r="I383" s="111">
        <f t="shared" si="94"/>
        <v>8699.1</v>
      </c>
      <c r="J383" s="114">
        <f t="shared" si="94"/>
        <v>0</v>
      </c>
      <c r="K383" s="111">
        <f t="shared" si="94"/>
        <v>0</v>
      </c>
      <c r="L383" s="114">
        <f t="shared" si="94"/>
        <v>0</v>
      </c>
      <c r="M383" s="111">
        <f t="shared" si="94"/>
        <v>8699.1</v>
      </c>
      <c r="N383" s="111">
        <f t="shared" si="94"/>
        <v>0</v>
      </c>
      <c r="O383" s="111">
        <f t="shared" si="94"/>
        <v>8699.1</v>
      </c>
      <c r="P383" s="97">
        <f t="shared" si="78"/>
        <v>8699.1</v>
      </c>
      <c r="Q383" s="97">
        <f t="shared" si="79"/>
        <v>0</v>
      </c>
    </row>
    <row r="384" spans="1:17" ht="31.5" x14ac:dyDescent="0.2">
      <c r="A384" s="40"/>
      <c r="B384" s="113" t="s">
        <v>134</v>
      </c>
      <c r="C384" s="113" t="s">
        <v>51</v>
      </c>
      <c r="D384" s="133" t="s">
        <v>388</v>
      </c>
      <c r="E384" s="133" t="s">
        <v>391</v>
      </c>
      <c r="F384" s="134" t="s">
        <v>11</v>
      </c>
      <c r="G384" s="111">
        <f t="shared" si="94"/>
        <v>8699.1</v>
      </c>
      <c r="H384" s="111"/>
      <c r="I384" s="111">
        <f t="shared" si="94"/>
        <v>8699.1</v>
      </c>
      <c r="J384" s="114">
        <f t="shared" si="94"/>
        <v>0</v>
      </c>
      <c r="K384" s="111"/>
      <c r="L384" s="114">
        <f t="shared" si="94"/>
        <v>0</v>
      </c>
      <c r="M384" s="111">
        <f t="shared" si="94"/>
        <v>8699.1</v>
      </c>
      <c r="N384" s="111">
        <f t="shared" si="94"/>
        <v>0</v>
      </c>
      <c r="O384" s="111">
        <f t="shared" si="94"/>
        <v>8699.1</v>
      </c>
      <c r="P384" s="97">
        <f t="shared" si="78"/>
        <v>8699.1</v>
      </c>
      <c r="Q384" s="97">
        <f t="shared" si="79"/>
        <v>0</v>
      </c>
    </row>
    <row r="385" spans="1:17" ht="33.6" customHeight="1" x14ac:dyDescent="0.2">
      <c r="A385" s="40"/>
      <c r="B385" s="113" t="s">
        <v>95</v>
      </c>
      <c r="C385" s="113" t="s">
        <v>51</v>
      </c>
      <c r="D385" s="133" t="s">
        <v>388</v>
      </c>
      <c r="E385" s="133" t="s">
        <v>391</v>
      </c>
      <c r="F385" s="134" t="s">
        <v>96</v>
      </c>
      <c r="G385" s="111">
        <v>8699.1</v>
      </c>
      <c r="H385" s="111"/>
      <c r="I385" s="111">
        <f>SUM(G385)</f>
        <v>8699.1</v>
      </c>
      <c r="J385" s="115">
        <v>0</v>
      </c>
      <c r="K385" s="111"/>
      <c r="L385" s="115">
        <v>0</v>
      </c>
      <c r="M385" s="111">
        <f>SUM(G385)</f>
        <v>8699.1</v>
      </c>
      <c r="N385" s="111">
        <f>SUM(H385)</f>
        <v>0</v>
      </c>
      <c r="O385" s="111">
        <f>SUM(I385)</f>
        <v>8699.1</v>
      </c>
      <c r="P385" s="97">
        <f t="shared" si="78"/>
        <v>8699.1</v>
      </c>
      <c r="Q385" s="97">
        <f t="shared" si="79"/>
        <v>0</v>
      </c>
    </row>
    <row r="386" spans="1:17" ht="47.25" x14ac:dyDescent="0.2">
      <c r="A386" s="40"/>
      <c r="B386" s="113" t="s">
        <v>249</v>
      </c>
      <c r="C386" s="113" t="s">
        <v>51</v>
      </c>
      <c r="D386" s="133" t="s">
        <v>388</v>
      </c>
      <c r="E386" s="133" t="s">
        <v>250</v>
      </c>
      <c r="F386" s="134" t="s">
        <v>11</v>
      </c>
      <c r="G386" s="111">
        <f>G387+G389+G391</f>
        <v>99025.1</v>
      </c>
      <c r="H386" s="111">
        <f>H387+H391+H389</f>
        <v>0</v>
      </c>
      <c r="I386" s="111">
        <f>I387+I391+I389</f>
        <v>99025.1</v>
      </c>
      <c r="J386" s="114">
        <f t="shared" ref="G386:O387" si="95">J387</f>
        <v>0</v>
      </c>
      <c r="K386" s="111">
        <f t="shared" si="95"/>
        <v>0</v>
      </c>
      <c r="L386" s="114">
        <f t="shared" si="95"/>
        <v>0</v>
      </c>
      <c r="M386" s="111">
        <f>M387+M389+M391</f>
        <v>99025.1</v>
      </c>
      <c r="N386" s="111">
        <f>N387+N391+N389</f>
        <v>0</v>
      </c>
      <c r="O386" s="111">
        <f>O387+O391+O389</f>
        <v>99025.1</v>
      </c>
      <c r="P386" s="97">
        <f t="shared" si="78"/>
        <v>99025.1</v>
      </c>
      <c r="Q386" s="97">
        <f t="shared" si="79"/>
        <v>0</v>
      </c>
    </row>
    <row r="387" spans="1:17" ht="31.5" x14ac:dyDescent="0.2">
      <c r="A387" s="40"/>
      <c r="B387" s="113" t="s">
        <v>134</v>
      </c>
      <c r="C387" s="113" t="s">
        <v>51</v>
      </c>
      <c r="D387" s="133" t="s">
        <v>388</v>
      </c>
      <c r="E387" s="133" t="s">
        <v>251</v>
      </c>
      <c r="F387" s="134" t="s">
        <v>11</v>
      </c>
      <c r="G387" s="111">
        <f t="shared" si="95"/>
        <v>97105.1</v>
      </c>
      <c r="H387" s="111">
        <f t="shared" si="95"/>
        <v>0</v>
      </c>
      <c r="I387" s="111">
        <f t="shared" si="95"/>
        <v>97105.1</v>
      </c>
      <c r="J387" s="114">
        <f t="shared" si="95"/>
        <v>0</v>
      </c>
      <c r="K387" s="111"/>
      <c r="L387" s="114">
        <f t="shared" si="95"/>
        <v>0</v>
      </c>
      <c r="M387" s="111">
        <f t="shared" si="95"/>
        <v>97105.1</v>
      </c>
      <c r="N387" s="111">
        <f t="shared" si="95"/>
        <v>0</v>
      </c>
      <c r="O387" s="111">
        <f t="shared" si="95"/>
        <v>97105.1</v>
      </c>
      <c r="P387" s="97">
        <f t="shared" si="78"/>
        <v>97105.1</v>
      </c>
      <c r="Q387" s="97">
        <f t="shared" si="79"/>
        <v>0</v>
      </c>
    </row>
    <row r="388" spans="1:17" ht="33.6" customHeight="1" x14ac:dyDescent="0.2">
      <c r="A388" s="40"/>
      <c r="B388" s="113" t="s">
        <v>95</v>
      </c>
      <c r="C388" s="113" t="s">
        <v>51</v>
      </c>
      <c r="D388" s="133" t="s">
        <v>388</v>
      </c>
      <c r="E388" s="133" t="s">
        <v>251</v>
      </c>
      <c r="F388" s="134" t="s">
        <v>96</v>
      </c>
      <c r="G388" s="111">
        <v>97105.1</v>
      </c>
      <c r="H388" s="111"/>
      <c r="I388" s="111">
        <f>SUM(G388)+H388</f>
        <v>97105.1</v>
      </c>
      <c r="J388" s="115">
        <v>0</v>
      </c>
      <c r="K388" s="106"/>
      <c r="L388" s="115">
        <v>0</v>
      </c>
      <c r="M388" s="111">
        <f>SUM(G388)</f>
        <v>97105.1</v>
      </c>
      <c r="N388" s="111">
        <f>SUM(H388)</f>
        <v>0</v>
      </c>
      <c r="O388" s="111">
        <f>SUM(M388)+N388</f>
        <v>97105.1</v>
      </c>
      <c r="P388" s="97">
        <f t="shared" si="78"/>
        <v>97105.1</v>
      </c>
      <c r="Q388" s="97">
        <f t="shared" si="79"/>
        <v>0</v>
      </c>
    </row>
    <row r="389" spans="1:17" ht="33.6" customHeight="1" x14ac:dyDescent="0.2">
      <c r="A389" s="40"/>
      <c r="B389" s="145" t="s">
        <v>392</v>
      </c>
      <c r="C389" s="113">
        <v>992</v>
      </c>
      <c r="D389" s="133" t="s">
        <v>388</v>
      </c>
      <c r="E389" s="136" t="s">
        <v>393</v>
      </c>
      <c r="F389" s="134"/>
      <c r="G389" s="111">
        <f>SUM(G390)</f>
        <v>779</v>
      </c>
      <c r="H389" s="111"/>
      <c r="I389" s="111">
        <f>SUM(G389)</f>
        <v>779</v>
      </c>
      <c r="J389" s="115"/>
      <c r="K389" s="106"/>
      <c r="L389" s="115"/>
      <c r="M389" s="111">
        <f>SUM(G389)</f>
        <v>779</v>
      </c>
      <c r="N389" s="111">
        <f t="shared" ref="N389:O392" si="96">SUM(H389)</f>
        <v>0</v>
      </c>
      <c r="O389" s="111">
        <f t="shared" si="96"/>
        <v>779</v>
      </c>
      <c r="P389" s="97">
        <f t="shared" si="78"/>
        <v>779</v>
      </c>
      <c r="Q389" s="97">
        <f t="shared" si="79"/>
        <v>0</v>
      </c>
    </row>
    <row r="390" spans="1:17" ht="33.6" customHeight="1" x14ac:dyDescent="0.2">
      <c r="A390" s="40"/>
      <c r="B390" s="113" t="s">
        <v>95</v>
      </c>
      <c r="C390" s="113">
        <v>992</v>
      </c>
      <c r="D390" s="133" t="s">
        <v>388</v>
      </c>
      <c r="E390" s="136" t="s">
        <v>393</v>
      </c>
      <c r="F390" s="134">
        <v>600</v>
      </c>
      <c r="G390" s="111">
        <v>779</v>
      </c>
      <c r="H390" s="111"/>
      <c r="I390" s="111">
        <f>SUM(G390)</f>
        <v>779</v>
      </c>
      <c r="J390" s="115"/>
      <c r="K390" s="106"/>
      <c r="L390" s="115"/>
      <c r="M390" s="111">
        <f>SUM(G390)</f>
        <v>779</v>
      </c>
      <c r="N390" s="111">
        <f t="shared" si="96"/>
        <v>0</v>
      </c>
      <c r="O390" s="111">
        <f t="shared" si="96"/>
        <v>779</v>
      </c>
      <c r="P390" s="97">
        <f t="shared" si="78"/>
        <v>779</v>
      </c>
      <c r="Q390" s="97">
        <f t="shared" si="79"/>
        <v>0</v>
      </c>
    </row>
    <row r="391" spans="1:17" ht="51" customHeight="1" x14ac:dyDescent="0.2">
      <c r="A391" s="40"/>
      <c r="B391" s="113" t="s">
        <v>283</v>
      </c>
      <c r="C391" s="113">
        <v>992</v>
      </c>
      <c r="D391" s="133" t="s">
        <v>388</v>
      </c>
      <c r="E391" s="136" t="s">
        <v>284</v>
      </c>
      <c r="F391" s="134"/>
      <c r="G391" s="111">
        <f>SUM(G392)</f>
        <v>1141</v>
      </c>
      <c r="H391" s="111">
        <f>SUM(H392)</f>
        <v>0</v>
      </c>
      <c r="I391" s="111">
        <f>SUM(G391)</f>
        <v>1141</v>
      </c>
      <c r="J391" s="115"/>
      <c r="K391" s="106"/>
      <c r="L391" s="115"/>
      <c r="M391" s="111">
        <f>SUM(G391)</f>
        <v>1141</v>
      </c>
      <c r="N391" s="111">
        <f t="shared" si="96"/>
        <v>0</v>
      </c>
      <c r="O391" s="111">
        <f t="shared" si="96"/>
        <v>1141</v>
      </c>
      <c r="P391" s="97">
        <f t="shared" si="78"/>
        <v>1141</v>
      </c>
      <c r="Q391" s="97">
        <f t="shared" si="79"/>
        <v>0</v>
      </c>
    </row>
    <row r="392" spans="1:17" ht="33.6" customHeight="1" x14ac:dyDescent="0.2">
      <c r="A392" s="40"/>
      <c r="B392" s="113" t="s">
        <v>95</v>
      </c>
      <c r="C392" s="113">
        <v>992</v>
      </c>
      <c r="D392" s="133" t="s">
        <v>388</v>
      </c>
      <c r="E392" s="136" t="s">
        <v>284</v>
      </c>
      <c r="F392" s="134">
        <v>600</v>
      </c>
      <c r="G392" s="111">
        <v>1141</v>
      </c>
      <c r="H392" s="111"/>
      <c r="I392" s="111">
        <f>SUM(G392)</f>
        <v>1141</v>
      </c>
      <c r="J392" s="115"/>
      <c r="K392" s="106"/>
      <c r="L392" s="115"/>
      <c r="M392" s="111">
        <f>SUM(G392)</f>
        <v>1141</v>
      </c>
      <c r="N392" s="111">
        <f t="shared" si="96"/>
        <v>0</v>
      </c>
      <c r="O392" s="111">
        <f t="shared" si="96"/>
        <v>1141</v>
      </c>
      <c r="P392" s="97">
        <f t="shared" si="78"/>
        <v>1141</v>
      </c>
      <c r="Q392" s="97">
        <f t="shared" si="79"/>
        <v>0</v>
      </c>
    </row>
    <row r="393" spans="1:17" ht="15.75" x14ac:dyDescent="0.2">
      <c r="A393" s="20" t="s">
        <v>394</v>
      </c>
      <c r="B393" s="107" t="s">
        <v>395</v>
      </c>
      <c r="C393" s="107" t="s">
        <v>51</v>
      </c>
      <c r="D393" s="129" t="s">
        <v>396</v>
      </c>
      <c r="E393" s="129" t="s">
        <v>11</v>
      </c>
      <c r="F393" s="130" t="s">
        <v>11</v>
      </c>
      <c r="G393" s="106">
        <f>G394</f>
        <v>15416.800000000003</v>
      </c>
      <c r="H393" s="109">
        <f>H394</f>
        <v>0</v>
      </c>
      <c r="I393" s="106">
        <f>I394</f>
        <v>15416.8</v>
      </c>
      <c r="J393" s="108">
        <f>J394</f>
        <v>844.2</v>
      </c>
      <c r="K393" s="109">
        <f>K394+K408</f>
        <v>0</v>
      </c>
      <c r="L393" s="108">
        <f>L394</f>
        <v>844.2</v>
      </c>
      <c r="M393" s="106">
        <f>M394</f>
        <v>15972.800000000003</v>
      </c>
      <c r="N393" s="106">
        <f>N394</f>
        <v>0</v>
      </c>
      <c r="O393" s="106">
        <f>O394</f>
        <v>15972.800000000001</v>
      </c>
      <c r="P393" s="97">
        <f t="shared" si="78"/>
        <v>15416.800000000003</v>
      </c>
      <c r="Q393" s="97">
        <f t="shared" si="79"/>
        <v>0</v>
      </c>
    </row>
    <row r="394" spans="1:17" ht="15.75" x14ac:dyDescent="0.2">
      <c r="A394" s="33" t="s">
        <v>397</v>
      </c>
      <c r="B394" s="110" t="s">
        <v>398</v>
      </c>
      <c r="C394" s="110" t="s">
        <v>51</v>
      </c>
      <c r="D394" s="131" t="s">
        <v>399</v>
      </c>
      <c r="E394" s="131" t="s">
        <v>11</v>
      </c>
      <c r="F394" s="132" t="s">
        <v>11</v>
      </c>
      <c r="G394" s="109">
        <f>G395+G411</f>
        <v>15416.800000000003</v>
      </c>
      <c r="H394" s="111">
        <f>H395</f>
        <v>0</v>
      </c>
      <c r="I394" s="109">
        <f>I395+I411</f>
        <v>15416.8</v>
      </c>
      <c r="J394" s="112">
        <f>J395+J411</f>
        <v>844.2</v>
      </c>
      <c r="K394" s="111">
        <f>K395+K401</f>
        <v>0</v>
      </c>
      <c r="L394" s="112">
        <f>L395+L411</f>
        <v>844.2</v>
      </c>
      <c r="M394" s="109">
        <f>M395+M411</f>
        <v>15972.800000000003</v>
      </c>
      <c r="N394" s="109">
        <f>N395+N411</f>
        <v>0</v>
      </c>
      <c r="O394" s="109">
        <f>O395+O411</f>
        <v>15972.800000000001</v>
      </c>
      <c r="P394" s="97">
        <f t="shared" si="78"/>
        <v>15416.800000000003</v>
      </c>
      <c r="Q394" s="97">
        <f t="shared" si="79"/>
        <v>0</v>
      </c>
    </row>
    <row r="395" spans="1:17" ht="31.5" x14ac:dyDescent="0.2">
      <c r="A395" s="40"/>
      <c r="B395" s="113" t="s">
        <v>400</v>
      </c>
      <c r="C395" s="113" t="s">
        <v>51</v>
      </c>
      <c r="D395" s="133" t="s">
        <v>399</v>
      </c>
      <c r="E395" s="133" t="s">
        <v>401</v>
      </c>
      <c r="F395" s="134" t="s">
        <v>11</v>
      </c>
      <c r="G395" s="111">
        <f>G396+G402</f>
        <v>15336.800000000003</v>
      </c>
      <c r="H395" s="111">
        <f>H396+H402</f>
        <v>0</v>
      </c>
      <c r="I395" s="111">
        <f>I396+I402</f>
        <v>15336.8</v>
      </c>
      <c r="J395" s="111">
        <f>J396+J398+J409</f>
        <v>844.2</v>
      </c>
      <c r="K395" s="111">
        <f>K396+K402+K409</f>
        <v>0</v>
      </c>
      <c r="L395" s="111">
        <f>L396+L398+L409</f>
        <v>844.2</v>
      </c>
      <c r="M395" s="111">
        <f>M396+M402</f>
        <v>15892.800000000003</v>
      </c>
      <c r="N395" s="111">
        <f>N396+N402</f>
        <v>0</v>
      </c>
      <c r="O395" s="111">
        <f>O396+O402</f>
        <v>15892.800000000001</v>
      </c>
      <c r="P395" s="97">
        <f t="shared" si="78"/>
        <v>15336.800000000003</v>
      </c>
      <c r="Q395" s="97">
        <f t="shared" si="79"/>
        <v>0</v>
      </c>
    </row>
    <row r="396" spans="1:17" ht="47.25" x14ac:dyDescent="0.2">
      <c r="A396" s="40"/>
      <c r="B396" s="113" t="s">
        <v>402</v>
      </c>
      <c r="C396" s="113" t="s">
        <v>51</v>
      </c>
      <c r="D396" s="133" t="s">
        <v>399</v>
      </c>
      <c r="E396" s="133" t="s">
        <v>403</v>
      </c>
      <c r="F396" s="134" t="s">
        <v>11</v>
      </c>
      <c r="G396" s="111">
        <f>G397+G400</f>
        <v>2647.8</v>
      </c>
      <c r="H396" s="111">
        <f>H397+H400</f>
        <v>-128.1</v>
      </c>
      <c r="I396" s="111">
        <f>I397+I400</f>
        <v>2519.6999999999998</v>
      </c>
      <c r="J396" s="114">
        <f>J397+J400</f>
        <v>400</v>
      </c>
      <c r="K396" s="111">
        <f>K397</f>
        <v>0</v>
      </c>
      <c r="L396" s="114">
        <f>L397+L400</f>
        <v>400</v>
      </c>
      <c r="M396" s="111">
        <f>M397+M400</f>
        <v>3047.8</v>
      </c>
      <c r="N396" s="111">
        <f>N397+N400</f>
        <v>-128.1</v>
      </c>
      <c r="O396" s="111">
        <f>O397+O400</f>
        <v>2919.7000000000003</v>
      </c>
      <c r="P396" s="97">
        <f t="shared" si="78"/>
        <v>2519.7000000000003</v>
      </c>
      <c r="Q396" s="97">
        <f t="shared" si="79"/>
        <v>0</v>
      </c>
    </row>
    <row r="397" spans="1:17" ht="47.25" x14ac:dyDescent="0.2">
      <c r="A397" s="40"/>
      <c r="B397" s="113" t="s">
        <v>404</v>
      </c>
      <c r="C397" s="113" t="s">
        <v>51</v>
      </c>
      <c r="D397" s="133" t="s">
        <v>399</v>
      </c>
      <c r="E397" s="133" t="s">
        <v>405</v>
      </c>
      <c r="F397" s="134" t="s">
        <v>11</v>
      </c>
      <c r="G397" s="111">
        <f>G398+G399</f>
        <v>1872.3</v>
      </c>
      <c r="H397" s="111">
        <f>SUM(H398:H399)</f>
        <v>16.8</v>
      </c>
      <c r="I397" s="111">
        <f>I398+I399</f>
        <v>1889.1</v>
      </c>
      <c r="J397" s="114">
        <f>J398+J399</f>
        <v>400</v>
      </c>
      <c r="K397" s="111">
        <f>SUM(K398:K399)</f>
        <v>0</v>
      </c>
      <c r="L397" s="114">
        <f>L398+L399</f>
        <v>400</v>
      </c>
      <c r="M397" s="111">
        <f>M398+M399</f>
        <v>2272.3000000000002</v>
      </c>
      <c r="N397" s="111">
        <f>H397+K397</f>
        <v>16.8</v>
      </c>
      <c r="O397" s="167">
        <f>O398+O399</f>
        <v>2289.1000000000004</v>
      </c>
      <c r="P397" s="97">
        <f t="shared" si="78"/>
        <v>1889.1</v>
      </c>
      <c r="Q397" s="97">
        <f t="shared" si="79"/>
        <v>0</v>
      </c>
    </row>
    <row r="398" spans="1:17" ht="78.75" x14ac:dyDescent="0.2">
      <c r="A398" s="40"/>
      <c r="B398" s="113" t="s">
        <v>61</v>
      </c>
      <c r="C398" s="113" t="s">
        <v>51</v>
      </c>
      <c r="D398" s="133" t="s">
        <v>399</v>
      </c>
      <c r="E398" s="133" t="s">
        <v>405</v>
      </c>
      <c r="F398" s="134" t="s">
        <v>62</v>
      </c>
      <c r="G398" s="111">
        <v>1801.3</v>
      </c>
      <c r="H398" s="111">
        <v>16.8</v>
      </c>
      <c r="I398" s="111">
        <f>SUM(G398:H398)</f>
        <v>1818.1</v>
      </c>
      <c r="J398" s="115">
        <v>288.2</v>
      </c>
      <c r="K398" s="111"/>
      <c r="L398" s="115">
        <f>SUM(J398:K398)</f>
        <v>288.2</v>
      </c>
      <c r="M398" s="111">
        <f>G398+J398</f>
        <v>2089.5</v>
      </c>
      <c r="N398" s="111">
        <f>H398+K398</f>
        <v>16.8</v>
      </c>
      <c r="O398" s="167">
        <f>SUM(M398:N398)</f>
        <v>2106.3000000000002</v>
      </c>
      <c r="P398" s="97">
        <f t="shared" si="78"/>
        <v>1818.1</v>
      </c>
      <c r="Q398" s="97">
        <f t="shared" si="79"/>
        <v>0</v>
      </c>
    </row>
    <row r="399" spans="1:17" ht="31.5" x14ac:dyDescent="0.2">
      <c r="A399" s="40"/>
      <c r="B399" s="113" t="s">
        <v>408</v>
      </c>
      <c r="C399" s="113" t="s">
        <v>51</v>
      </c>
      <c r="D399" s="133" t="s">
        <v>399</v>
      </c>
      <c r="E399" s="133" t="s">
        <v>405</v>
      </c>
      <c r="F399" s="134">
        <v>200</v>
      </c>
      <c r="G399" s="111">
        <v>71</v>
      </c>
      <c r="H399" s="111"/>
      <c r="I399" s="111">
        <f>SUM(G399:H399)</f>
        <v>71</v>
      </c>
      <c r="J399" s="115">
        <v>111.8</v>
      </c>
      <c r="K399" s="111"/>
      <c r="L399" s="115">
        <f>SUM(J399:K399)</f>
        <v>111.8</v>
      </c>
      <c r="M399" s="111">
        <f>G399+J399</f>
        <v>182.8</v>
      </c>
      <c r="N399" s="111">
        <f>H399+K399</f>
        <v>0</v>
      </c>
      <c r="O399" s="167">
        <f>SUM(M399:N399)</f>
        <v>182.8</v>
      </c>
      <c r="P399" s="97">
        <f t="shared" si="78"/>
        <v>71</v>
      </c>
      <c r="Q399" s="97">
        <f t="shared" si="79"/>
        <v>0</v>
      </c>
    </row>
    <row r="400" spans="1:17" ht="47.25" x14ac:dyDescent="0.2">
      <c r="A400" s="40"/>
      <c r="B400" s="113" t="s">
        <v>406</v>
      </c>
      <c r="C400" s="113" t="s">
        <v>51</v>
      </c>
      <c r="D400" s="133" t="s">
        <v>399</v>
      </c>
      <c r="E400" s="133" t="s">
        <v>407</v>
      </c>
      <c r="F400" s="134" t="s">
        <v>11</v>
      </c>
      <c r="G400" s="111">
        <f>G401</f>
        <v>775.5</v>
      </c>
      <c r="H400" s="111">
        <f>SUM(H401)</f>
        <v>-144.9</v>
      </c>
      <c r="I400" s="111">
        <f>I401</f>
        <v>630.6</v>
      </c>
      <c r="J400" s="114">
        <f>J401</f>
        <v>0</v>
      </c>
      <c r="K400" s="111"/>
      <c r="L400" s="114">
        <f>L401</f>
        <v>0</v>
      </c>
      <c r="M400" s="111">
        <f>M401</f>
        <v>775.5</v>
      </c>
      <c r="N400" s="111">
        <f>N401</f>
        <v>-144.9</v>
      </c>
      <c r="O400" s="111">
        <f>O401</f>
        <v>630.6</v>
      </c>
      <c r="P400" s="97">
        <f t="shared" si="78"/>
        <v>630.6</v>
      </c>
      <c r="Q400" s="97">
        <f t="shared" si="79"/>
        <v>0</v>
      </c>
    </row>
    <row r="401" spans="1:17" ht="31.5" x14ac:dyDescent="0.2">
      <c r="A401" s="40"/>
      <c r="B401" s="113" t="s">
        <v>408</v>
      </c>
      <c r="C401" s="113" t="s">
        <v>51</v>
      </c>
      <c r="D401" s="133" t="s">
        <v>399</v>
      </c>
      <c r="E401" s="133" t="s">
        <v>407</v>
      </c>
      <c r="F401" s="134" t="s">
        <v>41</v>
      </c>
      <c r="G401" s="111">
        <v>775.5</v>
      </c>
      <c r="H401" s="111">
        <f>-16.8-128.1</f>
        <v>-144.9</v>
      </c>
      <c r="I401" s="111">
        <f>SUM(G401)+H401</f>
        <v>630.6</v>
      </c>
      <c r="J401" s="115">
        <v>0</v>
      </c>
      <c r="K401" s="111"/>
      <c r="L401" s="115">
        <v>0</v>
      </c>
      <c r="M401" s="111">
        <f>SUM(G401)</f>
        <v>775.5</v>
      </c>
      <c r="N401" s="111">
        <f>SUM(H401)</f>
        <v>-144.9</v>
      </c>
      <c r="O401" s="111">
        <f>SUM(I401)</f>
        <v>630.6</v>
      </c>
      <c r="P401" s="97">
        <f t="shared" si="78"/>
        <v>630.6</v>
      </c>
      <c r="Q401" s="97">
        <f t="shared" si="79"/>
        <v>0</v>
      </c>
    </row>
    <row r="402" spans="1:17" ht="49.15" customHeight="1" x14ac:dyDescent="0.2">
      <c r="A402" s="40"/>
      <c r="B402" s="113" t="s">
        <v>409</v>
      </c>
      <c r="C402" s="113" t="s">
        <v>51</v>
      </c>
      <c r="D402" s="133" t="s">
        <v>399</v>
      </c>
      <c r="E402" s="133" t="s">
        <v>410</v>
      </c>
      <c r="F402" s="134" t="s">
        <v>11</v>
      </c>
      <c r="G402" s="111">
        <f>G403+G407</f>
        <v>12689.000000000002</v>
      </c>
      <c r="H402" s="111">
        <f>H403</f>
        <v>128.1</v>
      </c>
      <c r="I402" s="111">
        <f>I403+I407</f>
        <v>12817.1</v>
      </c>
      <c r="J402" s="114">
        <f>J403+J407+J409</f>
        <v>156</v>
      </c>
      <c r="K402" s="111">
        <f>K403+K404+K409</f>
        <v>0</v>
      </c>
      <c r="L402" s="114">
        <f>L403+L407+L409</f>
        <v>156</v>
      </c>
      <c r="M402" s="111">
        <f>M403+M407+M409</f>
        <v>12845.000000000002</v>
      </c>
      <c r="N402" s="111">
        <f>N403+N407</f>
        <v>128.1</v>
      </c>
      <c r="O402" s="111">
        <f>O403+O407+O409</f>
        <v>12973.1</v>
      </c>
      <c r="P402" s="97">
        <f t="shared" si="78"/>
        <v>12817.100000000002</v>
      </c>
      <c r="Q402" s="97">
        <f t="shared" si="79"/>
        <v>0</v>
      </c>
    </row>
    <row r="403" spans="1:17" ht="31.5" x14ac:dyDescent="0.2">
      <c r="A403" s="40"/>
      <c r="B403" s="113" t="s">
        <v>134</v>
      </c>
      <c r="C403" s="113" t="s">
        <v>51</v>
      </c>
      <c r="D403" s="133" t="s">
        <v>399</v>
      </c>
      <c r="E403" s="133" t="s">
        <v>411</v>
      </c>
      <c r="F403" s="134" t="s">
        <v>11</v>
      </c>
      <c r="G403" s="111">
        <f>G404+G405+G406</f>
        <v>11883.900000000001</v>
      </c>
      <c r="H403" s="111">
        <f>H404+H405+H406</f>
        <v>128.1</v>
      </c>
      <c r="I403" s="111">
        <f>I404+I405+I406</f>
        <v>12012</v>
      </c>
      <c r="J403" s="114">
        <f>J404+J405+J406</f>
        <v>0</v>
      </c>
      <c r="K403" s="111">
        <f>SUM(K405)</f>
        <v>0</v>
      </c>
      <c r="L403" s="114">
        <f>L404+L405+L406</f>
        <v>0</v>
      </c>
      <c r="M403" s="111">
        <f>M404+M405+M406</f>
        <v>11883.900000000001</v>
      </c>
      <c r="N403" s="111">
        <f>N404+N405+N406</f>
        <v>128.1</v>
      </c>
      <c r="O403" s="111">
        <f>O404+O405+O406</f>
        <v>12012</v>
      </c>
      <c r="P403" s="97">
        <f t="shared" si="78"/>
        <v>12012.000000000002</v>
      </c>
      <c r="Q403" s="97">
        <f t="shared" si="79"/>
        <v>0</v>
      </c>
    </row>
    <row r="404" spans="1:17" ht="78.75" x14ac:dyDescent="0.2">
      <c r="A404" s="40"/>
      <c r="B404" s="113" t="s">
        <v>61</v>
      </c>
      <c r="C404" s="113" t="s">
        <v>51</v>
      </c>
      <c r="D404" s="133" t="s">
        <v>399</v>
      </c>
      <c r="E404" s="133" t="s">
        <v>411</v>
      </c>
      <c r="F404" s="134" t="s">
        <v>62</v>
      </c>
      <c r="G404" s="111">
        <v>8949.5</v>
      </c>
      <c r="H404" s="111"/>
      <c r="I404" s="111">
        <f>SUM(G404)+H404</f>
        <v>8949.5</v>
      </c>
      <c r="J404" s="115">
        <v>0</v>
      </c>
      <c r="K404" s="111"/>
      <c r="L404" s="115">
        <v>0</v>
      </c>
      <c r="M404" s="111">
        <f>SUM(G404)</f>
        <v>8949.5</v>
      </c>
      <c r="N404" s="111">
        <f>SUM(H404)</f>
        <v>0</v>
      </c>
      <c r="O404" s="111">
        <f>SUM(I404)</f>
        <v>8949.5</v>
      </c>
      <c r="P404" s="97">
        <f t="shared" si="78"/>
        <v>8949.5</v>
      </c>
      <c r="Q404" s="97">
        <f t="shared" si="79"/>
        <v>0</v>
      </c>
    </row>
    <row r="405" spans="1:17" ht="31.5" x14ac:dyDescent="0.2">
      <c r="A405" s="40"/>
      <c r="B405" s="113" t="s">
        <v>40</v>
      </c>
      <c r="C405" s="113" t="s">
        <v>51</v>
      </c>
      <c r="D405" s="133" t="s">
        <v>399</v>
      </c>
      <c r="E405" s="133" t="s">
        <v>411</v>
      </c>
      <c r="F405" s="134" t="s">
        <v>41</v>
      </c>
      <c r="G405" s="111">
        <v>2930.7</v>
      </c>
      <c r="H405" s="111">
        <v>128.1</v>
      </c>
      <c r="I405" s="111">
        <f>SUM(G405)+H405</f>
        <v>3058.7999999999997</v>
      </c>
      <c r="J405" s="115">
        <v>0</v>
      </c>
      <c r="K405" s="111"/>
      <c r="L405" s="114">
        <f>K405</f>
        <v>0</v>
      </c>
      <c r="M405" s="111">
        <f>SUM(G405)</f>
        <v>2930.7</v>
      </c>
      <c r="N405" s="111">
        <f>SUM(H405+K405)</f>
        <v>128.1</v>
      </c>
      <c r="O405" s="111">
        <f>SUM(I405)</f>
        <v>3058.7999999999997</v>
      </c>
      <c r="P405" s="97">
        <f t="shared" si="78"/>
        <v>3058.7999999999997</v>
      </c>
      <c r="Q405" s="97">
        <f t="shared" si="79"/>
        <v>0</v>
      </c>
    </row>
    <row r="406" spans="1:17" ht="15.75" x14ac:dyDescent="0.2">
      <c r="A406" s="40"/>
      <c r="B406" s="113" t="s">
        <v>338</v>
      </c>
      <c r="C406" s="113" t="s">
        <v>51</v>
      </c>
      <c r="D406" s="133" t="s">
        <v>399</v>
      </c>
      <c r="E406" s="133" t="s">
        <v>411</v>
      </c>
      <c r="F406" s="134" t="s">
        <v>71</v>
      </c>
      <c r="G406" s="111">
        <v>3.7</v>
      </c>
      <c r="H406" s="111"/>
      <c r="I406" s="111">
        <v>3.7</v>
      </c>
      <c r="J406" s="115">
        <v>0</v>
      </c>
      <c r="K406" s="111"/>
      <c r="L406" s="115">
        <v>0</v>
      </c>
      <c r="M406" s="111">
        <v>3.7</v>
      </c>
      <c r="N406" s="111"/>
      <c r="O406" s="111">
        <v>3.7</v>
      </c>
      <c r="P406" s="97">
        <f t="shared" ref="P406:P469" si="97">G406+H406</f>
        <v>3.7</v>
      </c>
      <c r="Q406" s="97">
        <f t="shared" ref="Q406:Q469" si="98">I406-P406</f>
        <v>0</v>
      </c>
    </row>
    <row r="407" spans="1:17" ht="31.5" x14ac:dyDescent="0.2">
      <c r="A407" s="40"/>
      <c r="B407" s="113" t="s">
        <v>412</v>
      </c>
      <c r="C407" s="113" t="s">
        <v>51</v>
      </c>
      <c r="D407" s="133" t="s">
        <v>399</v>
      </c>
      <c r="E407" s="133" t="s">
        <v>413</v>
      </c>
      <c r="F407" s="134" t="s">
        <v>11</v>
      </c>
      <c r="G407" s="111">
        <f>G408</f>
        <v>805.1</v>
      </c>
      <c r="H407" s="111"/>
      <c r="I407" s="111">
        <f>I408</f>
        <v>805.1</v>
      </c>
      <c r="J407" s="114">
        <f>J408</f>
        <v>0</v>
      </c>
      <c r="K407" s="111"/>
      <c r="L407" s="114">
        <f>L408</f>
        <v>0</v>
      </c>
      <c r="M407" s="111">
        <f>M408</f>
        <v>805.1</v>
      </c>
      <c r="N407" s="111">
        <f>N408</f>
        <v>0</v>
      </c>
      <c r="O407" s="111">
        <f>O408</f>
        <v>805.1</v>
      </c>
      <c r="P407" s="97">
        <f t="shared" si="97"/>
        <v>805.1</v>
      </c>
      <c r="Q407" s="97">
        <f t="shared" si="98"/>
        <v>0</v>
      </c>
    </row>
    <row r="408" spans="1:17" ht="31.5" x14ac:dyDescent="0.2">
      <c r="A408" s="40"/>
      <c r="B408" s="113" t="s">
        <v>40</v>
      </c>
      <c r="C408" s="113" t="s">
        <v>51</v>
      </c>
      <c r="D408" s="133" t="s">
        <v>399</v>
      </c>
      <c r="E408" s="133" t="s">
        <v>413</v>
      </c>
      <c r="F408" s="134" t="s">
        <v>41</v>
      </c>
      <c r="G408" s="111">
        <v>805.1</v>
      </c>
      <c r="H408" s="111"/>
      <c r="I408" s="111">
        <f>SUM(G408)+H408</f>
        <v>805.1</v>
      </c>
      <c r="J408" s="115">
        <v>0</v>
      </c>
      <c r="K408" s="111"/>
      <c r="L408" s="115">
        <v>0</v>
      </c>
      <c r="M408" s="111">
        <f>SUM(G408)</f>
        <v>805.1</v>
      </c>
      <c r="N408" s="111">
        <f>SUM(H408)</f>
        <v>0</v>
      </c>
      <c r="O408" s="111">
        <f>SUM(M408)+N408</f>
        <v>805.1</v>
      </c>
      <c r="P408" s="97">
        <f t="shared" si="97"/>
        <v>805.1</v>
      </c>
      <c r="Q408" s="97">
        <f t="shared" si="98"/>
        <v>0</v>
      </c>
    </row>
    <row r="409" spans="1:17" ht="40.9" customHeight="1" x14ac:dyDescent="0.2">
      <c r="A409" s="40"/>
      <c r="B409" s="96" t="s">
        <v>414</v>
      </c>
      <c r="C409" s="113">
        <v>992</v>
      </c>
      <c r="D409" s="133" t="s">
        <v>399</v>
      </c>
      <c r="E409" s="136" t="s">
        <v>415</v>
      </c>
      <c r="F409" s="134"/>
      <c r="G409" s="111"/>
      <c r="H409" s="111"/>
      <c r="I409" s="111"/>
      <c r="J409" s="115">
        <v>156</v>
      </c>
      <c r="K409" s="111"/>
      <c r="L409" s="115">
        <f>SUM(L410)</f>
        <v>156</v>
      </c>
      <c r="M409" s="111">
        <f t="shared" ref="M409:O410" si="99">SUM(J409)</f>
        <v>156</v>
      </c>
      <c r="N409" s="111">
        <f t="shared" si="99"/>
        <v>0</v>
      </c>
      <c r="O409" s="111">
        <f t="shared" si="99"/>
        <v>156</v>
      </c>
      <c r="P409" s="97">
        <f t="shared" si="97"/>
        <v>0</v>
      </c>
      <c r="Q409" s="97">
        <f t="shared" si="98"/>
        <v>0</v>
      </c>
    </row>
    <row r="410" spans="1:17" ht="31.5" x14ac:dyDescent="0.2">
      <c r="A410" s="40"/>
      <c r="B410" s="113" t="s">
        <v>40</v>
      </c>
      <c r="C410" s="113">
        <v>992</v>
      </c>
      <c r="D410" s="133" t="s">
        <v>399</v>
      </c>
      <c r="E410" s="136" t="s">
        <v>415</v>
      </c>
      <c r="F410" s="134">
        <v>200</v>
      </c>
      <c r="G410" s="111"/>
      <c r="H410" s="111"/>
      <c r="I410" s="111"/>
      <c r="J410" s="115">
        <v>156</v>
      </c>
      <c r="K410" s="111"/>
      <c r="L410" s="115">
        <f>SUM(J410)</f>
        <v>156</v>
      </c>
      <c r="M410" s="111">
        <f t="shared" si="99"/>
        <v>156</v>
      </c>
      <c r="N410" s="111">
        <f t="shared" si="99"/>
        <v>0</v>
      </c>
      <c r="O410" s="111">
        <f t="shared" si="99"/>
        <v>156</v>
      </c>
      <c r="P410" s="97">
        <f t="shared" si="97"/>
        <v>0</v>
      </c>
      <c r="Q410" s="97">
        <f t="shared" si="98"/>
        <v>0</v>
      </c>
    </row>
    <row r="411" spans="1:17" ht="31.5" x14ac:dyDescent="0.2">
      <c r="A411" s="40"/>
      <c r="B411" s="113" t="s">
        <v>87</v>
      </c>
      <c r="C411" s="113" t="s">
        <v>51</v>
      </c>
      <c r="D411" s="133" t="s">
        <v>399</v>
      </c>
      <c r="E411" s="133" t="s">
        <v>88</v>
      </c>
      <c r="F411" s="134" t="s">
        <v>11</v>
      </c>
      <c r="G411" s="111">
        <f t="shared" ref="G411:O414" si="100">G412</f>
        <v>80</v>
      </c>
      <c r="H411" s="111">
        <f t="shared" si="100"/>
        <v>0</v>
      </c>
      <c r="I411" s="111">
        <f t="shared" si="100"/>
        <v>80</v>
      </c>
      <c r="J411" s="114">
        <f t="shared" si="100"/>
        <v>0</v>
      </c>
      <c r="K411" s="111">
        <f>K412</f>
        <v>0</v>
      </c>
      <c r="L411" s="114">
        <f t="shared" si="100"/>
        <v>0</v>
      </c>
      <c r="M411" s="111">
        <f t="shared" si="100"/>
        <v>80</v>
      </c>
      <c r="N411" s="111">
        <f t="shared" si="100"/>
        <v>0</v>
      </c>
      <c r="O411" s="111">
        <f t="shared" si="100"/>
        <v>80</v>
      </c>
      <c r="P411" s="97">
        <f t="shared" si="97"/>
        <v>80</v>
      </c>
      <c r="Q411" s="97">
        <f t="shared" si="98"/>
        <v>0</v>
      </c>
    </row>
    <row r="412" spans="1:17" ht="33" customHeight="1" x14ac:dyDescent="0.2">
      <c r="A412" s="40"/>
      <c r="B412" s="113" t="s">
        <v>89</v>
      </c>
      <c r="C412" s="113" t="s">
        <v>51</v>
      </c>
      <c r="D412" s="133" t="s">
        <v>399</v>
      </c>
      <c r="E412" s="133" t="s">
        <v>90</v>
      </c>
      <c r="F412" s="134" t="s">
        <v>11</v>
      </c>
      <c r="G412" s="111">
        <f t="shared" si="100"/>
        <v>80</v>
      </c>
      <c r="H412" s="111">
        <f t="shared" si="100"/>
        <v>0</v>
      </c>
      <c r="I412" s="111">
        <f t="shared" si="100"/>
        <v>80</v>
      </c>
      <c r="J412" s="114">
        <f t="shared" si="100"/>
        <v>0</v>
      </c>
      <c r="K412" s="111">
        <f>K413</f>
        <v>0</v>
      </c>
      <c r="L412" s="114">
        <f t="shared" si="100"/>
        <v>0</v>
      </c>
      <c r="M412" s="111">
        <f t="shared" si="100"/>
        <v>80</v>
      </c>
      <c r="N412" s="111">
        <f t="shared" si="100"/>
        <v>0</v>
      </c>
      <c r="O412" s="111">
        <f t="shared" si="100"/>
        <v>80</v>
      </c>
      <c r="P412" s="97">
        <f t="shared" si="97"/>
        <v>80</v>
      </c>
      <c r="Q412" s="97">
        <f t="shared" si="98"/>
        <v>0</v>
      </c>
    </row>
    <row r="413" spans="1:17" ht="40.9" customHeight="1" x14ac:dyDescent="0.2">
      <c r="A413" s="40"/>
      <c r="B413" s="113" t="s">
        <v>91</v>
      </c>
      <c r="C413" s="113" t="s">
        <v>51</v>
      </c>
      <c r="D413" s="133" t="s">
        <v>399</v>
      </c>
      <c r="E413" s="133" t="s">
        <v>92</v>
      </c>
      <c r="F413" s="134" t="s">
        <v>11</v>
      </c>
      <c r="G413" s="111">
        <f t="shared" si="100"/>
        <v>80</v>
      </c>
      <c r="H413" s="111">
        <f t="shared" si="100"/>
        <v>0</v>
      </c>
      <c r="I413" s="111">
        <f t="shared" si="100"/>
        <v>80</v>
      </c>
      <c r="J413" s="114">
        <f t="shared" si="100"/>
        <v>0</v>
      </c>
      <c r="K413" s="111">
        <f>K414</f>
        <v>0</v>
      </c>
      <c r="L413" s="114">
        <f t="shared" si="100"/>
        <v>0</v>
      </c>
      <c r="M413" s="111">
        <f t="shared" si="100"/>
        <v>80</v>
      </c>
      <c r="N413" s="111">
        <f t="shared" si="100"/>
        <v>0</v>
      </c>
      <c r="O413" s="111">
        <f t="shared" si="100"/>
        <v>80</v>
      </c>
      <c r="P413" s="97">
        <f t="shared" si="97"/>
        <v>80</v>
      </c>
      <c r="Q413" s="97">
        <f t="shared" si="98"/>
        <v>0</v>
      </c>
    </row>
    <row r="414" spans="1:17" ht="47.25" x14ac:dyDescent="0.2">
      <c r="A414" s="40"/>
      <c r="B414" s="113" t="s">
        <v>93</v>
      </c>
      <c r="C414" s="113" t="s">
        <v>51</v>
      </c>
      <c r="D414" s="133" t="s">
        <v>399</v>
      </c>
      <c r="E414" s="133" t="s">
        <v>94</v>
      </c>
      <c r="F414" s="134" t="s">
        <v>11</v>
      </c>
      <c r="G414" s="111">
        <f>G415</f>
        <v>80</v>
      </c>
      <c r="H414" s="111"/>
      <c r="I414" s="111">
        <f>I415</f>
        <v>80</v>
      </c>
      <c r="J414" s="114">
        <f t="shared" si="100"/>
        <v>0</v>
      </c>
      <c r="K414" s="111"/>
      <c r="L414" s="114">
        <f t="shared" si="100"/>
        <v>0</v>
      </c>
      <c r="M414" s="111">
        <f t="shared" si="100"/>
        <v>80</v>
      </c>
      <c r="N414" s="111">
        <f t="shared" si="100"/>
        <v>0</v>
      </c>
      <c r="O414" s="111">
        <f t="shared" si="100"/>
        <v>80</v>
      </c>
      <c r="P414" s="97">
        <f t="shared" si="97"/>
        <v>80</v>
      </c>
      <c r="Q414" s="97">
        <f t="shared" si="98"/>
        <v>0</v>
      </c>
    </row>
    <row r="415" spans="1:17" ht="30.6" customHeight="1" x14ac:dyDescent="0.2">
      <c r="A415" s="40"/>
      <c r="B415" s="113" t="s">
        <v>95</v>
      </c>
      <c r="C415" s="113" t="s">
        <v>51</v>
      </c>
      <c r="D415" s="133" t="s">
        <v>399</v>
      </c>
      <c r="E415" s="133" t="s">
        <v>94</v>
      </c>
      <c r="F415" s="134" t="s">
        <v>96</v>
      </c>
      <c r="G415" s="111">
        <v>80</v>
      </c>
      <c r="H415" s="106"/>
      <c r="I415" s="111">
        <v>80</v>
      </c>
      <c r="J415" s="115">
        <v>0</v>
      </c>
      <c r="K415" s="106"/>
      <c r="L415" s="115">
        <v>0</v>
      </c>
      <c r="M415" s="111">
        <v>80</v>
      </c>
      <c r="N415" s="111"/>
      <c r="O415" s="111">
        <v>80</v>
      </c>
      <c r="P415" s="97">
        <f t="shared" si="97"/>
        <v>80</v>
      </c>
      <c r="Q415" s="97">
        <f t="shared" si="98"/>
        <v>0</v>
      </c>
    </row>
    <row r="416" spans="1:17" ht="15.75" x14ac:dyDescent="0.2">
      <c r="A416" s="20" t="s">
        <v>416</v>
      </c>
      <c r="B416" s="107" t="s">
        <v>417</v>
      </c>
      <c r="C416" s="107" t="s">
        <v>51</v>
      </c>
      <c r="D416" s="129" t="s">
        <v>418</v>
      </c>
      <c r="E416" s="129" t="s">
        <v>11</v>
      </c>
      <c r="F416" s="130" t="s">
        <v>11</v>
      </c>
      <c r="G416" s="106">
        <f>G417+G423+G429+G435</f>
        <v>70083.8</v>
      </c>
      <c r="H416" s="109">
        <f>H417+H423+H429</f>
        <v>53.3</v>
      </c>
      <c r="I416" s="106">
        <f>I417+I423+I429+I435</f>
        <v>70137.099999999991</v>
      </c>
      <c r="J416" s="108">
        <f>J417+J423+J429+J435</f>
        <v>3074.2</v>
      </c>
      <c r="K416" s="109">
        <f>K417+K423+K429</f>
        <v>-139.9</v>
      </c>
      <c r="L416" s="108">
        <f>L417+L423+L429+L435</f>
        <v>2934.2999999999997</v>
      </c>
      <c r="M416" s="106">
        <f>M417+M423+M429+M435</f>
        <v>73158</v>
      </c>
      <c r="N416" s="106">
        <f>N417+N423+N429+N435</f>
        <v>-86.6</v>
      </c>
      <c r="O416" s="106">
        <f>O417+O423+O429+O435</f>
        <v>73071.399999999994</v>
      </c>
      <c r="P416" s="97">
        <f t="shared" si="97"/>
        <v>70137.100000000006</v>
      </c>
      <c r="Q416" s="97">
        <f t="shared" si="98"/>
        <v>0</v>
      </c>
    </row>
    <row r="417" spans="1:17" ht="15.75" x14ac:dyDescent="0.2">
      <c r="A417" s="33" t="s">
        <v>419</v>
      </c>
      <c r="B417" s="110" t="s">
        <v>420</v>
      </c>
      <c r="C417" s="110" t="s">
        <v>51</v>
      </c>
      <c r="D417" s="131" t="s">
        <v>421</v>
      </c>
      <c r="E417" s="131" t="s">
        <v>11</v>
      </c>
      <c r="F417" s="132" t="s">
        <v>11</v>
      </c>
      <c r="G417" s="109">
        <f t="shared" ref="G417:O421" si="101">G418</f>
        <v>4133.6000000000004</v>
      </c>
      <c r="H417" s="111">
        <f t="shared" si="101"/>
        <v>139.1</v>
      </c>
      <c r="I417" s="109">
        <f t="shared" si="101"/>
        <v>4272.7000000000007</v>
      </c>
      <c r="J417" s="112">
        <f t="shared" si="101"/>
        <v>0</v>
      </c>
      <c r="K417" s="111">
        <f>K418</f>
        <v>0</v>
      </c>
      <c r="L417" s="112">
        <f t="shared" si="101"/>
        <v>0</v>
      </c>
      <c r="M417" s="109">
        <f t="shared" si="101"/>
        <v>4133.6000000000004</v>
      </c>
      <c r="N417" s="109">
        <f t="shared" si="101"/>
        <v>139.1</v>
      </c>
      <c r="O417" s="109">
        <f t="shared" si="101"/>
        <v>4272.7000000000007</v>
      </c>
      <c r="P417" s="97">
        <f t="shared" si="97"/>
        <v>4272.7000000000007</v>
      </c>
      <c r="Q417" s="97">
        <f t="shared" si="98"/>
        <v>0</v>
      </c>
    </row>
    <row r="418" spans="1:17" ht="31.5" x14ac:dyDescent="0.2">
      <c r="A418" s="40"/>
      <c r="B418" s="113" t="s">
        <v>87</v>
      </c>
      <c r="C418" s="113" t="s">
        <v>51</v>
      </c>
      <c r="D418" s="133" t="s">
        <v>421</v>
      </c>
      <c r="E418" s="133" t="s">
        <v>88</v>
      </c>
      <c r="F418" s="134" t="s">
        <v>11</v>
      </c>
      <c r="G418" s="111">
        <f t="shared" si="101"/>
        <v>4133.6000000000004</v>
      </c>
      <c r="H418" s="111">
        <f t="shared" si="101"/>
        <v>139.1</v>
      </c>
      <c r="I418" s="111">
        <f t="shared" si="101"/>
        <v>4272.7000000000007</v>
      </c>
      <c r="J418" s="114">
        <f t="shared" si="101"/>
        <v>0</v>
      </c>
      <c r="K418" s="111">
        <f>K419</f>
        <v>0</v>
      </c>
      <c r="L418" s="114">
        <f t="shared" si="101"/>
        <v>0</v>
      </c>
      <c r="M418" s="111">
        <f t="shared" si="101"/>
        <v>4133.6000000000004</v>
      </c>
      <c r="N418" s="111">
        <f t="shared" si="101"/>
        <v>139.1</v>
      </c>
      <c r="O418" s="111">
        <f t="shared" si="101"/>
        <v>4272.7000000000007</v>
      </c>
      <c r="P418" s="97">
        <f t="shared" si="97"/>
        <v>4272.7000000000007</v>
      </c>
      <c r="Q418" s="97">
        <f t="shared" si="98"/>
        <v>0</v>
      </c>
    </row>
    <row r="419" spans="1:17" ht="31.5" x14ac:dyDescent="0.2">
      <c r="A419" s="40"/>
      <c r="B419" s="113" t="s">
        <v>422</v>
      </c>
      <c r="C419" s="113" t="s">
        <v>51</v>
      </c>
      <c r="D419" s="133" t="s">
        <v>421</v>
      </c>
      <c r="E419" s="133" t="s">
        <v>423</v>
      </c>
      <c r="F419" s="134" t="s">
        <v>11</v>
      </c>
      <c r="G419" s="111">
        <f t="shared" si="101"/>
        <v>4133.6000000000004</v>
      </c>
      <c r="H419" s="111">
        <f t="shared" si="101"/>
        <v>139.1</v>
      </c>
      <c r="I419" s="111">
        <f t="shared" si="101"/>
        <v>4272.7000000000007</v>
      </c>
      <c r="J419" s="114">
        <f t="shared" si="101"/>
        <v>0</v>
      </c>
      <c r="K419" s="111">
        <f>K420</f>
        <v>0</v>
      </c>
      <c r="L419" s="114">
        <f t="shared" si="101"/>
        <v>0</v>
      </c>
      <c r="M419" s="111">
        <f t="shared" si="101"/>
        <v>4133.6000000000004</v>
      </c>
      <c r="N419" s="111">
        <f t="shared" si="101"/>
        <v>139.1</v>
      </c>
      <c r="O419" s="111">
        <f t="shared" si="101"/>
        <v>4272.7000000000007</v>
      </c>
      <c r="P419" s="97">
        <f t="shared" si="97"/>
        <v>4272.7000000000007</v>
      </c>
      <c r="Q419" s="97">
        <f t="shared" si="98"/>
        <v>0</v>
      </c>
    </row>
    <row r="420" spans="1:17" ht="47.25" x14ac:dyDescent="0.2">
      <c r="A420" s="40"/>
      <c r="B420" s="113" t="s">
        <v>424</v>
      </c>
      <c r="C420" s="113" t="s">
        <v>51</v>
      </c>
      <c r="D420" s="133" t="s">
        <v>421</v>
      </c>
      <c r="E420" s="133" t="s">
        <v>425</v>
      </c>
      <c r="F420" s="134" t="s">
        <v>11</v>
      </c>
      <c r="G420" s="111">
        <f t="shared" si="101"/>
        <v>4133.6000000000004</v>
      </c>
      <c r="H420" s="111">
        <f t="shared" si="101"/>
        <v>139.1</v>
      </c>
      <c r="I420" s="111">
        <f t="shared" si="101"/>
        <v>4272.7000000000007</v>
      </c>
      <c r="J420" s="114">
        <f t="shared" si="101"/>
        <v>0</v>
      </c>
      <c r="K420" s="111">
        <f>K421</f>
        <v>0</v>
      </c>
      <c r="L420" s="114">
        <f t="shared" si="101"/>
        <v>0</v>
      </c>
      <c r="M420" s="111">
        <f t="shared" si="101"/>
        <v>4133.6000000000004</v>
      </c>
      <c r="N420" s="111">
        <f t="shared" si="101"/>
        <v>139.1</v>
      </c>
      <c r="O420" s="111">
        <f t="shared" si="101"/>
        <v>4272.7000000000007</v>
      </c>
      <c r="P420" s="97">
        <f t="shared" si="97"/>
        <v>4272.7000000000007</v>
      </c>
      <c r="Q420" s="97">
        <f t="shared" si="98"/>
        <v>0</v>
      </c>
    </row>
    <row r="421" spans="1:17" ht="33" customHeight="1" x14ac:dyDescent="0.2">
      <c r="A421" s="40"/>
      <c r="B421" s="113" t="s">
        <v>426</v>
      </c>
      <c r="C421" s="113" t="s">
        <v>51</v>
      </c>
      <c r="D421" s="133" t="s">
        <v>421</v>
      </c>
      <c r="E421" s="133" t="s">
        <v>427</v>
      </c>
      <c r="F421" s="134" t="s">
        <v>11</v>
      </c>
      <c r="G421" s="111">
        <f>G422</f>
        <v>4133.6000000000004</v>
      </c>
      <c r="H421" s="111">
        <f>H422</f>
        <v>139.1</v>
      </c>
      <c r="I421" s="111">
        <f>I422</f>
        <v>4272.7000000000007</v>
      </c>
      <c r="J421" s="114">
        <f t="shared" si="101"/>
        <v>0</v>
      </c>
      <c r="K421" s="111"/>
      <c r="L421" s="114">
        <f t="shared" si="101"/>
        <v>0</v>
      </c>
      <c r="M421" s="111">
        <f t="shared" si="101"/>
        <v>4133.6000000000004</v>
      </c>
      <c r="N421" s="111">
        <f t="shared" si="101"/>
        <v>139.1</v>
      </c>
      <c r="O421" s="111">
        <f t="shared" si="101"/>
        <v>4272.7000000000007</v>
      </c>
      <c r="P421" s="97">
        <f t="shared" si="97"/>
        <v>4272.7000000000007</v>
      </c>
      <c r="Q421" s="97">
        <f t="shared" si="98"/>
        <v>0</v>
      </c>
    </row>
    <row r="422" spans="1:17" ht="31.5" x14ac:dyDescent="0.2">
      <c r="A422" s="40"/>
      <c r="B422" s="113" t="s">
        <v>112</v>
      </c>
      <c r="C422" s="113" t="s">
        <v>51</v>
      </c>
      <c r="D422" s="133" t="s">
        <v>421</v>
      </c>
      <c r="E422" s="133" t="s">
        <v>427</v>
      </c>
      <c r="F422" s="134" t="s">
        <v>113</v>
      </c>
      <c r="G422" s="111">
        <v>4133.6000000000004</v>
      </c>
      <c r="H422" s="111">
        <v>139.1</v>
      </c>
      <c r="I422" s="111">
        <f>SUM(G422:H422)</f>
        <v>4272.7000000000007</v>
      </c>
      <c r="J422" s="115">
        <v>0</v>
      </c>
      <c r="K422" s="109"/>
      <c r="L422" s="115">
        <v>0</v>
      </c>
      <c r="M422" s="111">
        <f>SUM(G422)</f>
        <v>4133.6000000000004</v>
      </c>
      <c r="N422" s="111">
        <f>H422+K422</f>
        <v>139.1</v>
      </c>
      <c r="O422" s="111">
        <f>SUM(M422:N422)</f>
        <v>4272.7000000000007</v>
      </c>
      <c r="P422" s="97">
        <f t="shared" si="97"/>
        <v>4272.7000000000007</v>
      </c>
      <c r="Q422" s="97">
        <f t="shared" si="98"/>
        <v>0</v>
      </c>
    </row>
    <row r="423" spans="1:17" ht="15.75" x14ac:dyDescent="0.2">
      <c r="A423" s="33" t="s">
        <v>428</v>
      </c>
      <c r="B423" s="110" t="s">
        <v>429</v>
      </c>
      <c r="C423" s="110" t="s">
        <v>51</v>
      </c>
      <c r="D423" s="131" t="s">
        <v>430</v>
      </c>
      <c r="E423" s="131" t="s">
        <v>11</v>
      </c>
      <c r="F423" s="132" t="s">
        <v>11</v>
      </c>
      <c r="G423" s="109">
        <f t="shared" ref="G423:O427" si="102">G424</f>
        <v>63946</v>
      </c>
      <c r="H423" s="111">
        <f t="shared" si="102"/>
        <v>0</v>
      </c>
      <c r="I423" s="109">
        <f t="shared" si="102"/>
        <v>63946</v>
      </c>
      <c r="J423" s="112">
        <f t="shared" si="102"/>
        <v>0</v>
      </c>
      <c r="K423" s="111">
        <f>K424</f>
        <v>0</v>
      </c>
      <c r="L423" s="112">
        <f t="shared" si="102"/>
        <v>0</v>
      </c>
      <c r="M423" s="109">
        <f t="shared" si="102"/>
        <v>63946</v>
      </c>
      <c r="N423" s="109">
        <f t="shared" si="102"/>
        <v>0</v>
      </c>
      <c r="O423" s="109">
        <f t="shared" si="102"/>
        <v>63946</v>
      </c>
      <c r="P423" s="97">
        <f t="shared" si="97"/>
        <v>63946</v>
      </c>
      <c r="Q423" s="97">
        <f t="shared" si="98"/>
        <v>0</v>
      </c>
    </row>
    <row r="424" spans="1:17" ht="31.5" x14ac:dyDescent="0.2">
      <c r="A424" s="40"/>
      <c r="B424" s="113" t="s">
        <v>87</v>
      </c>
      <c r="C424" s="113" t="s">
        <v>51</v>
      </c>
      <c r="D424" s="133" t="s">
        <v>430</v>
      </c>
      <c r="E424" s="133" t="s">
        <v>88</v>
      </c>
      <c r="F424" s="134" t="s">
        <v>11</v>
      </c>
      <c r="G424" s="111">
        <f t="shared" si="102"/>
        <v>63946</v>
      </c>
      <c r="H424" s="111">
        <f t="shared" si="102"/>
        <v>0</v>
      </c>
      <c r="I424" s="111">
        <f t="shared" si="102"/>
        <v>63946</v>
      </c>
      <c r="J424" s="114">
        <f t="shared" si="102"/>
        <v>0</v>
      </c>
      <c r="K424" s="111">
        <f>K425</f>
        <v>0</v>
      </c>
      <c r="L424" s="114">
        <f t="shared" si="102"/>
        <v>0</v>
      </c>
      <c r="M424" s="111">
        <f t="shared" si="102"/>
        <v>63946</v>
      </c>
      <c r="N424" s="111">
        <f t="shared" si="102"/>
        <v>0</v>
      </c>
      <c r="O424" s="111">
        <f t="shared" si="102"/>
        <v>63946</v>
      </c>
      <c r="P424" s="97">
        <f t="shared" si="97"/>
        <v>63946</v>
      </c>
      <c r="Q424" s="97">
        <f t="shared" si="98"/>
        <v>0</v>
      </c>
    </row>
    <row r="425" spans="1:17" ht="31.5" x14ac:dyDescent="0.2">
      <c r="A425" s="40"/>
      <c r="B425" s="113" t="s">
        <v>422</v>
      </c>
      <c r="C425" s="113" t="s">
        <v>51</v>
      </c>
      <c r="D425" s="133" t="s">
        <v>430</v>
      </c>
      <c r="E425" s="133" t="s">
        <v>423</v>
      </c>
      <c r="F425" s="134" t="s">
        <v>11</v>
      </c>
      <c r="G425" s="111">
        <f t="shared" si="102"/>
        <v>63946</v>
      </c>
      <c r="H425" s="111">
        <f t="shared" si="102"/>
        <v>0</v>
      </c>
      <c r="I425" s="111">
        <f t="shared" si="102"/>
        <v>63946</v>
      </c>
      <c r="J425" s="114">
        <f t="shared" si="102"/>
        <v>0</v>
      </c>
      <c r="K425" s="111">
        <f>K426</f>
        <v>0</v>
      </c>
      <c r="L425" s="114">
        <f t="shared" si="102"/>
        <v>0</v>
      </c>
      <c r="M425" s="111">
        <f t="shared" si="102"/>
        <v>63946</v>
      </c>
      <c r="N425" s="111">
        <f t="shared" si="102"/>
        <v>0</v>
      </c>
      <c r="O425" s="111">
        <f t="shared" si="102"/>
        <v>63946</v>
      </c>
      <c r="P425" s="97">
        <f t="shared" si="97"/>
        <v>63946</v>
      </c>
      <c r="Q425" s="97">
        <f t="shared" si="98"/>
        <v>0</v>
      </c>
    </row>
    <row r="426" spans="1:17" ht="31.5" x14ac:dyDescent="0.2">
      <c r="A426" s="40"/>
      <c r="B426" s="113" t="s">
        <v>431</v>
      </c>
      <c r="C426" s="113" t="s">
        <v>51</v>
      </c>
      <c r="D426" s="133" t="s">
        <v>430</v>
      </c>
      <c r="E426" s="133" t="s">
        <v>432</v>
      </c>
      <c r="F426" s="134" t="s">
        <v>11</v>
      </c>
      <c r="G426" s="111">
        <f t="shared" si="102"/>
        <v>63946</v>
      </c>
      <c r="H426" s="111">
        <f t="shared" si="102"/>
        <v>0</v>
      </c>
      <c r="I426" s="111">
        <f t="shared" si="102"/>
        <v>63946</v>
      </c>
      <c r="J426" s="114">
        <f t="shared" si="102"/>
        <v>0</v>
      </c>
      <c r="K426" s="111">
        <f>K427</f>
        <v>0</v>
      </c>
      <c r="L426" s="114">
        <f t="shared" si="102"/>
        <v>0</v>
      </c>
      <c r="M426" s="111">
        <f t="shared" si="102"/>
        <v>63946</v>
      </c>
      <c r="N426" s="111">
        <f t="shared" si="102"/>
        <v>0</v>
      </c>
      <c r="O426" s="111">
        <f t="shared" si="102"/>
        <v>63946</v>
      </c>
      <c r="P426" s="97">
        <f t="shared" si="97"/>
        <v>63946</v>
      </c>
      <c r="Q426" s="97">
        <f t="shared" si="98"/>
        <v>0</v>
      </c>
    </row>
    <row r="427" spans="1:17" ht="21" customHeight="1" x14ac:dyDescent="0.2">
      <c r="A427" s="40"/>
      <c r="B427" s="113" t="s">
        <v>433</v>
      </c>
      <c r="C427" s="113" t="s">
        <v>51</v>
      </c>
      <c r="D427" s="133" t="s">
        <v>430</v>
      </c>
      <c r="E427" s="133" t="s">
        <v>434</v>
      </c>
      <c r="F427" s="134" t="s">
        <v>11</v>
      </c>
      <c r="G427" s="111">
        <f>G428</f>
        <v>63946</v>
      </c>
      <c r="H427" s="109"/>
      <c r="I427" s="111">
        <f>I428</f>
        <v>63946</v>
      </c>
      <c r="J427" s="114">
        <f t="shared" si="102"/>
        <v>0</v>
      </c>
      <c r="K427" s="111"/>
      <c r="L427" s="114">
        <f t="shared" si="102"/>
        <v>0</v>
      </c>
      <c r="M427" s="111">
        <f t="shared" si="102"/>
        <v>63946</v>
      </c>
      <c r="N427" s="111">
        <f t="shared" si="102"/>
        <v>0</v>
      </c>
      <c r="O427" s="111">
        <f t="shared" si="102"/>
        <v>63946</v>
      </c>
      <c r="P427" s="97">
        <f t="shared" si="97"/>
        <v>63946</v>
      </c>
      <c r="Q427" s="97">
        <f t="shared" si="98"/>
        <v>0</v>
      </c>
    </row>
    <row r="428" spans="1:17" ht="31.5" x14ac:dyDescent="0.2">
      <c r="A428" s="40"/>
      <c r="B428" s="113" t="s">
        <v>112</v>
      </c>
      <c r="C428" s="113" t="s">
        <v>51</v>
      </c>
      <c r="D428" s="133" t="s">
        <v>430</v>
      </c>
      <c r="E428" s="133" t="s">
        <v>434</v>
      </c>
      <c r="F428" s="134" t="s">
        <v>113</v>
      </c>
      <c r="G428" s="111">
        <v>63946</v>
      </c>
      <c r="H428" s="109"/>
      <c r="I428" s="111">
        <f>SUM(G428)+H428</f>
        <v>63946</v>
      </c>
      <c r="J428" s="115">
        <v>0</v>
      </c>
      <c r="K428" s="109"/>
      <c r="L428" s="115">
        <v>0</v>
      </c>
      <c r="M428" s="111">
        <f>SUM(G428)</f>
        <v>63946</v>
      </c>
      <c r="N428" s="111">
        <f>SUM(H428)</f>
        <v>0</v>
      </c>
      <c r="O428" s="111">
        <f>SUM(M428)+N428</f>
        <v>63946</v>
      </c>
      <c r="P428" s="97">
        <f t="shared" si="97"/>
        <v>63946</v>
      </c>
      <c r="Q428" s="97">
        <f t="shared" si="98"/>
        <v>0</v>
      </c>
    </row>
    <row r="429" spans="1:17" ht="15.75" x14ac:dyDescent="0.2">
      <c r="A429" s="33" t="s">
        <v>435</v>
      </c>
      <c r="B429" s="110" t="s">
        <v>436</v>
      </c>
      <c r="C429" s="110" t="s">
        <v>51</v>
      </c>
      <c r="D429" s="131" t="s">
        <v>437</v>
      </c>
      <c r="E429" s="131" t="s">
        <v>11</v>
      </c>
      <c r="F429" s="132" t="s">
        <v>11</v>
      </c>
      <c r="G429" s="109">
        <f t="shared" ref="G429:O433" si="103">G430</f>
        <v>1884.2</v>
      </c>
      <c r="H429" s="109">
        <f t="shared" si="103"/>
        <v>-85.8</v>
      </c>
      <c r="I429" s="109">
        <f t="shared" si="103"/>
        <v>1798.4</v>
      </c>
      <c r="J429" s="112">
        <f t="shared" si="103"/>
        <v>3074.2</v>
      </c>
      <c r="K429" s="109">
        <f>K430</f>
        <v>-139.9</v>
      </c>
      <c r="L429" s="112">
        <f t="shared" si="103"/>
        <v>2934.2999999999997</v>
      </c>
      <c r="M429" s="109">
        <f t="shared" si="103"/>
        <v>4958.3999999999996</v>
      </c>
      <c r="N429" s="109">
        <f t="shared" si="103"/>
        <v>-225.7</v>
      </c>
      <c r="O429" s="109">
        <f t="shared" si="103"/>
        <v>4732.7</v>
      </c>
      <c r="P429" s="97">
        <f t="shared" si="97"/>
        <v>1798.4</v>
      </c>
      <c r="Q429" s="97">
        <f t="shared" si="98"/>
        <v>0</v>
      </c>
    </row>
    <row r="430" spans="1:17" ht="31.5" x14ac:dyDescent="0.2">
      <c r="A430" s="40"/>
      <c r="B430" s="113" t="s">
        <v>245</v>
      </c>
      <c r="C430" s="113" t="s">
        <v>51</v>
      </c>
      <c r="D430" s="133" t="s">
        <v>437</v>
      </c>
      <c r="E430" s="133" t="s">
        <v>246</v>
      </c>
      <c r="F430" s="134" t="s">
        <v>11</v>
      </c>
      <c r="G430" s="111">
        <f t="shared" si="103"/>
        <v>1884.2</v>
      </c>
      <c r="H430" s="111">
        <f t="shared" si="103"/>
        <v>-85.8</v>
      </c>
      <c r="I430" s="111">
        <f t="shared" si="103"/>
        <v>1798.4</v>
      </c>
      <c r="J430" s="114">
        <f t="shared" si="103"/>
        <v>3074.2</v>
      </c>
      <c r="K430" s="111">
        <f>K431</f>
        <v>-139.9</v>
      </c>
      <c r="L430" s="114">
        <f t="shared" si="103"/>
        <v>2934.2999999999997</v>
      </c>
      <c r="M430" s="111">
        <f t="shared" si="103"/>
        <v>4958.3999999999996</v>
      </c>
      <c r="N430" s="111">
        <f t="shared" si="103"/>
        <v>-225.7</v>
      </c>
      <c r="O430" s="111">
        <f t="shared" si="103"/>
        <v>4732.7</v>
      </c>
      <c r="P430" s="97">
        <f t="shared" si="97"/>
        <v>1798.4</v>
      </c>
      <c r="Q430" s="97">
        <f t="shared" si="98"/>
        <v>0</v>
      </c>
    </row>
    <row r="431" spans="1:17" ht="31.5" x14ac:dyDescent="0.2">
      <c r="A431" s="40"/>
      <c r="B431" s="113" t="s">
        <v>438</v>
      </c>
      <c r="C431" s="113" t="s">
        <v>51</v>
      </c>
      <c r="D431" s="133" t="s">
        <v>437</v>
      </c>
      <c r="E431" s="133" t="s">
        <v>439</v>
      </c>
      <c r="F431" s="134" t="s">
        <v>11</v>
      </c>
      <c r="G431" s="111">
        <f t="shared" si="103"/>
        <v>1884.2</v>
      </c>
      <c r="H431" s="111">
        <f t="shared" si="103"/>
        <v>-85.8</v>
      </c>
      <c r="I431" s="111">
        <f t="shared" si="103"/>
        <v>1798.4</v>
      </c>
      <c r="J431" s="114">
        <f t="shared" si="103"/>
        <v>3074.2</v>
      </c>
      <c r="K431" s="111">
        <f>K432</f>
        <v>-139.9</v>
      </c>
      <c r="L431" s="114">
        <f t="shared" si="103"/>
        <v>2934.2999999999997</v>
      </c>
      <c r="M431" s="111">
        <f t="shared" si="103"/>
        <v>4958.3999999999996</v>
      </c>
      <c r="N431" s="111">
        <f t="shared" si="103"/>
        <v>-225.7</v>
      </c>
      <c r="O431" s="111">
        <f t="shared" si="103"/>
        <v>4732.7</v>
      </c>
      <c r="P431" s="97">
        <f t="shared" si="97"/>
        <v>1798.4</v>
      </c>
      <c r="Q431" s="97">
        <f t="shared" si="98"/>
        <v>0</v>
      </c>
    </row>
    <row r="432" spans="1:17" ht="47.25" x14ac:dyDescent="0.2">
      <c r="A432" s="40"/>
      <c r="B432" s="113" t="s">
        <v>599</v>
      </c>
      <c r="C432" s="113" t="s">
        <v>51</v>
      </c>
      <c r="D432" s="133" t="s">
        <v>437</v>
      </c>
      <c r="E432" s="133" t="s">
        <v>441</v>
      </c>
      <c r="F432" s="134" t="s">
        <v>11</v>
      </c>
      <c r="G432" s="111">
        <f t="shared" si="103"/>
        <v>1884.2</v>
      </c>
      <c r="H432" s="111">
        <f t="shared" si="103"/>
        <v>-85.8</v>
      </c>
      <c r="I432" s="111">
        <f t="shared" si="103"/>
        <v>1798.4</v>
      </c>
      <c r="J432" s="114">
        <f t="shared" si="103"/>
        <v>3074.2</v>
      </c>
      <c r="K432" s="111">
        <f>K433</f>
        <v>-139.9</v>
      </c>
      <c r="L432" s="114">
        <f t="shared" si="103"/>
        <v>2934.2999999999997</v>
      </c>
      <c r="M432" s="111">
        <f t="shared" si="103"/>
        <v>4958.3999999999996</v>
      </c>
      <c r="N432" s="111">
        <f t="shared" si="103"/>
        <v>-225.7</v>
      </c>
      <c r="O432" s="111">
        <f t="shared" si="103"/>
        <v>4732.7</v>
      </c>
      <c r="P432" s="97">
        <f t="shared" si="97"/>
        <v>1798.4</v>
      </c>
      <c r="Q432" s="97">
        <f t="shared" si="98"/>
        <v>0</v>
      </c>
    </row>
    <row r="433" spans="1:17" ht="31.5" x14ac:dyDescent="0.2">
      <c r="A433" s="40"/>
      <c r="B433" s="113" t="s">
        <v>442</v>
      </c>
      <c r="C433" s="113" t="s">
        <v>51</v>
      </c>
      <c r="D433" s="133" t="s">
        <v>437</v>
      </c>
      <c r="E433" s="133" t="s">
        <v>443</v>
      </c>
      <c r="F433" s="134" t="s">
        <v>11</v>
      </c>
      <c r="G433" s="111">
        <f>G434</f>
        <v>1884.2</v>
      </c>
      <c r="H433" s="111">
        <f>H434</f>
        <v>-85.8</v>
      </c>
      <c r="I433" s="111">
        <f>I434</f>
        <v>1798.4</v>
      </c>
      <c r="J433" s="114">
        <f t="shared" si="103"/>
        <v>3074.2</v>
      </c>
      <c r="K433" s="111">
        <f>K434</f>
        <v>-139.9</v>
      </c>
      <c r="L433" s="114">
        <f t="shared" si="103"/>
        <v>2934.2999999999997</v>
      </c>
      <c r="M433" s="111">
        <f t="shared" si="103"/>
        <v>4958.3999999999996</v>
      </c>
      <c r="N433" s="111">
        <f t="shared" si="103"/>
        <v>-225.7</v>
      </c>
      <c r="O433" s="111">
        <f t="shared" si="103"/>
        <v>4732.7</v>
      </c>
      <c r="P433" s="97">
        <f t="shared" si="97"/>
        <v>1798.4</v>
      </c>
      <c r="Q433" s="97">
        <f t="shared" si="98"/>
        <v>0</v>
      </c>
    </row>
    <row r="434" spans="1:17" ht="31.5" x14ac:dyDescent="0.2">
      <c r="A434" s="40"/>
      <c r="B434" s="113" t="s">
        <v>112</v>
      </c>
      <c r="C434" s="113" t="s">
        <v>51</v>
      </c>
      <c r="D434" s="133" t="s">
        <v>437</v>
      </c>
      <c r="E434" s="133" t="s">
        <v>443</v>
      </c>
      <c r="F434" s="134" t="s">
        <v>113</v>
      </c>
      <c r="G434" s="111">
        <v>1884.2</v>
      </c>
      <c r="H434" s="111">
        <v>-85.8</v>
      </c>
      <c r="I434" s="111">
        <f>G434+H434</f>
        <v>1798.4</v>
      </c>
      <c r="J434" s="115">
        <v>3074.2</v>
      </c>
      <c r="K434" s="111">
        <v>-139.9</v>
      </c>
      <c r="L434" s="115">
        <f>J434+K434</f>
        <v>2934.2999999999997</v>
      </c>
      <c r="M434" s="111">
        <f>SUM(G434+J434)</f>
        <v>4958.3999999999996</v>
      </c>
      <c r="N434" s="111">
        <f>H434+K434</f>
        <v>-225.7</v>
      </c>
      <c r="O434" s="111">
        <f>SUM(I434+L434)</f>
        <v>4732.7</v>
      </c>
      <c r="P434" s="97">
        <f t="shared" si="97"/>
        <v>1798.4</v>
      </c>
      <c r="Q434" s="97">
        <f t="shared" si="98"/>
        <v>0</v>
      </c>
    </row>
    <row r="435" spans="1:17" ht="15.75" x14ac:dyDescent="0.2">
      <c r="A435" s="33" t="s">
        <v>444</v>
      </c>
      <c r="B435" s="110" t="s">
        <v>445</v>
      </c>
      <c r="C435" s="110" t="s">
        <v>51</v>
      </c>
      <c r="D435" s="131" t="s">
        <v>446</v>
      </c>
      <c r="E435" s="131" t="s">
        <v>11</v>
      </c>
      <c r="F435" s="132" t="s">
        <v>11</v>
      </c>
      <c r="G435" s="109">
        <f t="shared" ref="G435:O439" si="104">G436</f>
        <v>120</v>
      </c>
      <c r="H435" s="111">
        <f t="shared" si="104"/>
        <v>0</v>
      </c>
      <c r="I435" s="109">
        <f t="shared" si="104"/>
        <v>120</v>
      </c>
      <c r="J435" s="112">
        <f t="shared" si="104"/>
        <v>0</v>
      </c>
      <c r="K435" s="111">
        <f>K436</f>
        <v>0</v>
      </c>
      <c r="L435" s="112">
        <f t="shared" si="104"/>
        <v>0</v>
      </c>
      <c r="M435" s="109">
        <f t="shared" si="104"/>
        <v>120</v>
      </c>
      <c r="N435" s="109">
        <f t="shared" si="104"/>
        <v>0</v>
      </c>
      <c r="O435" s="109">
        <f t="shared" si="104"/>
        <v>120</v>
      </c>
      <c r="P435" s="97">
        <f t="shared" si="97"/>
        <v>120</v>
      </c>
      <c r="Q435" s="97">
        <f t="shared" si="98"/>
        <v>0</v>
      </c>
    </row>
    <row r="436" spans="1:17" ht="31.5" x14ac:dyDescent="0.2">
      <c r="A436" s="40"/>
      <c r="B436" s="113" t="s">
        <v>87</v>
      </c>
      <c r="C436" s="113" t="s">
        <v>51</v>
      </c>
      <c r="D436" s="133" t="s">
        <v>446</v>
      </c>
      <c r="E436" s="133" t="s">
        <v>88</v>
      </c>
      <c r="F436" s="134" t="s">
        <v>11</v>
      </c>
      <c r="G436" s="111">
        <f t="shared" si="104"/>
        <v>120</v>
      </c>
      <c r="H436" s="111">
        <f t="shared" si="104"/>
        <v>0</v>
      </c>
      <c r="I436" s="111">
        <f t="shared" si="104"/>
        <v>120</v>
      </c>
      <c r="J436" s="114">
        <f t="shared" si="104"/>
        <v>0</v>
      </c>
      <c r="K436" s="111">
        <f>K437</f>
        <v>0</v>
      </c>
      <c r="L436" s="114">
        <f t="shared" si="104"/>
        <v>0</v>
      </c>
      <c r="M436" s="111">
        <f t="shared" si="104"/>
        <v>120</v>
      </c>
      <c r="N436" s="111">
        <f t="shared" si="104"/>
        <v>0</v>
      </c>
      <c r="O436" s="111">
        <f t="shared" si="104"/>
        <v>120</v>
      </c>
      <c r="P436" s="97">
        <f t="shared" si="97"/>
        <v>120</v>
      </c>
      <c r="Q436" s="97">
        <f t="shared" si="98"/>
        <v>0</v>
      </c>
    </row>
    <row r="437" spans="1:17" ht="47.25" x14ac:dyDescent="0.2">
      <c r="A437" s="40"/>
      <c r="B437" s="113" t="s">
        <v>89</v>
      </c>
      <c r="C437" s="113" t="s">
        <v>51</v>
      </c>
      <c r="D437" s="133" t="s">
        <v>446</v>
      </c>
      <c r="E437" s="133" t="s">
        <v>90</v>
      </c>
      <c r="F437" s="134" t="s">
        <v>11</v>
      </c>
      <c r="G437" s="111">
        <f t="shared" si="104"/>
        <v>120</v>
      </c>
      <c r="H437" s="111">
        <f t="shared" si="104"/>
        <v>0</v>
      </c>
      <c r="I437" s="111">
        <f t="shared" si="104"/>
        <v>120</v>
      </c>
      <c r="J437" s="114">
        <f t="shared" si="104"/>
        <v>0</v>
      </c>
      <c r="K437" s="111">
        <f>K438</f>
        <v>0</v>
      </c>
      <c r="L437" s="114">
        <f t="shared" si="104"/>
        <v>0</v>
      </c>
      <c r="M437" s="111">
        <f t="shared" si="104"/>
        <v>120</v>
      </c>
      <c r="N437" s="111">
        <f t="shared" si="104"/>
        <v>0</v>
      </c>
      <c r="O437" s="111">
        <f t="shared" si="104"/>
        <v>120</v>
      </c>
      <c r="P437" s="97">
        <f t="shared" si="97"/>
        <v>120</v>
      </c>
      <c r="Q437" s="97">
        <f t="shared" si="98"/>
        <v>0</v>
      </c>
    </row>
    <row r="438" spans="1:17" ht="36" customHeight="1" x14ac:dyDescent="0.2">
      <c r="A438" s="40"/>
      <c r="B438" s="113" t="s">
        <v>91</v>
      </c>
      <c r="C438" s="113" t="s">
        <v>51</v>
      </c>
      <c r="D438" s="133" t="s">
        <v>446</v>
      </c>
      <c r="E438" s="133" t="s">
        <v>92</v>
      </c>
      <c r="F438" s="134" t="s">
        <v>11</v>
      </c>
      <c r="G438" s="111">
        <f t="shared" si="104"/>
        <v>120</v>
      </c>
      <c r="H438" s="111">
        <f t="shared" si="104"/>
        <v>0</v>
      </c>
      <c r="I438" s="111">
        <f t="shared" si="104"/>
        <v>120</v>
      </c>
      <c r="J438" s="114">
        <f t="shared" si="104"/>
        <v>0</v>
      </c>
      <c r="K438" s="111">
        <f>K439</f>
        <v>0</v>
      </c>
      <c r="L438" s="114">
        <f t="shared" si="104"/>
        <v>0</v>
      </c>
      <c r="M438" s="111">
        <f t="shared" si="104"/>
        <v>120</v>
      </c>
      <c r="N438" s="111">
        <f t="shared" si="104"/>
        <v>0</v>
      </c>
      <c r="O438" s="111">
        <f t="shared" si="104"/>
        <v>120</v>
      </c>
      <c r="P438" s="97">
        <f t="shared" si="97"/>
        <v>120</v>
      </c>
      <c r="Q438" s="97">
        <f t="shared" si="98"/>
        <v>0</v>
      </c>
    </row>
    <row r="439" spans="1:17" ht="47.25" x14ac:dyDescent="0.2">
      <c r="A439" s="40"/>
      <c r="B439" s="113" t="s">
        <v>93</v>
      </c>
      <c r="C439" s="113" t="s">
        <v>51</v>
      </c>
      <c r="D439" s="133" t="s">
        <v>446</v>
      </c>
      <c r="E439" s="133" t="s">
        <v>94</v>
      </c>
      <c r="F439" s="134" t="s">
        <v>11</v>
      </c>
      <c r="G439" s="111">
        <f>G440</f>
        <v>120</v>
      </c>
      <c r="H439" s="111"/>
      <c r="I439" s="111">
        <f>I440</f>
        <v>120</v>
      </c>
      <c r="J439" s="114">
        <f t="shared" si="104"/>
        <v>0</v>
      </c>
      <c r="K439" s="111"/>
      <c r="L439" s="114">
        <f t="shared" si="104"/>
        <v>0</v>
      </c>
      <c r="M439" s="111">
        <f t="shared" si="104"/>
        <v>120</v>
      </c>
      <c r="N439" s="111">
        <f t="shared" si="104"/>
        <v>0</v>
      </c>
      <c r="O439" s="111">
        <f t="shared" si="104"/>
        <v>120</v>
      </c>
      <c r="P439" s="97">
        <f t="shared" si="97"/>
        <v>120</v>
      </c>
      <c r="Q439" s="97">
        <f t="shared" si="98"/>
        <v>0</v>
      </c>
    </row>
    <row r="440" spans="1:17" ht="33.6" customHeight="1" x14ac:dyDescent="0.2">
      <c r="A440" s="40"/>
      <c r="B440" s="113" t="s">
        <v>95</v>
      </c>
      <c r="C440" s="113" t="s">
        <v>51</v>
      </c>
      <c r="D440" s="133" t="s">
        <v>446</v>
      </c>
      <c r="E440" s="133" t="s">
        <v>94</v>
      </c>
      <c r="F440" s="134" t="s">
        <v>96</v>
      </c>
      <c r="G440" s="111">
        <v>120</v>
      </c>
      <c r="H440" s="106"/>
      <c r="I440" s="111">
        <v>120</v>
      </c>
      <c r="J440" s="115">
        <v>0</v>
      </c>
      <c r="K440" s="106"/>
      <c r="L440" s="115">
        <v>0</v>
      </c>
      <c r="M440" s="111">
        <v>120</v>
      </c>
      <c r="N440" s="111"/>
      <c r="O440" s="111">
        <v>120</v>
      </c>
      <c r="P440" s="97">
        <f t="shared" si="97"/>
        <v>120</v>
      </c>
      <c r="Q440" s="97">
        <f t="shared" si="98"/>
        <v>0</v>
      </c>
    </row>
    <row r="441" spans="1:17" ht="15.75" x14ac:dyDescent="0.2">
      <c r="A441" s="20" t="s">
        <v>447</v>
      </c>
      <c r="B441" s="107" t="s">
        <v>448</v>
      </c>
      <c r="C441" s="107" t="s">
        <v>51</v>
      </c>
      <c r="D441" s="129" t="s">
        <v>449</v>
      </c>
      <c r="E441" s="129" t="s">
        <v>11</v>
      </c>
      <c r="F441" s="130" t="s">
        <v>11</v>
      </c>
      <c r="G441" s="106">
        <f>G442</f>
        <v>1863.8</v>
      </c>
      <c r="H441" s="109">
        <f>H442+H447</f>
        <v>0</v>
      </c>
      <c r="I441" s="106">
        <f>I442</f>
        <v>1863.8</v>
      </c>
      <c r="J441" s="108">
        <f>J442</f>
        <v>0</v>
      </c>
      <c r="K441" s="109">
        <f>K442+K447</f>
        <v>0</v>
      </c>
      <c r="L441" s="108">
        <f>L442</f>
        <v>0</v>
      </c>
      <c r="M441" s="106">
        <f>M442</f>
        <v>1863.8</v>
      </c>
      <c r="N441" s="106">
        <f>N442</f>
        <v>0</v>
      </c>
      <c r="O441" s="106">
        <f>O442</f>
        <v>1863.8</v>
      </c>
      <c r="P441" s="97">
        <f t="shared" si="97"/>
        <v>1863.8</v>
      </c>
      <c r="Q441" s="97">
        <f t="shared" si="98"/>
        <v>0</v>
      </c>
    </row>
    <row r="442" spans="1:17" ht="15.75" x14ac:dyDescent="0.2">
      <c r="A442" s="33" t="s">
        <v>450</v>
      </c>
      <c r="B442" s="110" t="s">
        <v>451</v>
      </c>
      <c r="C442" s="110" t="s">
        <v>51</v>
      </c>
      <c r="D442" s="131" t="s">
        <v>452</v>
      </c>
      <c r="E442" s="131" t="s">
        <v>11</v>
      </c>
      <c r="F442" s="132" t="s">
        <v>11</v>
      </c>
      <c r="G442" s="109">
        <f>G443+G448</f>
        <v>1863.8</v>
      </c>
      <c r="H442" s="111">
        <f t="shared" ref="G442:O444" si="105">H443</f>
        <v>0</v>
      </c>
      <c r="I442" s="109">
        <f>I443+I448</f>
        <v>1863.8</v>
      </c>
      <c r="J442" s="112">
        <f>J443+J448</f>
        <v>0</v>
      </c>
      <c r="K442" s="111">
        <f t="shared" si="105"/>
        <v>0</v>
      </c>
      <c r="L442" s="112">
        <f>L443+L448</f>
        <v>0</v>
      </c>
      <c r="M442" s="109">
        <f>M443+M448</f>
        <v>1863.8</v>
      </c>
      <c r="N442" s="109">
        <f>N443+N448</f>
        <v>0</v>
      </c>
      <c r="O442" s="109">
        <f>O443+O448</f>
        <v>1863.8</v>
      </c>
      <c r="P442" s="97">
        <f t="shared" si="97"/>
        <v>1863.8</v>
      </c>
      <c r="Q442" s="97">
        <f t="shared" si="98"/>
        <v>0</v>
      </c>
    </row>
    <row r="443" spans="1:17" ht="31.5" x14ac:dyDescent="0.2">
      <c r="A443" s="40"/>
      <c r="B443" s="113" t="s">
        <v>453</v>
      </c>
      <c r="C443" s="113" t="s">
        <v>51</v>
      </c>
      <c r="D443" s="133" t="s">
        <v>452</v>
      </c>
      <c r="E443" s="133" t="s">
        <v>454</v>
      </c>
      <c r="F443" s="134" t="s">
        <v>11</v>
      </c>
      <c r="G443" s="111">
        <f t="shared" si="105"/>
        <v>1813.8</v>
      </c>
      <c r="H443" s="111">
        <f t="shared" si="105"/>
        <v>0</v>
      </c>
      <c r="I443" s="111">
        <f t="shared" si="105"/>
        <v>1813.8</v>
      </c>
      <c r="J443" s="114">
        <f t="shared" si="105"/>
        <v>0</v>
      </c>
      <c r="K443" s="111">
        <f t="shared" si="105"/>
        <v>0</v>
      </c>
      <c r="L443" s="114">
        <f t="shared" si="105"/>
        <v>0</v>
      </c>
      <c r="M443" s="111">
        <f t="shared" si="105"/>
        <v>1813.8</v>
      </c>
      <c r="N443" s="111">
        <f t="shared" si="105"/>
        <v>0</v>
      </c>
      <c r="O443" s="111">
        <f t="shared" si="105"/>
        <v>1813.8</v>
      </c>
      <c r="P443" s="97">
        <f t="shared" si="97"/>
        <v>1813.8</v>
      </c>
      <c r="Q443" s="97">
        <f t="shared" si="98"/>
        <v>0</v>
      </c>
    </row>
    <row r="444" spans="1:17" ht="63" x14ac:dyDescent="0.2">
      <c r="A444" s="40"/>
      <c r="B444" s="113" t="s">
        <v>455</v>
      </c>
      <c r="C444" s="113" t="s">
        <v>51</v>
      </c>
      <c r="D444" s="133" t="s">
        <v>452</v>
      </c>
      <c r="E444" s="133" t="s">
        <v>456</v>
      </c>
      <c r="F444" s="134" t="s">
        <v>11</v>
      </c>
      <c r="G444" s="111">
        <f t="shared" si="105"/>
        <v>1813.8</v>
      </c>
      <c r="H444" s="111">
        <f>H445+H446</f>
        <v>0</v>
      </c>
      <c r="I444" s="111">
        <f t="shared" si="105"/>
        <v>1813.8</v>
      </c>
      <c r="J444" s="114">
        <f t="shared" si="105"/>
        <v>0</v>
      </c>
      <c r="K444" s="111">
        <f>K445+K446</f>
        <v>0</v>
      </c>
      <c r="L444" s="114">
        <f t="shared" si="105"/>
        <v>0</v>
      </c>
      <c r="M444" s="111">
        <f t="shared" si="105"/>
        <v>1813.8</v>
      </c>
      <c r="N444" s="111">
        <f t="shared" si="105"/>
        <v>0</v>
      </c>
      <c r="O444" s="111">
        <f t="shared" si="105"/>
        <v>1813.8</v>
      </c>
      <c r="P444" s="97">
        <f t="shared" si="97"/>
        <v>1813.8</v>
      </c>
      <c r="Q444" s="97">
        <f t="shared" si="98"/>
        <v>0</v>
      </c>
    </row>
    <row r="445" spans="1:17" ht="47.25" x14ac:dyDescent="0.2">
      <c r="A445" s="40"/>
      <c r="B445" s="113" t="s">
        <v>457</v>
      </c>
      <c r="C445" s="113" t="s">
        <v>51</v>
      </c>
      <c r="D445" s="133" t="s">
        <v>452</v>
      </c>
      <c r="E445" s="133" t="s">
        <v>458</v>
      </c>
      <c r="F445" s="134" t="s">
        <v>11</v>
      </c>
      <c r="G445" s="111">
        <f>G446+G447</f>
        <v>1813.8</v>
      </c>
      <c r="H445" s="111"/>
      <c r="I445" s="111">
        <f>I446+I447</f>
        <v>1813.8</v>
      </c>
      <c r="J445" s="114">
        <f>J446+J447</f>
        <v>0</v>
      </c>
      <c r="K445" s="111"/>
      <c r="L445" s="114">
        <f>L446+L447</f>
        <v>0</v>
      </c>
      <c r="M445" s="111">
        <f>M446+M447</f>
        <v>1813.8</v>
      </c>
      <c r="N445" s="111">
        <f>N446+N447</f>
        <v>0</v>
      </c>
      <c r="O445" s="111">
        <f>O446+O447</f>
        <v>1813.8</v>
      </c>
      <c r="P445" s="97">
        <f t="shared" si="97"/>
        <v>1813.8</v>
      </c>
      <c r="Q445" s="97">
        <f t="shared" si="98"/>
        <v>0</v>
      </c>
    </row>
    <row r="446" spans="1:17" ht="31.5" x14ac:dyDescent="0.2">
      <c r="A446" s="40"/>
      <c r="B446" s="113" t="s">
        <v>40</v>
      </c>
      <c r="C446" s="113" t="s">
        <v>51</v>
      </c>
      <c r="D446" s="133" t="s">
        <v>452</v>
      </c>
      <c r="E446" s="133" t="s">
        <v>458</v>
      </c>
      <c r="F446" s="134" t="s">
        <v>41</v>
      </c>
      <c r="G446" s="111">
        <v>300</v>
      </c>
      <c r="H446" s="111"/>
      <c r="I446" s="111">
        <v>300</v>
      </c>
      <c r="J446" s="115">
        <v>0</v>
      </c>
      <c r="K446" s="111"/>
      <c r="L446" s="115">
        <v>0</v>
      </c>
      <c r="M446" s="111">
        <v>300</v>
      </c>
      <c r="N446" s="111"/>
      <c r="O446" s="111">
        <v>300</v>
      </c>
      <c r="P446" s="97">
        <f t="shared" si="97"/>
        <v>300</v>
      </c>
      <c r="Q446" s="97">
        <f t="shared" si="98"/>
        <v>0</v>
      </c>
    </row>
    <row r="447" spans="1:17" ht="31.5" x14ac:dyDescent="0.2">
      <c r="A447" s="40"/>
      <c r="B447" s="113" t="s">
        <v>112</v>
      </c>
      <c r="C447" s="113" t="s">
        <v>51</v>
      </c>
      <c r="D447" s="133" t="s">
        <v>452</v>
      </c>
      <c r="E447" s="133" t="s">
        <v>458</v>
      </c>
      <c r="F447" s="134" t="s">
        <v>113</v>
      </c>
      <c r="G447" s="111">
        <v>1513.8</v>
      </c>
      <c r="H447" s="111"/>
      <c r="I447" s="111">
        <v>1513.8</v>
      </c>
      <c r="J447" s="115">
        <v>0</v>
      </c>
      <c r="K447" s="111"/>
      <c r="L447" s="115">
        <v>0</v>
      </c>
      <c r="M447" s="111">
        <v>1513.8</v>
      </c>
      <c r="N447" s="111"/>
      <c r="O447" s="111">
        <v>1513.8</v>
      </c>
      <c r="P447" s="97">
        <f t="shared" si="97"/>
        <v>1513.8</v>
      </c>
      <c r="Q447" s="97">
        <f t="shared" si="98"/>
        <v>0</v>
      </c>
    </row>
    <row r="448" spans="1:17" ht="15.75" x14ac:dyDescent="0.2">
      <c r="A448" s="40"/>
      <c r="B448" s="113" t="s">
        <v>459</v>
      </c>
      <c r="C448" s="113" t="s">
        <v>51</v>
      </c>
      <c r="D448" s="133" t="s">
        <v>452</v>
      </c>
      <c r="E448" s="133" t="s">
        <v>460</v>
      </c>
      <c r="F448" s="134" t="s">
        <v>11</v>
      </c>
      <c r="G448" s="111">
        <f t="shared" ref="G448:O450" si="106">G449</f>
        <v>50</v>
      </c>
      <c r="H448" s="111">
        <f t="shared" si="106"/>
        <v>0</v>
      </c>
      <c r="I448" s="111">
        <f t="shared" si="106"/>
        <v>50</v>
      </c>
      <c r="J448" s="114">
        <f t="shared" si="106"/>
        <v>0</v>
      </c>
      <c r="K448" s="111">
        <f>K449</f>
        <v>0</v>
      </c>
      <c r="L448" s="114">
        <f t="shared" si="106"/>
        <v>0</v>
      </c>
      <c r="M448" s="111">
        <f t="shared" si="106"/>
        <v>50</v>
      </c>
      <c r="N448" s="111">
        <f t="shared" si="106"/>
        <v>0</v>
      </c>
      <c r="O448" s="111">
        <f t="shared" si="106"/>
        <v>50</v>
      </c>
      <c r="P448" s="97">
        <f t="shared" si="97"/>
        <v>50</v>
      </c>
      <c r="Q448" s="97">
        <f t="shared" si="98"/>
        <v>0</v>
      </c>
    </row>
    <row r="449" spans="1:17" ht="39.6" customHeight="1" x14ac:dyDescent="0.2">
      <c r="A449" s="40"/>
      <c r="B449" s="113" t="s">
        <v>461</v>
      </c>
      <c r="C449" s="113" t="s">
        <v>51</v>
      </c>
      <c r="D449" s="133" t="s">
        <v>452</v>
      </c>
      <c r="E449" s="133" t="s">
        <v>462</v>
      </c>
      <c r="F449" s="134" t="s">
        <v>11</v>
      </c>
      <c r="G449" s="111">
        <f t="shared" si="106"/>
        <v>50</v>
      </c>
      <c r="H449" s="111">
        <f t="shared" si="106"/>
        <v>0</v>
      </c>
      <c r="I449" s="111">
        <f t="shared" si="106"/>
        <v>50</v>
      </c>
      <c r="J449" s="114">
        <f t="shared" si="106"/>
        <v>0</v>
      </c>
      <c r="K449" s="111">
        <f>K450</f>
        <v>0</v>
      </c>
      <c r="L449" s="114">
        <f t="shared" si="106"/>
        <v>0</v>
      </c>
      <c r="M449" s="111">
        <f t="shared" si="106"/>
        <v>50</v>
      </c>
      <c r="N449" s="111">
        <f t="shared" si="106"/>
        <v>0</v>
      </c>
      <c r="O449" s="111">
        <f t="shared" si="106"/>
        <v>50</v>
      </c>
      <c r="P449" s="97">
        <f t="shared" si="97"/>
        <v>50</v>
      </c>
      <c r="Q449" s="97">
        <f t="shared" si="98"/>
        <v>0</v>
      </c>
    </row>
    <row r="450" spans="1:17" ht="31.5" x14ac:dyDescent="0.2">
      <c r="A450" s="40"/>
      <c r="B450" s="113" t="s">
        <v>463</v>
      </c>
      <c r="C450" s="113" t="s">
        <v>51</v>
      </c>
      <c r="D450" s="133" t="s">
        <v>452</v>
      </c>
      <c r="E450" s="133" t="s">
        <v>464</v>
      </c>
      <c r="F450" s="134" t="s">
        <v>11</v>
      </c>
      <c r="G450" s="111">
        <f>G451</f>
        <v>50</v>
      </c>
      <c r="H450" s="111"/>
      <c r="I450" s="111">
        <f>I451</f>
        <v>50</v>
      </c>
      <c r="J450" s="114">
        <f t="shared" si="106"/>
        <v>0</v>
      </c>
      <c r="K450" s="111"/>
      <c r="L450" s="114">
        <f t="shared" si="106"/>
        <v>0</v>
      </c>
      <c r="M450" s="111">
        <f t="shared" si="106"/>
        <v>50</v>
      </c>
      <c r="N450" s="111">
        <f t="shared" si="106"/>
        <v>0</v>
      </c>
      <c r="O450" s="111">
        <f t="shared" si="106"/>
        <v>50</v>
      </c>
      <c r="P450" s="97">
        <f t="shared" si="97"/>
        <v>50</v>
      </c>
      <c r="Q450" s="97">
        <f t="shared" si="98"/>
        <v>0</v>
      </c>
    </row>
    <row r="451" spans="1:17" ht="31.5" x14ac:dyDescent="0.2">
      <c r="A451" s="40"/>
      <c r="B451" s="113" t="s">
        <v>40</v>
      </c>
      <c r="C451" s="113" t="s">
        <v>51</v>
      </c>
      <c r="D451" s="133" t="s">
        <v>452</v>
      </c>
      <c r="E451" s="133" t="s">
        <v>464</v>
      </c>
      <c r="F451" s="134" t="s">
        <v>41</v>
      </c>
      <c r="G451" s="111">
        <v>50</v>
      </c>
      <c r="H451" s="106"/>
      <c r="I451" s="111">
        <v>50</v>
      </c>
      <c r="J451" s="115"/>
      <c r="K451" s="106">
        <f t="shared" ref="G451:O457" si="107">K452</f>
        <v>0</v>
      </c>
      <c r="L451" s="115"/>
      <c r="M451" s="111">
        <v>50</v>
      </c>
      <c r="N451" s="111"/>
      <c r="O451" s="111">
        <v>50</v>
      </c>
      <c r="P451" s="97">
        <f t="shared" si="97"/>
        <v>50</v>
      </c>
      <c r="Q451" s="97">
        <f t="shared" si="98"/>
        <v>0</v>
      </c>
    </row>
    <row r="452" spans="1:17" ht="31.5" x14ac:dyDescent="0.2">
      <c r="A452" s="20" t="s">
        <v>465</v>
      </c>
      <c r="B452" s="107" t="s">
        <v>466</v>
      </c>
      <c r="C452" s="107" t="s">
        <v>51</v>
      </c>
      <c r="D452" s="129" t="s">
        <v>467</v>
      </c>
      <c r="E452" s="129" t="s">
        <v>11</v>
      </c>
      <c r="F452" s="130" t="s">
        <v>11</v>
      </c>
      <c r="G452" s="106">
        <f t="shared" si="107"/>
        <v>10.5</v>
      </c>
      <c r="H452" s="109">
        <f t="shared" si="107"/>
        <v>10</v>
      </c>
      <c r="I452" s="106">
        <f t="shared" si="107"/>
        <v>20.5</v>
      </c>
      <c r="J452" s="108">
        <f t="shared" si="107"/>
        <v>0</v>
      </c>
      <c r="K452" s="109">
        <f t="shared" si="107"/>
        <v>0</v>
      </c>
      <c r="L452" s="108">
        <f t="shared" si="107"/>
        <v>0</v>
      </c>
      <c r="M452" s="106">
        <f t="shared" si="107"/>
        <v>10.5</v>
      </c>
      <c r="N452" s="106">
        <f t="shared" si="107"/>
        <v>10</v>
      </c>
      <c r="O452" s="106">
        <f t="shared" si="107"/>
        <v>20.5</v>
      </c>
      <c r="P452" s="97">
        <f t="shared" si="97"/>
        <v>20.5</v>
      </c>
      <c r="Q452" s="97">
        <f t="shared" si="98"/>
        <v>0</v>
      </c>
    </row>
    <row r="453" spans="1:17" ht="31.5" x14ac:dyDescent="0.2">
      <c r="A453" s="33" t="s">
        <v>468</v>
      </c>
      <c r="B453" s="110" t="s">
        <v>469</v>
      </c>
      <c r="C453" s="110" t="s">
        <v>51</v>
      </c>
      <c r="D453" s="131" t="s">
        <v>470</v>
      </c>
      <c r="E453" s="131" t="s">
        <v>11</v>
      </c>
      <c r="F453" s="132" t="s">
        <v>11</v>
      </c>
      <c r="G453" s="109">
        <f t="shared" si="107"/>
        <v>10.5</v>
      </c>
      <c r="H453" s="111">
        <f t="shared" si="107"/>
        <v>10</v>
      </c>
      <c r="I453" s="109">
        <f t="shared" si="107"/>
        <v>20.5</v>
      </c>
      <c r="J453" s="112">
        <f t="shared" si="107"/>
        <v>0</v>
      </c>
      <c r="K453" s="111">
        <f t="shared" si="107"/>
        <v>0</v>
      </c>
      <c r="L453" s="112">
        <f t="shared" si="107"/>
        <v>0</v>
      </c>
      <c r="M453" s="109">
        <f t="shared" si="107"/>
        <v>10.5</v>
      </c>
      <c r="N453" s="109">
        <f t="shared" si="107"/>
        <v>10</v>
      </c>
      <c r="O453" s="109">
        <f t="shared" si="107"/>
        <v>20.5</v>
      </c>
      <c r="P453" s="97">
        <f t="shared" si="97"/>
        <v>20.5</v>
      </c>
      <c r="Q453" s="97">
        <f t="shared" si="98"/>
        <v>0</v>
      </c>
    </row>
    <row r="454" spans="1:17" ht="31.5" x14ac:dyDescent="0.2">
      <c r="A454" s="40"/>
      <c r="B454" s="113" t="s">
        <v>128</v>
      </c>
      <c r="C454" s="113" t="s">
        <v>51</v>
      </c>
      <c r="D454" s="133" t="s">
        <v>470</v>
      </c>
      <c r="E454" s="133" t="s">
        <v>129</v>
      </c>
      <c r="F454" s="134" t="s">
        <v>11</v>
      </c>
      <c r="G454" s="111">
        <f t="shared" si="107"/>
        <v>10.5</v>
      </c>
      <c r="H454" s="111">
        <f t="shared" si="107"/>
        <v>10</v>
      </c>
      <c r="I454" s="111">
        <f t="shared" si="107"/>
        <v>20.5</v>
      </c>
      <c r="J454" s="114">
        <f t="shared" si="107"/>
        <v>0</v>
      </c>
      <c r="K454" s="111">
        <f t="shared" si="107"/>
        <v>0</v>
      </c>
      <c r="L454" s="114">
        <f t="shared" si="107"/>
        <v>0</v>
      </c>
      <c r="M454" s="111">
        <f t="shared" si="107"/>
        <v>10.5</v>
      </c>
      <c r="N454" s="111">
        <f t="shared" si="107"/>
        <v>10</v>
      </c>
      <c r="O454" s="111">
        <f t="shared" si="107"/>
        <v>20.5</v>
      </c>
      <c r="P454" s="97">
        <f t="shared" si="97"/>
        <v>20.5</v>
      </c>
      <c r="Q454" s="97">
        <f t="shared" si="98"/>
        <v>0</v>
      </c>
    </row>
    <row r="455" spans="1:17" ht="15.75" x14ac:dyDescent="0.2">
      <c r="A455" s="40"/>
      <c r="B455" s="113" t="s">
        <v>141</v>
      </c>
      <c r="C455" s="113" t="s">
        <v>51</v>
      </c>
      <c r="D455" s="133" t="s">
        <v>470</v>
      </c>
      <c r="E455" s="133" t="s">
        <v>142</v>
      </c>
      <c r="F455" s="134" t="s">
        <v>11</v>
      </c>
      <c r="G455" s="111">
        <f t="shared" si="107"/>
        <v>10.5</v>
      </c>
      <c r="H455" s="111">
        <f t="shared" si="107"/>
        <v>10</v>
      </c>
      <c r="I455" s="111">
        <f t="shared" si="107"/>
        <v>20.5</v>
      </c>
      <c r="J455" s="114">
        <f t="shared" si="107"/>
        <v>0</v>
      </c>
      <c r="K455" s="111">
        <f t="shared" si="107"/>
        <v>0</v>
      </c>
      <c r="L455" s="114">
        <f t="shared" si="107"/>
        <v>0</v>
      </c>
      <c r="M455" s="111">
        <f t="shared" si="107"/>
        <v>10.5</v>
      </c>
      <c r="N455" s="111">
        <f t="shared" si="107"/>
        <v>10</v>
      </c>
      <c r="O455" s="111">
        <f t="shared" si="107"/>
        <v>20.5</v>
      </c>
      <c r="P455" s="97">
        <f t="shared" si="97"/>
        <v>20.5</v>
      </c>
      <c r="Q455" s="97">
        <f t="shared" si="98"/>
        <v>0</v>
      </c>
    </row>
    <row r="456" spans="1:17" ht="24" customHeight="1" x14ac:dyDescent="0.2">
      <c r="A456" s="40"/>
      <c r="B456" s="113" t="s">
        <v>143</v>
      </c>
      <c r="C456" s="113" t="s">
        <v>51</v>
      </c>
      <c r="D456" s="133" t="s">
        <v>470</v>
      </c>
      <c r="E456" s="133" t="s">
        <v>144</v>
      </c>
      <c r="F456" s="134" t="s">
        <v>11</v>
      </c>
      <c r="G456" s="111">
        <f t="shared" si="107"/>
        <v>10.5</v>
      </c>
      <c r="H456" s="111">
        <f>SUM(H457)</f>
        <v>10</v>
      </c>
      <c r="I456" s="111">
        <f t="shared" si="107"/>
        <v>20.5</v>
      </c>
      <c r="J456" s="114">
        <f t="shared" si="107"/>
        <v>0</v>
      </c>
      <c r="K456" s="111">
        <f t="shared" si="107"/>
        <v>0</v>
      </c>
      <c r="L456" s="114">
        <f t="shared" si="107"/>
        <v>0</v>
      </c>
      <c r="M456" s="111">
        <f t="shared" si="107"/>
        <v>10.5</v>
      </c>
      <c r="N456" s="111">
        <f t="shared" si="107"/>
        <v>10</v>
      </c>
      <c r="O456" s="111">
        <f t="shared" si="107"/>
        <v>20.5</v>
      </c>
      <c r="P456" s="97">
        <f t="shared" si="97"/>
        <v>20.5</v>
      </c>
      <c r="Q456" s="97">
        <f t="shared" si="98"/>
        <v>0</v>
      </c>
    </row>
    <row r="457" spans="1:17" ht="15.75" x14ac:dyDescent="0.2">
      <c r="A457" s="40"/>
      <c r="B457" s="113" t="s">
        <v>471</v>
      </c>
      <c r="C457" s="113" t="s">
        <v>51</v>
      </c>
      <c r="D457" s="133" t="s">
        <v>470</v>
      </c>
      <c r="E457" s="133" t="s">
        <v>472</v>
      </c>
      <c r="F457" s="134" t="s">
        <v>11</v>
      </c>
      <c r="G457" s="111">
        <f t="shared" si="107"/>
        <v>10.5</v>
      </c>
      <c r="H457" s="111">
        <f t="shared" si="107"/>
        <v>10</v>
      </c>
      <c r="I457" s="111">
        <f t="shared" si="107"/>
        <v>20.5</v>
      </c>
      <c r="J457" s="114">
        <f t="shared" si="107"/>
        <v>0</v>
      </c>
      <c r="K457" s="111"/>
      <c r="L457" s="114">
        <f t="shared" si="107"/>
        <v>0</v>
      </c>
      <c r="M457" s="111">
        <f t="shared" si="107"/>
        <v>10.5</v>
      </c>
      <c r="N457" s="111">
        <f t="shared" si="107"/>
        <v>10</v>
      </c>
      <c r="O457" s="111">
        <f t="shared" si="107"/>
        <v>20.5</v>
      </c>
      <c r="P457" s="97">
        <f t="shared" si="97"/>
        <v>20.5</v>
      </c>
      <c r="Q457" s="97">
        <f t="shared" si="98"/>
        <v>0</v>
      </c>
    </row>
    <row r="458" spans="1:17" ht="31.5" x14ac:dyDescent="0.2">
      <c r="A458" s="40"/>
      <c r="B458" s="113" t="s">
        <v>473</v>
      </c>
      <c r="C458" s="113" t="s">
        <v>51</v>
      </c>
      <c r="D458" s="133" t="s">
        <v>470</v>
      </c>
      <c r="E458" s="133" t="s">
        <v>472</v>
      </c>
      <c r="F458" s="134" t="s">
        <v>474</v>
      </c>
      <c r="G458" s="111">
        <v>10.5</v>
      </c>
      <c r="H458" s="106">
        <v>10</v>
      </c>
      <c r="I458" s="111">
        <f>10.5+H458</f>
        <v>20.5</v>
      </c>
      <c r="J458" s="115">
        <v>0</v>
      </c>
      <c r="K458" s="106"/>
      <c r="L458" s="115">
        <v>0</v>
      </c>
      <c r="M458" s="111">
        <f>SUM(G458)</f>
        <v>10.5</v>
      </c>
      <c r="N458" s="111">
        <f>SUM(H458)</f>
        <v>10</v>
      </c>
      <c r="O458" s="111">
        <f>SUM(I458)</f>
        <v>20.5</v>
      </c>
      <c r="P458" s="97">
        <f t="shared" si="97"/>
        <v>20.5</v>
      </c>
      <c r="Q458" s="97">
        <f t="shared" si="98"/>
        <v>0</v>
      </c>
    </row>
    <row r="459" spans="1:17" ht="31.5" x14ac:dyDescent="0.2">
      <c r="A459" s="20" t="s">
        <v>475</v>
      </c>
      <c r="B459" s="107" t="s">
        <v>476</v>
      </c>
      <c r="C459" s="107" t="s">
        <v>477</v>
      </c>
      <c r="D459" s="129" t="s">
        <v>11</v>
      </c>
      <c r="E459" s="129" t="s">
        <v>11</v>
      </c>
      <c r="F459" s="130" t="s">
        <v>11</v>
      </c>
      <c r="G459" s="106">
        <f>G460</f>
        <v>141470.30000000002</v>
      </c>
      <c r="H459" s="106">
        <f>H460+H490+H500</f>
        <v>1315.6000000000001</v>
      </c>
      <c r="I459" s="106">
        <f>I460</f>
        <v>142785.9</v>
      </c>
      <c r="J459" s="108">
        <f>J460</f>
        <v>22124.1</v>
      </c>
      <c r="K459" s="169">
        <f>K460+K490+K502</f>
        <v>5795.5</v>
      </c>
      <c r="L459" s="108">
        <f>L460</f>
        <v>27919.599999999999</v>
      </c>
      <c r="M459" s="106">
        <f>M460</f>
        <v>163594.40000000002</v>
      </c>
      <c r="N459" s="106">
        <f>N460</f>
        <v>7111.0999999999995</v>
      </c>
      <c r="O459" s="106">
        <f>O460</f>
        <v>170705.5</v>
      </c>
      <c r="P459" s="97">
        <f t="shared" si="97"/>
        <v>142785.90000000002</v>
      </c>
      <c r="Q459" s="97">
        <f t="shared" si="98"/>
        <v>0</v>
      </c>
    </row>
    <row r="460" spans="1:17" ht="15.75" x14ac:dyDescent="0.2">
      <c r="A460" s="20" t="s">
        <v>478</v>
      </c>
      <c r="B460" s="107" t="s">
        <v>479</v>
      </c>
      <c r="C460" s="107" t="s">
        <v>477</v>
      </c>
      <c r="D460" s="129" t="s">
        <v>480</v>
      </c>
      <c r="E460" s="129" t="s">
        <v>11</v>
      </c>
      <c r="F460" s="130" t="s">
        <v>11</v>
      </c>
      <c r="G460" s="106">
        <f>G461+G495+G503</f>
        <v>141470.30000000002</v>
      </c>
      <c r="H460" s="109">
        <f>H461+H503+H495</f>
        <v>1315.6000000000001</v>
      </c>
      <c r="I460" s="106">
        <f>I461+I495+I503</f>
        <v>142785.9</v>
      </c>
      <c r="J460" s="108">
        <f>J461+J495+J503</f>
        <v>22124.1</v>
      </c>
      <c r="K460" s="169">
        <f>K461+K495+K503</f>
        <v>5795.5</v>
      </c>
      <c r="L460" s="108">
        <f>L461+L495+L503</f>
        <v>27919.599999999999</v>
      </c>
      <c r="M460" s="106">
        <f>SUM(G460+J460)</f>
        <v>163594.40000000002</v>
      </c>
      <c r="N460" s="106">
        <f>N461+N495+N503</f>
        <v>7111.0999999999995</v>
      </c>
      <c r="O460" s="106">
        <f>SUM(I460+L460)</f>
        <v>170705.5</v>
      </c>
      <c r="P460" s="97">
        <f t="shared" si="97"/>
        <v>142785.90000000002</v>
      </c>
      <c r="Q460" s="97">
        <f t="shared" si="98"/>
        <v>0</v>
      </c>
    </row>
    <row r="461" spans="1:17" ht="15.75" x14ac:dyDescent="0.2">
      <c r="A461" s="33" t="s">
        <v>481</v>
      </c>
      <c r="B461" s="110" t="s">
        <v>482</v>
      </c>
      <c r="C461" s="110" t="s">
        <v>477</v>
      </c>
      <c r="D461" s="131" t="s">
        <v>483</v>
      </c>
      <c r="E461" s="131" t="s">
        <v>11</v>
      </c>
      <c r="F461" s="132" t="s">
        <v>11</v>
      </c>
      <c r="G461" s="109">
        <f>G462</f>
        <v>112379.50000000001</v>
      </c>
      <c r="H461" s="111">
        <f>H462+H470+H491</f>
        <v>987.40000000000009</v>
      </c>
      <c r="I461" s="109">
        <f>I462+I491</f>
        <v>113366.9</v>
      </c>
      <c r="J461" s="112">
        <f>J462</f>
        <v>21450.3</v>
      </c>
      <c r="K461" s="111">
        <f>K462+K470</f>
        <v>5184</v>
      </c>
      <c r="L461" s="112">
        <f>L462</f>
        <v>26634.3</v>
      </c>
      <c r="M461" s="109">
        <f>M462</f>
        <v>133829.80000000002</v>
      </c>
      <c r="N461" s="109">
        <f>N462+N491</f>
        <v>6171.4</v>
      </c>
      <c r="O461" s="169">
        <f>O462+O491</f>
        <v>140001.19999999998</v>
      </c>
      <c r="P461" s="97">
        <f t="shared" si="97"/>
        <v>113366.90000000001</v>
      </c>
      <c r="Q461" s="97">
        <f t="shared" si="98"/>
        <v>0</v>
      </c>
    </row>
    <row r="462" spans="1:17" ht="31.5" x14ac:dyDescent="0.2">
      <c r="A462" s="40"/>
      <c r="B462" s="113" t="s">
        <v>484</v>
      </c>
      <c r="C462" s="113" t="s">
        <v>477</v>
      </c>
      <c r="D462" s="133" t="s">
        <v>483</v>
      </c>
      <c r="E462" s="133" t="s">
        <v>485</v>
      </c>
      <c r="F462" s="134" t="s">
        <v>11</v>
      </c>
      <c r="G462" s="111">
        <f>G463+G471</f>
        <v>112379.50000000001</v>
      </c>
      <c r="H462" s="111">
        <f>H463+H471</f>
        <v>987.40000000000009</v>
      </c>
      <c r="I462" s="111">
        <f>I463+I471</f>
        <v>113366.9</v>
      </c>
      <c r="J462" s="114">
        <f>J463+J471</f>
        <v>21450.3</v>
      </c>
      <c r="K462" s="111">
        <f>K463+K471</f>
        <v>5184</v>
      </c>
      <c r="L462" s="114">
        <f>L463+L471</f>
        <v>26634.3</v>
      </c>
      <c r="M462" s="111">
        <f>M463+M471</f>
        <v>133829.80000000002</v>
      </c>
      <c r="N462" s="111">
        <f>N463+N471</f>
        <v>6171.4</v>
      </c>
      <c r="O462" s="167">
        <f>O463+O471</f>
        <v>140001.19999999998</v>
      </c>
      <c r="P462" s="97">
        <f t="shared" si="97"/>
        <v>113366.90000000001</v>
      </c>
      <c r="Q462" s="97">
        <f t="shared" si="98"/>
        <v>0</v>
      </c>
    </row>
    <row r="463" spans="1:17" ht="15.75" x14ac:dyDescent="0.2">
      <c r="A463" s="40"/>
      <c r="B463" s="113" t="s">
        <v>486</v>
      </c>
      <c r="C463" s="113" t="s">
        <v>477</v>
      </c>
      <c r="D463" s="133" t="s">
        <v>483</v>
      </c>
      <c r="E463" s="133" t="s">
        <v>487</v>
      </c>
      <c r="F463" s="134" t="s">
        <v>11</v>
      </c>
      <c r="G463" s="111">
        <f>G464</f>
        <v>7359.9</v>
      </c>
      <c r="H463" s="111">
        <f>H464</f>
        <v>0</v>
      </c>
      <c r="I463" s="111">
        <f>I464</f>
        <v>7359.9</v>
      </c>
      <c r="J463" s="114">
        <f>J464</f>
        <v>0</v>
      </c>
      <c r="K463" s="111">
        <f>K464+K466+K468</f>
        <v>0</v>
      </c>
      <c r="L463" s="114">
        <f>L464</f>
        <v>0</v>
      </c>
      <c r="M463" s="111">
        <f>M464</f>
        <v>7359.9</v>
      </c>
      <c r="N463" s="111">
        <f>N464</f>
        <v>0</v>
      </c>
      <c r="O463" s="111">
        <f>O464</f>
        <v>7359.9</v>
      </c>
      <c r="P463" s="97">
        <f t="shared" si="97"/>
        <v>7359.9</v>
      </c>
      <c r="Q463" s="97">
        <f t="shared" si="98"/>
        <v>0</v>
      </c>
    </row>
    <row r="464" spans="1:17" ht="15.75" x14ac:dyDescent="0.2">
      <c r="A464" s="40"/>
      <c r="B464" s="113" t="s">
        <v>488</v>
      </c>
      <c r="C464" s="113" t="s">
        <v>477</v>
      </c>
      <c r="D464" s="133" t="s">
        <v>483</v>
      </c>
      <c r="E464" s="133" t="s">
        <v>489</v>
      </c>
      <c r="F464" s="134" t="s">
        <v>11</v>
      </c>
      <c r="G464" s="111">
        <f>G465+G467+G469</f>
        <v>7359.9</v>
      </c>
      <c r="H464" s="111">
        <f>H465+H467</f>
        <v>0</v>
      </c>
      <c r="I464" s="111">
        <f>SUM(G464+H464)</f>
        <v>7359.9</v>
      </c>
      <c r="J464" s="114">
        <f>J465+J467+J469</f>
        <v>0</v>
      </c>
      <c r="K464" s="111">
        <f>K465</f>
        <v>0</v>
      </c>
      <c r="L464" s="114">
        <f>L465+L467+L469</f>
        <v>0</v>
      </c>
      <c r="M464" s="111">
        <f>M465+M467+M469</f>
        <v>7359.9</v>
      </c>
      <c r="N464" s="111">
        <f>N465+N467</f>
        <v>0</v>
      </c>
      <c r="O464" s="167">
        <f>SUM(M464+N464)</f>
        <v>7359.9</v>
      </c>
      <c r="P464" s="97">
        <f t="shared" si="97"/>
        <v>7359.9</v>
      </c>
      <c r="Q464" s="97">
        <f t="shared" si="98"/>
        <v>0</v>
      </c>
    </row>
    <row r="465" spans="1:18" ht="15.75" x14ac:dyDescent="0.2">
      <c r="A465" s="40"/>
      <c r="B465" s="113" t="s">
        <v>490</v>
      </c>
      <c r="C465" s="113" t="s">
        <v>477</v>
      </c>
      <c r="D465" s="133" t="s">
        <v>483</v>
      </c>
      <c r="E465" s="133" t="s">
        <v>491</v>
      </c>
      <c r="F465" s="134" t="s">
        <v>11</v>
      </c>
      <c r="G465" s="111">
        <f>G466</f>
        <v>6459.9</v>
      </c>
      <c r="H465" s="111">
        <f>H466</f>
        <v>0</v>
      </c>
      <c r="I465" s="111">
        <f>I466</f>
        <v>6459.9</v>
      </c>
      <c r="J465" s="114">
        <f>J466</f>
        <v>0</v>
      </c>
      <c r="K465" s="111"/>
      <c r="L465" s="114">
        <f>L466</f>
        <v>0</v>
      </c>
      <c r="M465" s="111">
        <f>M466</f>
        <v>6459.9</v>
      </c>
      <c r="N465" s="111">
        <f>N466</f>
        <v>0</v>
      </c>
      <c r="O465" s="167">
        <f>O466</f>
        <v>6459.9</v>
      </c>
      <c r="P465" s="97">
        <f t="shared" si="97"/>
        <v>6459.9</v>
      </c>
      <c r="Q465" s="97">
        <f t="shared" si="98"/>
        <v>0</v>
      </c>
    </row>
    <row r="466" spans="1:18" ht="31.5" x14ac:dyDescent="0.2">
      <c r="A466" s="40"/>
      <c r="B466" s="113" t="s">
        <v>40</v>
      </c>
      <c r="C466" s="113" t="s">
        <v>477</v>
      </c>
      <c r="D466" s="133" t="s">
        <v>483</v>
      </c>
      <c r="E466" s="133" t="s">
        <v>491</v>
      </c>
      <c r="F466" s="134" t="s">
        <v>41</v>
      </c>
      <c r="G466" s="111">
        <v>6459.9</v>
      </c>
      <c r="H466" s="111"/>
      <c r="I466" s="111">
        <f>SUM(G466+H466)</f>
        <v>6459.9</v>
      </c>
      <c r="J466" s="115">
        <v>0</v>
      </c>
      <c r="K466" s="111"/>
      <c r="L466" s="115">
        <v>0</v>
      </c>
      <c r="M466" s="111">
        <f>SUM(G466)</f>
        <v>6459.9</v>
      </c>
      <c r="N466" s="111">
        <f>SUM(H466)</f>
        <v>0</v>
      </c>
      <c r="O466" s="167">
        <f>SUM(M466+N466)</f>
        <v>6459.9</v>
      </c>
      <c r="P466" s="97">
        <f t="shared" si="97"/>
        <v>6459.9</v>
      </c>
      <c r="Q466" s="97">
        <f t="shared" si="98"/>
        <v>0</v>
      </c>
    </row>
    <row r="467" spans="1:18" ht="15.75" x14ac:dyDescent="0.2">
      <c r="A467" s="40"/>
      <c r="B467" s="113" t="s">
        <v>492</v>
      </c>
      <c r="C467" s="113" t="s">
        <v>477</v>
      </c>
      <c r="D467" s="133" t="s">
        <v>483</v>
      </c>
      <c r="E467" s="133" t="s">
        <v>493</v>
      </c>
      <c r="F467" s="134" t="s">
        <v>11</v>
      </c>
      <c r="G467" s="111">
        <f>G468</f>
        <v>900</v>
      </c>
      <c r="H467" s="111"/>
      <c r="I467" s="111">
        <f>I468</f>
        <v>900</v>
      </c>
      <c r="J467" s="114">
        <f>J468</f>
        <v>0</v>
      </c>
      <c r="K467" s="111"/>
      <c r="L467" s="114">
        <f>L468</f>
        <v>0</v>
      </c>
      <c r="M467" s="111">
        <f>M468</f>
        <v>900</v>
      </c>
      <c r="N467" s="111">
        <f>N468</f>
        <v>0</v>
      </c>
      <c r="O467" s="167">
        <f>O468</f>
        <v>900</v>
      </c>
      <c r="P467" s="97">
        <f t="shared" si="97"/>
        <v>900</v>
      </c>
      <c r="Q467" s="97">
        <f t="shared" si="98"/>
        <v>0</v>
      </c>
    </row>
    <row r="468" spans="1:18" ht="26.25" customHeight="1" x14ac:dyDescent="0.2">
      <c r="A468" s="40"/>
      <c r="B468" s="113" t="s">
        <v>40</v>
      </c>
      <c r="C468" s="113" t="s">
        <v>477</v>
      </c>
      <c r="D468" s="133" t="s">
        <v>483</v>
      </c>
      <c r="E468" s="133" t="s">
        <v>493</v>
      </c>
      <c r="F468" s="134" t="s">
        <v>41</v>
      </c>
      <c r="G468" s="111">
        <v>900</v>
      </c>
      <c r="H468" s="111"/>
      <c r="I468" s="111">
        <v>900</v>
      </c>
      <c r="J468" s="115">
        <v>0</v>
      </c>
      <c r="K468" s="111"/>
      <c r="L468" s="115">
        <v>0</v>
      </c>
      <c r="M468" s="111">
        <f>G468+J468</f>
        <v>900</v>
      </c>
      <c r="N468" s="111">
        <f>SUM(H468)</f>
        <v>0</v>
      </c>
      <c r="O468" s="167">
        <f>I468+L468</f>
        <v>900</v>
      </c>
      <c r="P468" s="97">
        <f t="shared" si="97"/>
        <v>900</v>
      </c>
      <c r="Q468" s="97">
        <f t="shared" si="98"/>
        <v>0</v>
      </c>
    </row>
    <row r="469" spans="1:18" ht="15.75" hidden="1" x14ac:dyDescent="0.2">
      <c r="A469" s="40"/>
      <c r="B469" s="113" t="s">
        <v>378</v>
      </c>
      <c r="C469" s="113" t="s">
        <v>477</v>
      </c>
      <c r="D469" s="133" t="s">
        <v>483</v>
      </c>
      <c r="E469" s="133" t="s">
        <v>494</v>
      </c>
      <c r="F469" s="134" t="s">
        <v>11</v>
      </c>
      <c r="G469" s="111">
        <f>G470</f>
        <v>0</v>
      </c>
      <c r="H469" s="111"/>
      <c r="I469" s="111">
        <f>I470</f>
        <v>0</v>
      </c>
      <c r="J469" s="114">
        <f>J470</f>
        <v>0</v>
      </c>
      <c r="K469" s="111"/>
      <c r="L469" s="114">
        <f>L470</f>
        <v>0</v>
      </c>
      <c r="M469" s="111">
        <f>M470</f>
        <v>0</v>
      </c>
      <c r="N469" s="111">
        <f>N470</f>
        <v>0</v>
      </c>
      <c r="O469" s="111">
        <f>O470</f>
        <v>0</v>
      </c>
      <c r="P469" s="97">
        <f t="shared" si="97"/>
        <v>0</v>
      </c>
      <c r="Q469" s="97">
        <f t="shared" si="98"/>
        <v>0</v>
      </c>
    </row>
    <row r="470" spans="1:18" ht="31.5" hidden="1" x14ac:dyDescent="0.2">
      <c r="A470" s="40"/>
      <c r="B470" s="113" t="s">
        <v>40</v>
      </c>
      <c r="C470" s="113" t="s">
        <v>477</v>
      </c>
      <c r="D470" s="133" t="s">
        <v>483</v>
      </c>
      <c r="E470" s="133" t="s">
        <v>494</v>
      </c>
      <c r="F470" s="134" t="s">
        <v>41</v>
      </c>
      <c r="G470" s="111"/>
      <c r="H470" s="111"/>
      <c r="I470" s="111"/>
      <c r="J470" s="115">
        <v>0</v>
      </c>
      <c r="K470" s="111"/>
      <c r="L470" s="115">
        <v>0</v>
      </c>
      <c r="M470" s="111"/>
      <c r="N470" s="111"/>
      <c r="O470" s="111"/>
      <c r="P470" s="97">
        <f t="shared" ref="P470:P533" si="108">G470+H470</f>
        <v>0</v>
      </c>
      <c r="Q470" s="97">
        <f t="shared" ref="Q470:Q533" si="109">I470-P470</f>
        <v>0</v>
      </c>
    </row>
    <row r="471" spans="1:18" ht="47.25" x14ac:dyDescent="0.2">
      <c r="A471" s="40"/>
      <c r="B471" s="113" t="s">
        <v>495</v>
      </c>
      <c r="C471" s="113" t="s">
        <v>477</v>
      </c>
      <c r="D471" s="133" t="s">
        <v>483</v>
      </c>
      <c r="E471" s="133" t="s">
        <v>496</v>
      </c>
      <c r="F471" s="134" t="s">
        <v>11</v>
      </c>
      <c r="G471" s="111">
        <f>G472+G488</f>
        <v>105019.60000000002</v>
      </c>
      <c r="H471" s="111">
        <f>H472+H488</f>
        <v>987.40000000000009</v>
      </c>
      <c r="I471" s="111">
        <f>I472+I488</f>
        <v>106007</v>
      </c>
      <c r="J471" s="114">
        <f t="shared" ref="J471:M471" si="110">J472+J488</f>
        <v>21450.3</v>
      </c>
      <c r="K471" s="111">
        <f t="shared" si="110"/>
        <v>5184</v>
      </c>
      <c r="L471" s="114">
        <f t="shared" si="110"/>
        <v>26634.3</v>
      </c>
      <c r="M471" s="111">
        <f t="shared" si="110"/>
        <v>126469.90000000001</v>
      </c>
      <c r="N471" s="111">
        <f>N472</f>
        <v>6171.4</v>
      </c>
      <c r="O471" s="167">
        <f>O472+O488</f>
        <v>132641.29999999999</v>
      </c>
      <c r="P471" s="97">
        <f t="shared" si="108"/>
        <v>106007.00000000001</v>
      </c>
      <c r="Q471" s="97">
        <f t="shared" si="109"/>
        <v>0</v>
      </c>
    </row>
    <row r="472" spans="1:18" ht="47.25" x14ac:dyDescent="0.2">
      <c r="A472" s="40"/>
      <c r="B472" s="113" t="s">
        <v>497</v>
      </c>
      <c r="C472" s="113" t="s">
        <v>477</v>
      </c>
      <c r="D472" s="133" t="s">
        <v>483</v>
      </c>
      <c r="E472" s="133" t="s">
        <v>498</v>
      </c>
      <c r="F472" s="134" t="s">
        <v>11</v>
      </c>
      <c r="G472" s="111">
        <f>G473+G482+G486+G480+G478</f>
        <v>104765.20000000003</v>
      </c>
      <c r="H472" s="111">
        <f>H473+H482+H486+H480+H478</f>
        <v>987.40000000000009</v>
      </c>
      <c r="I472" s="111">
        <f>I473+I482+I486+I480+I478</f>
        <v>105752.6</v>
      </c>
      <c r="J472" s="114">
        <f>J473+J482+J486+J480+J484</f>
        <v>19887.8</v>
      </c>
      <c r="K472" s="111">
        <f>K473+K475+K480+K482+K486+K484</f>
        <v>5184</v>
      </c>
      <c r="L472" s="114">
        <f>L473+L482+L486+L480+L484</f>
        <v>25071.8</v>
      </c>
      <c r="M472" s="111">
        <f>M473+M482+M486+M480+M484+M478</f>
        <v>124653.00000000001</v>
      </c>
      <c r="N472" s="111">
        <f>N473+N482+N486+N480+N478</f>
        <v>6171.4</v>
      </c>
      <c r="O472" s="167">
        <f>O473+O482+O486+O480+O484+O478</f>
        <v>130824.4</v>
      </c>
      <c r="P472" s="97">
        <f t="shared" si="108"/>
        <v>105752.60000000002</v>
      </c>
      <c r="Q472" s="97">
        <f t="shared" si="109"/>
        <v>0</v>
      </c>
      <c r="R472">
        <v>-0.1</v>
      </c>
    </row>
    <row r="473" spans="1:18" ht="31.5" x14ac:dyDescent="0.2">
      <c r="A473" s="40"/>
      <c r="B473" s="113" t="s">
        <v>134</v>
      </c>
      <c r="C473" s="113" t="s">
        <v>477</v>
      </c>
      <c r="D473" s="133" t="s">
        <v>483</v>
      </c>
      <c r="E473" s="133" t="s">
        <v>499</v>
      </c>
      <c r="F473" s="134" t="s">
        <v>11</v>
      </c>
      <c r="G473" s="111">
        <f>G474+G475+G476+G477</f>
        <v>99695.200000000012</v>
      </c>
      <c r="H473" s="111">
        <f>SUM(H475)+H476</f>
        <v>0</v>
      </c>
      <c r="I473" s="111">
        <f>I474+I475+I476+I477</f>
        <v>99695.200000000012</v>
      </c>
      <c r="J473" s="114">
        <f>J474+J475+J476+J477</f>
        <v>15541.599999999999</v>
      </c>
      <c r="K473" s="111">
        <f>K474+K475+K476</f>
        <v>5184</v>
      </c>
      <c r="L473" s="114">
        <f>L474+L475+L476+L477</f>
        <v>20725.599999999999</v>
      </c>
      <c r="M473" s="111">
        <f>M474+M475+M476+M477</f>
        <v>115236.8</v>
      </c>
      <c r="N473" s="111">
        <f>N474+N475+N477+N476</f>
        <v>5184</v>
      </c>
      <c r="O473" s="167">
        <f>O474+O475+O476+O477</f>
        <v>120420.8</v>
      </c>
      <c r="P473" s="97">
        <f t="shared" si="108"/>
        <v>99695.200000000012</v>
      </c>
      <c r="Q473" s="97">
        <f t="shared" si="109"/>
        <v>0</v>
      </c>
    </row>
    <row r="474" spans="1:18" ht="48" customHeight="1" x14ac:dyDescent="0.2">
      <c r="A474" s="40"/>
      <c r="B474" s="113" t="s">
        <v>61</v>
      </c>
      <c r="C474" s="113" t="s">
        <v>477</v>
      </c>
      <c r="D474" s="133" t="s">
        <v>483</v>
      </c>
      <c r="E474" s="133" t="s">
        <v>499</v>
      </c>
      <c r="F474" s="134" t="s">
        <v>62</v>
      </c>
      <c r="G474" s="111">
        <v>16500.3</v>
      </c>
      <c r="H474" s="111"/>
      <c r="I474" s="111">
        <v>16500.3</v>
      </c>
      <c r="J474" s="115">
        <v>2349.1999999999998</v>
      </c>
      <c r="K474" s="111">
        <v>1306.2</v>
      </c>
      <c r="L474" s="111">
        <f>J474+K474</f>
        <v>3655.3999999999996</v>
      </c>
      <c r="M474" s="111">
        <f>G474+J474</f>
        <v>18849.5</v>
      </c>
      <c r="N474" s="111">
        <f>H474+K474</f>
        <v>1306.2</v>
      </c>
      <c r="O474" s="167">
        <f>I474+L474</f>
        <v>20155.699999999997</v>
      </c>
      <c r="P474" s="97">
        <f t="shared" si="108"/>
        <v>16500.3</v>
      </c>
      <c r="Q474" s="97">
        <f t="shared" si="109"/>
        <v>0</v>
      </c>
    </row>
    <row r="475" spans="1:18" ht="31.5" x14ac:dyDescent="0.2">
      <c r="A475" s="40"/>
      <c r="B475" s="113" t="s">
        <v>40</v>
      </c>
      <c r="C475" s="113" t="s">
        <v>477</v>
      </c>
      <c r="D475" s="133" t="s">
        <v>483</v>
      </c>
      <c r="E475" s="133" t="s">
        <v>499</v>
      </c>
      <c r="F475" s="134" t="s">
        <v>41</v>
      </c>
      <c r="G475" s="111">
        <v>6034.3</v>
      </c>
      <c r="H475" s="111"/>
      <c r="I475" s="111">
        <f>SUM(G475)+H475</f>
        <v>6034.3</v>
      </c>
      <c r="J475" s="115">
        <v>0</v>
      </c>
      <c r="K475" s="111"/>
      <c r="L475" s="115">
        <v>0</v>
      </c>
      <c r="M475" s="111">
        <f>SUM(G475)</f>
        <v>6034.3</v>
      </c>
      <c r="N475" s="111">
        <f>SUM(H475)</f>
        <v>0</v>
      </c>
      <c r="O475" s="167">
        <f>SUM(I475)</f>
        <v>6034.3</v>
      </c>
      <c r="P475" s="97">
        <f t="shared" si="108"/>
        <v>6034.3</v>
      </c>
      <c r="Q475" s="97">
        <f t="shared" si="109"/>
        <v>0</v>
      </c>
    </row>
    <row r="476" spans="1:18" ht="39" customHeight="1" x14ac:dyDescent="0.2">
      <c r="A476" s="40"/>
      <c r="B476" s="113" t="s">
        <v>95</v>
      </c>
      <c r="C476" s="113" t="s">
        <v>477</v>
      </c>
      <c r="D476" s="133" t="s">
        <v>483</v>
      </c>
      <c r="E476" s="133" t="s">
        <v>499</v>
      </c>
      <c r="F476" s="134" t="s">
        <v>96</v>
      </c>
      <c r="G476" s="111">
        <f>75925300/1000+1213.2</f>
        <v>77138.5</v>
      </c>
      <c r="H476" s="111"/>
      <c r="I476" s="111">
        <f>75925300/1000+1213.2+H476</f>
        <v>77138.5</v>
      </c>
      <c r="J476" s="115">
        <v>13192.4</v>
      </c>
      <c r="K476" s="111">
        <v>3877.8</v>
      </c>
      <c r="L476" s="111">
        <f>J476+K476</f>
        <v>17070.2</v>
      </c>
      <c r="M476" s="111">
        <f>G476+J476</f>
        <v>90330.9</v>
      </c>
      <c r="N476" s="111">
        <f>SUM(K476)</f>
        <v>3877.8</v>
      </c>
      <c r="O476" s="167">
        <f>I476+L476</f>
        <v>94208.7</v>
      </c>
      <c r="P476" s="97">
        <f t="shared" si="108"/>
        <v>77138.5</v>
      </c>
      <c r="Q476" s="97">
        <f t="shared" si="109"/>
        <v>0</v>
      </c>
    </row>
    <row r="477" spans="1:18" ht="15.75" x14ac:dyDescent="0.2">
      <c r="A477" s="40"/>
      <c r="B477" s="113" t="s">
        <v>338</v>
      </c>
      <c r="C477" s="113" t="s">
        <v>477</v>
      </c>
      <c r="D477" s="133" t="s">
        <v>483</v>
      </c>
      <c r="E477" s="133" t="s">
        <v>499</v>
      </c>
      <c r="F477" s="134" t="s">
        <v>71</v>
      </c>
      <c r="G477" s="111">
        <v>22.1</v>
      </c>
      <c r="H477" s="111"/>
      <c r="I477" s="111">
        <v>22.1</v>
      </c>
      <c r="J477" s="115">
        <v>0</v>
      </c>
      <c r="K477" s="111"/>
      <c r="L477" s="115">
        <v>0</v>
      </c>
      <c r="M477" s="111">
        <f>G477+J477</f>
        <v>22.1</v>
      </c>
      <c r="N477" s="111">
        <f>SUM(H477)</f>
        <v>0</v>
      </c>
      <c r="O477" s="111">
        <f>I477+L477</f>
        <v>22.1</v>
      </c>
      <c r="P477" s="97">
        <f t="shared" si="108"/>
        <v>22.1</v>
      </c>
      <c r="Q477" s="97">
        <f t="shared" si="109"/>
        <v>0</v>
      </c>
    </row>
    <row r="478" spans="1:18" ht="31.5" x14ac:dyDescent="0.2">
      <c r="A478" s="40"/>
      <c r="B478" s="113" t="s">
        <v>392</v>
      </c>
      <c r="C478" s="113">
        <v>993</v>
      </c>
      <c r="D478" s="133" t="s">
        <v>483</v>
      </c>
      <c r="E478" s="136" t="s">
        <v>600</v>
      </c>
      <c r="F478" s="134"/>
      <c r="G478" s="111">
        <v>523.29999999999995</v>
      </c>
      <c r="H478" s="111">
        <f>H479</f>
        <v>57.9</v>
      </c>
      <c r="I478" s="111">
        <f>SUM(H478)+G478</f>
        <v>581.19999999999993</v>
      </c>
      <c r="J478" s="115"/>
      <c r="K478" s="111"/>
      <c r="L478" s="115"/>
      <c r="M478" s="111">
        <f>SUM(G478)</f>
        <v>523.29999999999995</v>
      </c>
      <c r="N478" s="111">
        <f>SUM(H478)</f>
        <v>57.9</v>
      </c>
      <c r="O478" s="167">
        <f>SUM(I478)</f>
        <v>581.19999999999993</v>
      </c>
      <c r="P478" s="97">
        <f t="shared" si="108"/>
        <v>581.19999999999993</v>
      </c>
      <c r="Q478" s="97">
        <f t="shared" si="109"/>
        <v>0</v>
      </c>
    </row>
    <row r="479" spans="1:18" ht="47.25" x14ac:dyDescent="0.2">
      <c r="A479" s="40"/>
      <c r="B479" s="113" t="s">
        <v>95</v>
      </c>
      <c r="C479" s="113">
        <v>993</v>
      </c>
      <c r="D479" s="133" t="s">
        <v>483</v>
      </c>
      <c r="E479" s="136" t="s">
        <v>600</v>
      </c>
      <c r="F479" s="134">
        <v>600</v>
      </c>
      <c r="G479" s="111">
        <v>523.29999999999995</v>
      </c>
      <c r="H479" s="111">
        <v>57.9</v>
      </c>
      <c r="I479" s="111">
        <f>SUM(H479)+G479</f>
        <v>581.19999999999993</v>
      </c>
      <c r="J479" s="115"/>
      <c r="K479" s="111"/>
      <c r="L479" s="115"/>
      <c r="M479" s="111">
        <f>SUM(G479)</f>
        <v>523.29999999999995</v>
      </c>
      <c r="N479" s="111">
        <f>SUM(H479)</f>
        <v>57.9</v>
      </c>
      <c r="O479" s="167">
        <f>SUM(I479)</f>
        <v>581.19999999999993</v>
      </c>
      <c r="P479" s="97">
        <f t="shared" si="108"/>
        <v>581.19999999999993</v>
      </c>
      <c r="Q479" s="97">
        <f t="shared" si="109"/>
        <v>0</v>
      </c>
    </row>
    <row r="480" spans="1:18" ht="31.5" x14ac:dyDescent="0.2">
      <c r="A480" s="40"/>
      <c r="B480" s="113" t="s">
        <v>500</v>
      </c>
      <c r="C480" s="113">
        <v>993</v>
      </c>
      <c r="D480" s="133" t="s">
        <v>483</v>
      </c>
      <c r="E480" s="136" t="s">
        <v>501</v>
      </c>
      <c r="F480" s="134"/>
      <c r="G480" s="111">
        <f>SUM(F480)+G481</f>
        <v>2706.6</v>
      </c>
      <c r="H480" s="111">
        <f>SUM(H481)</f>
        <v>-57.9</v>
      </c>
      <c r="I480" s="111">
        <f>SUM(G480)+H480</f>
        <v>2648.7</v>
      </c>
      <c r="J480" s="115">
        <f>SUM(J481)</f>
        <v>0</v>
      </c>
      <c r="K480" s="111">
        <f>SUM(K481)</f>
        <v>0</v>
      </c>
      <c r="L480" s="115">
        <f>SUM(J480)+K480</f>
        <v>0</v>
      </c>
      <c r="M480" s="111">
        <f>SUM(G480+J480)</f>
        <v>2706.6</v>
      </c>
      <c r="N480" s="111">
        <f>SUM(K480)+H480</f>
        <v>-57.9</v>
      </c>
      <c r="O480" s="167">
        <f>SUM(I480)+L480</f>
        <v>2648.7</v>
      </c>
      <c r="P480" s="97">
        <f t="shared" si="108"/>
        <v>2648.7</v>
      </c>
      <c r="Q480" s="97">
        <f t="shared" si="109"/>
        <v>0</v>
      </c>
    </row>
    <row r="481" spans="1:17" ht="47.25" x14ac:dyDescent="0.2">
      <c r="A481" s="40"/>
      <c r="B481" s="113" t="s">
        <v>95</v>
      </c>
      <c r="C481" s="113">
        <v>993</v>
      </c>
      <c r="D481" s="133" t="s">
        <v>483</v>
      </c>
      <c r="E481" s="136" t="s">
        <v>501</v>
      </c>
      <c r="F481" s="134">
        <v>600</v>
      </c>
      <c r="G481" s="111">
        <v>2706.6</v>
      </c>
      <c r="H481" s="111">
        <v>-57.9</v>
      </c>
      <c r="I481" s="111">
        <f>SUM(G481)+H481</f>
        <v>2648.7</v>
      </c>
      <c r="J481" s="115">
        <v>0</v>
      </c>
      <c r="K481" s="111"/>
      <c r="L481" s="115">
        <f>SUM(J481)+K481</f>
        <v>0</v>
      </c>
      <c r="M481" s="111">
        <f>SUM(G481+J481)</f>
        <v>2706.6</v>
      </c>
      <c r="N481" s="111">
        <f>SUM(K481)+H481</f>
        <v>-57.9</v>
      </c>
      <c r="O481" s="167">
        <f>SUM(I481)+L481</f>
        <v>2648.7</v>
      </c>
      <c r="P481" s="97">
        <f t="shared" si="108"/>
        <v>2648.7</v>
      </c>
      <c r="Q481" s="97">
        <f t="shared" si="109"/>
        <v>0</v>
      </c>
    </row>
    <row r="482" spans="1:17" ht="47.25" x14ac:dyDescent="0.2">
      <c r="A482" s="40"/>
      <c r="B482" s="113" t="s">
        <v>283</v>
      </c>
      <c r="C482" s="113" t="s">
        <v>477</v>
      </c>
      <c r="D482" s="133" t="s">
        <v>483</v>
      </c>
      <c r="E482" s="133" t="s">
        <v>502</v>
      </c>
      <c r="F482" s="134" t="s">
        <v>11</v>
      </c>
      <c r="G482" s="111">
        <f>G483</f>
        <v>1214</v>
      </c>
      <c r="H482" s="111">
        <f>SUM(H483)</f>
        <v>987.40000000000009</v>
      </c>
      <c r="I482" s="111">
        <f>SUM(G482)+H482</f>
        <v>2201.4</v>
      </c>
      <c r="J482" s="114">
        <f t="shared" ref="J482:O482" si="111">J483</f>
        <v>0</v>
      </c>
      <c r="K482" s="111">
        <f t="shared" si="111"/>
        <v>0</v>
      </c>
      <c r="L482" s="114">
        <f t="shared" si="111"/>
        <v>0</v>
      </c>
      <c r="M482" s="111">
        <f t="shared" si="111"/>
        <v>1214</v>
      </c>
      <c r="N482" s="111">
        <f t="shared" si="111"/>
        <v>987.40000000000009</v>
      </c>
      <c r="O482" s="167">
        <f t="shared" si="111"/>
        <v>2201.4</v>
      </c>
      <c r="P482" s="97">
        <f t="shared" si="108"/>
        <v>2201.4</v>
      </c>
      <c r="Q482" s="97">
        <f t="shared" si="109"/>
        <v>0</v>
      </c>
    </row>
    <row r="483" spans="1:17" ht="36" customHeight="1" x14ac:dyDescent="0.2">
      <c r="A483" s="40"/>
      <c r="B483" s="113" t="s">
        <v>95</v>
      </c>
      <c r="C483" s="113" t="s">
        <v>477</v>
      </c>
      <c r="D483" s="133" t="s">
        <v>483</v>
      </c>
      <c r="E483" s="133" t="s">
        <v>502</v>
      </c>
      <c r="F483" s="134" t="s">
        <v>96</v>
      </c>
      <c r="G483" s="111">
        <v>1214</v>
      </c>
      <c r="H483" s="111">
        <f>336.2+651.2</f>
        <v>987.40000000000009</v>
      </c>
      <c r="I483" s="111">
        <f>SUM(G483)+H483</f>
        <v>2201.4</v>
      </c>
      <c r="J483" s="115"/>
      <c r="K483" s="111">
        <v>0</v>
      </c>
      <c r="L483" s="115">
        <f>SUM(J483:K483)</f>
        <v>0</v>
      </c>
      <c r="M483" s="111">
        <f>SUM(G483)</f>
        <v>1214</v>
      </c>
      <c r="N483" s="111">
        <f>H483+K483</f>
        <v>987.40000000000009</v>
      </c>
      <c r="O483" s="167">
        <f>SUM(M483)+N483</f>
        <v>2201.4</v>
      </c>
      <c r="P483" s="97">
        <f t="shared" si="108"/>
        <v>2201.4</v>
      </c>
      <c r="Q483" s="97">
        <f t="shared" si="109"/>
        <v>0</v>
      </c>
    </row>
    <row r="484" spans="1:17" ht="79.150000000000006" customHeight="1" x14ac:dyDescent="0.2">
      <c r="A484" s="40"/>
      <c r="B484" s="118" t="s">
        <v>587</v>
      </c>
      <c r="C484" s="113" t="s">
        <v>477</v>
      </c>
      <c r="D484" s="133" t="s">
        <v>483</v>
      </c>
      <c r="E484" s="136" t="s">
        <v>586</v>
      </c>
      <c r="F484" s="134" t="s">
        <v>11</v>
      </c>
      <c r="G484" s="111"/>
      <c r="H484" s="111"/>
      <c r="I484" s="111"/>
      <c r="J484" s="115">
        <f t="shared" ref="J484:O484" si="112">J485</f>
        <v>500</v>
      </c>
      <c r="K484" s="111">
        <f t="shared" si="112"/>
        <v>0</v>
      </c>
      <c r="L484" s="115">
        <f t="shared" si="112"/>
        <v>500</v>
      </c>
      <c r="M484" s="111">
        <f t="shared" si="112"/>
        <v>500</v>
      </c>
      <c r="N484" s="111">
        <f t="shared" si="112"/>
        <v>0</v>
      </c>
      <c r="O484" s="111">
        <f t="shared" si="112"/>
        <v>500</v>
      </c>
      <c r="P484" s="97">
        <f t="shared" si="108"/>
        <v>0</v>
      </c>
      <c r="Q484" s="97">
        <f t="shared" si="109"/>
        <v>0</v>
      </c>
    </row>
    <row r="485" spans="1:17" ht="36" customHeight="1" x14ac:dyDescent="0.2">
      <c r="A485" s="40"/>
      <c r="B485" s="113" t="s">
        <v>95</v>
      </c>
      <c r="C485" s="113" t="s">
        <v>477</v>
      </c>
      <c r="D485" s="133" t="s">
        <v>483</v>
      </c>
      <c r="E485" s="136" t="s">
        <v>586</v>
      </c>
      <c r="F485" s="134" t="s">
        <v>96</v>
      </c>
      <c r="G485" s="111"/>
      <c r="H485" s="111"/>
      <c r="I485" s="111"/>
      <c r="J485" s="115">
        <v>500</v>
      </c>
      <c r="K485" s="111"/>
      <c r="L485" s="115">
        <f>SUM(J485:K485)</f>
        <v>500</v>
      </c>
      <c r="M485" s="111">
        <f>G485+J485</f>
        <v>500</v>
      </c>
      <c r="N485" s="111">
        <f>H485+K485</f>
        <v>0</v>
      </c>
      <c r="O485" s="111">
        <f>SUM(M485:N485)</f>
        <v>500</v>
      </c>
      <c r="P485" s="97">
        <f t="shared" si="108"/>
        <v>0</v>
      </c>
      <c r="Q485" s="97">
        <f t="shared" si="109"/>
        <v>0</v>
      </c>
    </row>
    <row r="486" spans="1:17" ht="31.5" x14ac:dyDescent="0.2">
      <c r="A486" s="40"/>
      <c r="B486" s="113" t="s">
        <v>503</v>
      </c>
      <c r="C486" s="113" t="s">
        <v>477</v>
      </c>
      <c r="D486" s="133" t="s">
        <v>483</v>
      </c>
      <c r="E486" s="133" t="s">
        <v>504</v>
      </c>
      <c r="F486" s="134" t="s">
        <v>11</v>
      </c>
      <c r="G486" s="111">
        <f>G487</f>
        <v>626.1</v>
      </c>
      <c r="H486" s="111">
        <f>SUM(H487)</f>
        <v>0</v>
      </c>
      <c r="I486" s="111">
        <f>I487</f>
        <v>626.1</v>
      </c>
      <c r="J486" s="114">
        <f>J487</f>
        <v>3846.2</v>
      </c>
      <c r="K486" s="111"/>
      <c r="L486" s="114">
        <f>L487</f>
        <v>3846.2</v>
      </c>
      <c r="M486" s="111">
        <f>M487</f>
        <v>4472.3</v>
      </c>
      <c r="N486" s="111">
        <f>N487</f>
        <v>0</v>
      </c>
      <c r="O486" s="167">
        <f>O487</f>
        <v>4472.3</v>
      </c>
      <c r="P486" s="97">
        <f t="shared" si="108"/>
        <v>626.1</v>
      </c>
      <c r="Q486" s="97">
        <f t="shared" si="109"/>
        <v>0</v>
      </c>
    </row>
    <row r="487" spans="1:17" ht="36" customHeight="1" x14ac:dyDescent="0.2">
      <c r="A487" s="40"/>
      <c r="B487" s="113" t="s">
        <v>95</v>
      </c>
      <c r="C487" s="113" t="s">
        <v>477</v>
      </c>
      <c r="D487" s="133" t="s">
        <v>483</v>
      </c>
      <c r="E487" s="133" t="s">
        <v>504</v>
      </c>
      <c r="F487" s="134" t="s">
        <v>96</v>
      </c>
      <c r="G487" s="111">
        <v>626.1</v>
      </c>
      <c r="H487" s="111"/>
      <c r="I487" s="111">
        <v>626.1</v>
      </c>
      <c r="J487" s="115">
        <v>3846.2</v>
      </c>
      <c r="K487" s="111"/>
      <c r="L487" s="115">
        <v>3846.2</v>
      </c>
      <c r="M487" s="111">
        <f>G487+J487</f>
        <v>4472.3</v>
      </c>
      <c r="N487" s="111">
        <f>SUM(H487)</f>
        <v>0</v>
      </c>
      <c r="O487" s="167">
        <f>I487+L487</f>
        <v>4472.3</v>
      </c>
      <c r="P487" s="97">
        <f t="shared" si="108"/>
        <v>626.1</v>
      </c>
      <c r="Q487" s="97">
        <f t="shared" si="109"/>
        <v>0</v>
      </c>
    </row>
    <row r="488" spans="1:17" ht="16.899999999999999" customHeight="1" x14ac:dyDescent="0.2">
      <c r="A488" s="40"/>
      <c r="B488" s="135" t="s">
        <v>505</v>
      </c>
      <c r="C488" s="113">
        <v>993</v>
      </c>
      <c r="D488" s="133" t="s">
        <v>483</v>
      </c>
      <c r="E488" s="133" t="s">
        <v>506</v>
      </c>
      <c r="F488" s="134"/>
      <c r="G488" s="111">
        <v>254.4</v>
      </c>
      <c r="H488" s="111"/>
      <c r="I488" s="111">
        <v>254.4</v>
      </c>
      <c r="J488" s="115">
        <v>1562.5</v>
      </c>
      <c r="K488" s="111"/>
      <c r="L488" s="115">
        <v>1562.5</v>
      </c>
      <c r="M488" s="111">
        <f>254.4+J488</f>
        <v>1816.9</v>
      </c>
      <c r="N488" s="111"/>
      <c r="O488" s="111">
        <f>254.4+L488</f>
        <v>1816.9</v>
      </c>
      <c r="P488" s="97">
        <f t="shared" si="108"/>
        <v>254.4</v>
      </c>
      <c r="Q488" s="97">
        <f t="shared" si="109"/>
        <v>0</v>
      </c>
    </row>
    <row r="489" spans="1:17" ht="36" customHeight="1" x14ac:dyDescent="0.2">
      <c r="A489" s="40"/>
      <c r="B489" s="135" t="s">
        <v>507</v>
      </c>
      <c r="C489" s="113">
        <v>993</v>
      </c>
      <c r="D489" s="133" t="s">
        <v>483</v>
      </c>
      <c r="E489" s="133" t="s">
        <v>508</v>
      </c>
      <c r="F489" s="134"/>
      <c r="G489" s="111">
        <v>254.4</v>
      </c>
      <c r="H489" s="111"/>
      <c r="I489" s="111">
        <v>254.4</v>
      </c>
      <c r="J489" s="115">
        <v>1562.5</v>
      </c>
      <c r="K489" s="111"/>
      <c r="L489" s="115">
        <v>1562.5</v>
      </c>
      <c r="M489" s="111">
        <f>254.4+J489</f>
        <v>1816.9</v>
      </c>
      <c r="N489" s="111"/>
      <c r="O489" s="111">
        <f>254.4+L489</f>
        <v>1816.9</v>
      </c>
      <c r="P489" s="97">
        <f t="shared" si="108"/>
        <v>254.4</v>
      </c>
      <c r="Q489" s="97">
        <f t="shared" si="109"/>
        <v>0</v>
      </c>
    </row>
    <row r="490" spans="1:17" ht="36" customHeight="1" x14ac:dyDescent="0.2">
      <c r="A490" s="40"/>
      <c r="B490" s="113" t="s">
        <v>95</v>
      </c>
      <c r="C490" s="113">
        <v>993</v>
      </c>
      <c r="D490" s="133" t="s">
        <v>483</v>
      </c>
      <c r="E490" s="133" t="s">
        <v>508</v>
      </c>
      <c r="F490" s="134">
        <v>600</v>
      </c>
      <c r="G490" s="111">
        <v>254.4</v>
      </c>
      <c r="H490" s="109"/>
      <c r="I490" s="111">
        <v>254.4</v>
      </c>
      <c r="J490" s="115">
        <v>1562.5</v>
      </c>
      <c r="K490" s="109"/>
      <c r="L490" s="115">
        <v>1562.5</v>
      </c>
      <c r="M490" s="111">
        <f>254.4+J490</f>
        <v>1816.9</v>
      </c>
      <c r="N490" s="111"/>
      <c r="O490" s="111">
        <f>254.4+L490</f>
        <v>1816.9</v>
      </c>
      <c r="P490" s="97">
        <f t="shared" si="108"/>
        <v>254.4</v>
      </c>
      <c r="Q490" s="97">
        <f t="shared" si="109"/>
        <v>0</v>
      </c>
    </row>
    <row r="491" spans="1:17" ht="36" customHeight="1" x14ac:dyDescent="0.2">
      <c r="A491" s="40"/>
      <c r="B491" s="135" t="s">
        <v>459</v>
      </c>
      <c r="C491" s="113">
        <v>993</v>
      </c>
      <c r="D491" s="133" t="s">
        <v>483</v>
      </c>
      <c r="E491" s="133">
        <v>1300000000</v>
      </c>
      <c r="F491" s="134"/>
      <c r="G491" s="111"/>
      <c r="H491" s="111">
        <f>SUM(H492)</f>
        <v>0</v>
      </c>
      <c r="I491" s="111">
        <f>SUM(H492)</f>
        <v>0</v>
      </c>
      <c r="J491" s="115"/>
      <c r="K491" s="109"/>
      <c r="L491" s="115"/>
      <c r="M491" s="111"/>
      <c r="N491" s="111">
        <f t="shared" ref="N491:O494" si="113">SUM(H491)</f>
        <v>0</v>
      </c>
      <c r="O491" s="111">
        <f t="shared" si="113"/>
        <v>0</v>
      </c>
      <c r="P491" s="97">
        <f t="shared" si="108"/>
        <v>0</v>
      </c>
      <c r="Q491" s="97">
        <f t="shared" si="109"/>
        <v>0</v>
      </c>
    </row>
    <row r="492" spans="1:17" ht="36" customHeight="1" x14ac:dyDescent="0.2">
      <c r="A492" s="40"/>
      <c r="B492" s="135" t="s">
        <v>461</v>
      </c>
      <c r="C492" s="113">
        <v>993</v>
      </c>
      <c r="D492" s="133" t="s">
        <v>483</v>
      </c>
      <c r="E492" s="136" t="s">
        <v>462</v>
      </c>
      <c r="F492" s="134"/>
      <c r="G492" s="111"/>
      <c r="H492" s="111">
        <f>SUM(H493)</f>
        <v>0</v>
      </c>
      <c r="I492" s="111">
        <f>SUM(H493)</f>
        <v>0</v>
      </c>
      <c r="J492" s="115"/>
      <c r="K492" s="109"/>
      <c r="L492" s="115"/>
      <c r="M492" s="111"/>
      <c r="N492" s="111">
        <f t="shared" si="113"/>
        <v>0</v>
      </c>
      <c r="O492" s="111">
        <f t="shared" si="113"/>
        <v>0</v>
      </c>
      <c r="P492" s="97">
        <f t="shared" si="108"/>
        <v>0</v>
      </c>
      <c r="Q492" s="97">
        <f t="shared" si="109"/>
        <v>0</v>
      </c>
    </row>
    <row r="493" spans="1:17" ht="36" customHeight="1" x14ac:dyDescent="0.2">
      <c r="A493" s="40"/>
      <c r="B493" s="135" t="s">
        <v>463</v>
      </c>
      <c r="C493" s="113">
        <v>993</v>
      </c>
      <c r="D493" s="133" t="s">
        <v>483</v>
      </c>
      <c r="E493" s="136" t="s">
        <v>464</v>
      </c>
      <c r="F493" s="134"/>
      <c r="G493" s="111"/>
      <c r="H493" s="111">
        <f>SUM(H494)</f>
        <v>0</v>
      </c>
      <c r="I493" s="111">
        <f>SUM(H494)</f>
        <v>0</v>
      </c>
      <c r="J493" s="115"/>
      <c r="K493" s="109"/>
      <c r="L493" s="115"/>
      <c r="M493" s="111"/>
      <c r="N493" s="111">
        <f t="shared" si="113"/>
        <v>0</v>
      </c>
      <c r="O493" s="111">
        <f t="shared" si="113"/>
        <v>0</v>
      </c>
      <c r="P493" s="97">
        <f t="shared" si="108"/>
        <v>0</v>
      </c>
      <c r="Q493" s="97">
        <f t="shared" si="109"/>
        <v>0</v>
      </c>
    </row>
    <row r="494" spans="1:17" ht="36" customHeight="1" x14ac:dyDescent="0.2">
      <c r="A494" s="40"/>
      <c r="B494" s="113" t="s">
        <v>40</v>
      </c>
      <c r="C494" s="113">
        <v>993</v>
      </c>
      <c r="D494" s="133" t="s">
        <v>483</v>
      </c>
      <c r="E494" s="136" t="s">
        <v>464</v>
      </c>
      <c r="F494" s="134">
        <v>200</v>
      </c>
      <c r="G494" s="111"/>
      <c r="H494" s="109"/>
      <c r="I494" s="151">
        <f>SUM(H494)</f>
        <v>0</v>
      </c>
      <c r="J494" s="115"/>
      <c r="K494" s="109"/>
      <c r="L494" s="115"/>
      <c r="M494" s="111"/>
      <c r="N494" s="111">
        <f t="shared" si="113"/>
        <v>0</v>
      </c>
      <c r="O494" s="111">
        <f t="shared" si="113"/>
        <v>0</v>
      </c>
      <c r="P494" s="97">
        <f t="shared" si="108"/>
        <v>0</v>
      </c>
      <c r="Q494" s="97">
        <f t="shared" si="109"/>
        <v>0</v>
      </c>
    </row>
    <row r="495" spans="1:17" ht="15.75" x14ac:dyDescent="0.2">
      <c r="A495" s="33" t="s">
        <v>509</v>
      </c>
      <c r="B495" s="110" t="s">
        <v>510</v>
      </c>
      <c r="C495" s="110" t="s">
        <v>477</v>
      </c>
      <c r="D495" s="131" t="s">
        <v>511</v>
      </c>
      <c r="E495" s="131" t="s">
        <v>11</v>
      </c>
      <c r="F495" s="132" t="s">
        <v>11</v>
      </c>
      <c r="G495" s="109">
        <f t="shared" ref="G495:O499" si="114">G496</f>
        <v>11335.7</v>
      </c>
      <c r="H495" s="109">
        <f t="shared" si="114"/>
        <v>0</v>
      </c>
      <c r="I495" s="109">
        <f t="shared" si="114"/>
        <v>11335.7</v>
      </c>
      <c r="J495" s="112">
        <f t="shared" si="114"/>
        <v>266.2</v>
      </c>
      <c r="K495" s="111">
        <f>K496</f>
        <v>481.3</v>
      </c>
      <c r="L495" s="112">
        <f t="shared" si="114"/>
        <v>747.5</v>
      </c>
      <c r="M495" s="109">
        <f>M496</f>
        <v>11601.900000000001</v>
      </c>
      <c r="N495" s="109">
        <f t="shared" si="114"/>
        <v>481.3</v>
      </c>
      <c r="O495" s="109">
        <f t="shared" si="114"/>
        <v>12083.2</v>
      </c>
      <c r="P495" s="97">
        <f t="shared" si="108"/>
        <v>11335.7</v>
      </c>
      <c r="Q495" s="97">
        <f t="shared" si="109"/>
        <v>0</v>
      </c>
    </row>
    <row r="496" spans="1:17" ht="31.5" x14ac:dyDescent="0.2">
      <c r="A496" s="40"/>
      <c r="B496" s="113" t="s">
        <v>484</v>
      </c>
      <c r="C496" s="113" t="s">
        <v>477</v>
      </c>
      <c r="D496" s="133" t="s">
        <v>511</v>
      </c>
      <c r="E496" s="133" t="s">
        <v>485</v>
      </c>
      <c r="F496" s="134" t="s">
        <v>11</v>
      </c>
      <c r="G496" s="111">
        <f t="shared" si="114"/>
        <v>11335.7</v>
      </c>
      <c r="H496" s="111">
        <f t="shared" si="114"/>
        <v>0</v>
      </c>
      <c r="I496" s="111">
        <f t="shared" si="114"/>
        <v>11335.7</v>
      </c>
      <c r="J496" s="114">
        <f t="shared" si="114"/>
        <v>266.2</v>
      </c>
      <c r="K496" s="111">
        <f>K497</f>
        <v>481.3</v>
      </c>
      <c r="L496" s="114">
        <f t="shared" si="114"/>
        <v>747.5</v>
      </c>
      <c r="M496" s="111">
        <f t="shared" si="114"/>
        <v>11601.900000000001</v>
      </c>
      <c r="N496" s="111">
        <f t="shared" si="114"/>
        <v>481.3</v>
      </c>
      <c r="O496" s="111">
        <f t="shared" si="114"/>
        <v>12083.2</v>
      </c>
      <c r="P496" s="97">
        <f t="shared" si="108"/>
        <v>11335.7</v>
      </c>
      <c r="Q496" s="97">
        <f t="shared" si="109"/>
        <v>0</v>
      </c>
    </row>
    <row r="497" spans="1:17" ht="47.25" x14ac:dyDescent="0.2">
      <c r="A497" s="40"/>
      <c r="B497" s="113" t="s">
        <v>495</v>
      </c>
      <c r="C497" s="113" t="s">
        <v>477</v>
      </c>
      <c r="D497" s="133" t="s">
        <v>511</v>
      </c>
      <c r="E497" s="133" t="s">
        <v>496</v>
      </c>
      <c r="F497" s="134" t="s">
        <v>11</v>
      </c>
      <c r="G497" s="111">
        <f t="shared" si="114"/>
        <v>11335.7</v>
      </c>
      <c r="H497" s="111">
        <f t="shared" si="114"/>
        <v>0</v>
      </c>
      <c r="I497" s="111">
        <f t="shared" si="114"/>
        <v>11335.7</v>
      </c>
      <c r="J497" s="114">
        <f t="shared" si="114"/>
        <v>266.2</v>
      </c>
      <c r="K497" s="111">
        <f>K498</f>
        <v>481.3</v>
      </c>
      <c r="L497" s="114">
        <f t="shared" si="114"/>
        <v>747.5</v>
      </c>
      <c r="M497" s="111">
        <f t="shared" si="114"/>
        <v>11601.900000000001</v>
      </c>
      <c r="N497" s="111">
        <f t="shared" si="114"/>
        <v>481.3</v>
      </c>
      <c r="O497" s="111">
        <f t="shared" si="114"/>
        <v>12083.2</v>
      </c>
      <c r="P497" s="97">
        <f t="shared" si="108"/>
        <v>11335.7</v>
      </c>
      <c r="Q497" s="97">
        <f t="shared" si="109"/>
        <v>0</v>
      </c>
    </row>
    <row r="498" spans="1:17" ht="47.25" x14ac:dyDescent="0.2">
      <c r="A498" s="40"/>
      <c r="B498" s="113" t="s">
        <v>497</v>
      </c>
      <c r="C498" s="113" t="s">
        <v>477</v>
      </c>
      <c r="D498" s="133" t="s">
        <v>511</v>
      </c>
      <c r="E498" s="133" t="s">
        <v>498</v>
      </c>
      <c r="F498" s="134" t="s">
        <v>11</v>
      </c>
      <c r="G498" s="111">
        <f>G499+G501</f>
        <v>11335.7</v>
      </c>
      <c r="H498" s="111">
        <f>SUM(H499)</f>
        <v>0</v>
      </c>
      <c r="I498" s="111">
        <f>I499+I501</f>
        <v>11335.7</v>
      </c>
      <c r="J498" s="114">
        <f t="shared" si="114"/>
        <v>266.2</v>
      </c>
      <c r="K498" s="111">
        <f>K499</f>
        <v>481.3</v>
      </c>
      <c r="L498" s="114">
        <f t="shared" si="114"/>
        <v>747.5</v>
      </c>
      <c r="M498" s="111">
        <f>M499+M501</f>
        <v>11601.900000000001</v>
      </c>
      <c r="N498" s="111">
        <f>SUM(K498)</f>
        <v>481.3</v>
      </c>
      <c r="O498" s="111">
        <f>O499+O501</f>
        <v>12083.2</v>
      </c>
      <c r="P498" s="97">
        <f t="shared" si="108"/>
        <v>11335.7</v>
      </c>
      <c r="Q498" s="97">
        <f t="shared" si="109"/>
        <v>0</v>
      </c>
    </row>
    <row r="499" spans="1:17" ht="31.5" x14ac:dyDescent="0.2">
      <c r="A499" s="40"/>
      <c r="B499" s="113" t="s">
        <v>134</v>
      </c>
      <c r="C499" s="113" t="s">
        <v>477</v>
      </c>
      <c r="D499" s="133" t="s">
        <v>511</v>
      </c>
      <c r="E499" s="133" t="s">
        <v>499</v>
      </c>
      <c r="F499" s="134" t="s">
        <v>11</v>
      </c>
      <c r="G499" s="111">
        <f>G500</f>
        <v>10735.7</v>
      </c>
      <c r="H499" s="109"/>
      <c r="I499" s="111">
        <f>I500</f>
        <v>10735.7</v>
      </c>
      <c r="J499" s="114">
        <f t="shared" si="114"/>
        <v>266.2</v>
      </c>
      <c r="K499" s="109">
        <f>K500</f>
        <v>481.3</v>
      </c>
      <c r="L499" s="114">
        <f t="shared" si="114"/>
        <v>747.5</v>
      </c>
      <c r="M499" s="111">
        <f t="shared" si="114"/>
        <v>11001.900000000001</v>
      </c>
      <c r="N499" s="111">
        <f t="shared" si="114"/>
        <v>481.3</v>
      </c>
      <c r="O499" s="111">
        <f t="shared" si="114"/>
        <v>11483.2</v>
      </c>
      <c r="P499" s="97">
        <f t="shared" si="108"/>
        <v>10735.7</v>
      </c>
      <c r="Q499" s="97">
        <f t="shared" si="109"/>
        <v>0</v>
      </c>
    </row>
    <row r="500" spans="1:17" ht="36.6" customHeight="1" x14ac:dyDescent="0.2">
      <c r="A500" s="40"/>
      <c r="B500" s="113" t="s">
        <v>95</v>
      </c>
      <c r="C500" s="113" t="s">
        <v>477</v>
      </c>
      <c r="D500" s="133" t="s">
        <v>511</v>
      </c>
      <c r="E500" s="133" t="s">
        <v>499</v>
      </c>
      <c r="F500" s="134" t="s">
        <v>96</v>
      </c>
      <c r="G500" s="111">
        <f>10735700/1000</f>
        <v>10735.7</v>
      </c>
      <c r="H500" s="109"/>
      <c r="I500" s="111">
        <f>10735700/1000+H500</f>
        <v>10735.7</v>
      </c>
      <c r="J500" s="115">
        <v>266.2</v>
      </c>
      <c r="K500" s="111">
        <f>481.2+0.1</f>
        <v>481.3</v>
      </c>
      <c r="L500" s="115">
        <f>J500+K500</f>
        <v>747.5</v>
      </c>
      <c r="M500" s="111">
        <f>G500+J500</f>
        <v>11001.900000000001</v>
      </c>
      <c r="N500" s="111">
        <f>SUM(K500)</f>
        <v>481.3</v>
      </c>
      <c r="O500" s="111">
        <f>I500+L500</f>
        <v>11483.2</v>
      </c>
      <c r="P500" s="97">
        <f t="shared" si="108"/>
        <v>10735.7</v>
      </c>
      <c r="Q500" s="97">
        <f t="shared" si="109"/>
        <v>0</v>
      </c>
    </row>
    <row r="501" spans="1:17" ht="36.6" customHeight="1" x14ac:dyDescent="0.2">
      <c r="A501" s="40"/>
      <c r="B501" s="113" t="s">
        <v>283</v>
      </c>
      <c r="C501" s="113">
        <v>993</v>
      </c>
      <c r="D501" s="133" t="s">
        <v>511</v>
      </c>
      <c r="E501" s="133" t="s">
        <v>502</v>
      </c>
      <c r="F501" s="134"/>
      <c r="G501" s="111">
        <f>SUM(G502)</f>
        <v>600</v>
      </c>
      <c r="H501" s="109"/>
      <c r="I501" s="111">
        <f>SUM(G501)</f>
        <v>600</v>
      </c>
      <c r="J501" s="115"/>
      <c r="K501" s="109"/>
      <c r="L501" s="115"/>
      <c r="M501" s="111">
        <f t="shared" ref="M501:O502" si="115">SUM(G501)</f>
        <v>600</v>
      </c>
      <c r="N501" s="111">
        <f t="shared" si="115"/>
        <v>0</v>
      </c>
      <c r="O501" s="111">
        <f t="shared" si="115"/>
        <v>600</v>
      </c>
      <c r="P501" s="97">
        <f t="shared" si="108"/>
        <v>600</v>
      </c>
      <c r="Q501" s="97">
        <f t="shared" si="109"/>
        <v>0</v>
      </c>
    </row>
    <row r="502" spans="1:17" ht="36.6" customHeight="1" x14ac:dyDescent="0.2">
      <c r="A502" s="40"/>
      <c r="B502" s="113" t="s">
        <v>95</v>
      </c>
      <c r="C502" s="113">
        <v>993</v>
      </c>
      <c r="D502" s="133" t="s">
        <v>511</v>
      </c>
      <c r="E502" s="133" t="s">
        <v>502</v>
      </c>
      <c r="F502" s="134">
        <v>600</v>
      </c>
      <c r="G502" s="111">
        <v>600</v>
      </c>
      <c r="H502" s="109"/>
      <c r="I502" s="111">
        <f>SUM(G502)</f>
        <v>600</v>
      </c>
      <c r="J502" s="115"/>
      <c r="K502" s="109"/>
      <c r="L502" s="115"/>
      <c r="M502" s="111">
        <f t="shared" si="115"/>
        <v>600</v>
      </c>
      <c r="N502" s="111">
        <f t="shared" si="115"/>
        <v>0</v>
      </c>
      <c r="O502" s="111">
        <f t="shared" si="115"/>
        <v>600</v>
      </c>
      <c r="P502" s="97">
        <f t="shared" si="108"/>
        <v>600</v>
      </c>
      <c r="Q502" s="97">
        <f t="shared" si="109"/>
        <v>0</v>
      </c>
    </row>
    <row r="503" spans="1:17" ht="31.5" x14ac:dyDescent="0.2">
      <c r="A503" s="33" t="s">
        <v>512</v>
      </c>
      <c r="B503" s="110" t="s">
        <v>513</v>
      </c>
      <c r="C503" s="110" t="s">
        <v>477</v>
      </c>
      <c r="D503" s="131" t="s">
        <v>514</v>
      </c>
      <c r="E503" s="131" t="s">
        <v>11</v>
      </c>
      <c r="F503" s="132" t="s">
        <v>11</v>
      </c>
      <c r="G503" s="109">
        <f>G504</f>
        <v>17755.099999999999</v>
      </c>
      <c r="H503" s="109">
        <f>H504+H515</f>
        <v>328.20000000000005</v>
      </c>
      <c r="I503" s="109">
        <f>I504</f>
        <v>18083.3</v>
      </c>
      <c r="J503" s="112">
        <f>J504</f>
        <v>407.6</v>
      </c>
      <c r="K503" s="111">
        <f>K504+K515</f>
        <v>130.19999999999999</v>
      </c>
      <c r="L503" s="112">
        <f>L504</f>
        <v>537.79999999999995</v>
      </c>
      <c r="M503" s="109">
        <f>M504</f>
        <v>18162.7</v>
      </c>
      <c r="N503" s="109">
        <f>N504</f>
        <v>458.4</v>
      </c>
      <c r="O503" s="169">
        <f>O504</f>
        <v>18621.099999999999</v>
      </c>
      <c r="P503" s="97">
        <f t="shared" si="108"/>
        <v>18083.3</v>
      </c>
      <c r="Q503" s="97">
        <f t="shared" si="109"/>
        <v>0</v>
      </c>
    </row>
    <row r="504" spans="1:17" ht="31.5" x14ac:dyDescent="0.2">
      <c r="A504" s="40"/>
      <c r="B504" s="113" t="s">
        <v>484</v>
      </c>
      <c r="C504" s="113" t="s">
        <v>477</v>
      </c>
      <c r="D504" s="133" t="s">
        <v>514</v>
      </c>
      <c r="E504" s="133" t="s">
        <v>485</v>
      </c>
      <c r="F504" s="134" t="s">
        <v>11</v>
      </c>
      <c r="G504" s="111">
        <f>G505+G516</f>
        <v>17755.099999999999</v>
      </c>
      <c r="H504" s="111">
        <f>H505+H509+H516</f>
        <v>328.20000000000005</v>
      </c>
      <c r="I504" s="111">
        <f>I505+I516</f>
        <v>18083.3</v>
      </c>
      <c r="J504" s="114">
        <f>J505+J516</f>
        <v>407.6</v>
      </c>
      <c r="K504" s="111">
        <f>K505+K509</f>
        <v>130.19999999999999</v>
      </c>
      <c r="L504" s="114">
        <f>L505+L516</f>
        <v>537.79999999999995</v>
      </c>
      <c r="M504" s="111">
        <f>M505+M516</f>
        <v>18162.7</v>
      </c>
      <c r="N504" s="111">
        <f>N505+N516</f>
        <v>458.4</v>
      </c>
      <c r="O504" s="111">
        <f>O505+O516</f>
        <v>18621.099999999999</v>
      </c>
      <c r="P504" s="97">
        <f t="shared" si="108"/>
        <v>18083.3</v>
      </c>
      <c r="Q504" s="97">
        <f t="shared" si="109"/>
        <v>0</v>
      </c>
    </row>
    <row r="505" spans="1:17" ht="47.25" x14ac:dyDescent="0.2">
      <c r="A505" s="40"/>
      <c r="B505" s="113" t="s">
        <v>495</v>
      </c>
      <c r="C505" s="113" t="s">
        <v>477</v>
      </c>
      <c r="D505" s="133" t="s">
        <v>514</v>
      </c>
      <c r="E505" s="133" t="s">
        <v>496</v>
      </c>
      <c r="F505" s="134" t="s">
        <v>11</v>
      </c>
      <c r="G505" s="111">
        <f>G506+G511</f>
        <v>15664.5</v>
      </c>
      <c r="H505" s="111">
        <f>H506+H511</f>
        <v>328.20000000000005</v>
      </c>
      <c r="I505" s="111">
        <f>I506+I511</f>
        <v>15992.7</v>
      </c>
      <c r="J505" s="114">
        <f>J506+J511</f>
        <v>407.6</v>
      </c>
      <c r="K505" s="111">
        <f>K506</f>
        <v>130.19999999999999</v>
      </c>
      <c r="L505" s="114">
        <f>L506+L511</f>
        <v>537.79999999999995</v>
      </c>
      <c r="M505" s="111">
        <f>M506+M511</f>
        <v>16072.1</v>
      </c>
      <c r="N505" s="111">
        <f>N506+N511</f>
        <v>458.4</v>
      </c>
      <c r="O505" s="111">
        <f>O506+O511</f>
        <v>16530.5</v>
      </c>
      <c r="P505" s="97">
        <f t="shared" si="108"/>
        <v>15992.7</v>
      </c>
      <c r="Q505" s="97">
        <f t="shared" si="109"/>
        <v>0</v>
      </c>
    </row>
    <row r="506" spans="1:17" ht="47.25" x14ac:dyDescent="0.2">
      <c r="A506" s="40"/>
      <c r="B506" s="113" t="s">
        <v>497</v>
      </c>
      <c r="C506" s="113" t="s">
        <v>477</v>
      </c>
      <c r="D506" s="133" t="s">
        <v>514</v>
      </c>
      <c r="E506" s="133" t="s">
        <v>498</v>
      </c>
      <c r="F506" s="134" t="s">
        <v>11</v>
      </c>
      <c r="G506" s="111">
        <f>G507</f>
        <v>4948</v>
      </c>
      <c r="H506" s="111">
        <f>H507</f>
        <v>-217.4</v>
      </c>
      <c r="I506" s="111">
        <f>I507</f>
        <v>4730.6000000000004</v>
      </c>
      <c r="J506" s="114">
        <f>J507</f>
        <v>407.6</v>
      </c>
      <c r="K506" s="111">
        <f>K507</f>
        <v>130.19999999999999</v>
      </c>
      <c r="L506" s="114">
        <f>L507</f>
        <v>537.79999999999995</v>
      </c>
      <c r="M506" s="111">
        <f>M507</f>
        <v>5355.6</v>
      </c>
      <c r="N506" s="111">
        <f>N507</f>
        <v>-87.200000000000017</v>
      </c>
      <c r="O506" s="111">
        <f>O507</f>
        <v>5268.4000000000005</v>
      </c>
      <c r="P506" s="97">
        <f t="shared" si="108"/>
        <v>4730.6000000000004</v>
      </c>
      <c r="Q506" s="97">
        <f t="shared" si="109"/>
        <v>0</v>
      </c>
    </row>
    <row r="507" spans="1:17" ht="31.5" x14ac:dyDescent="0.2">
      <c r="A507" s="40"/>
      <c r="B507" s="113" t="s">
        <v>134</v>
      </c>
      <c r="C507" s="113" t="s">
        <v>477</v>
      </c>
      <c r="D507" s="133" t="s">
        <v>514</v>
      </c>
      <c r="E507" s="133" t="s">
        <v>499</v>
      </c>
      <c r="F507" s="134" t="s">
        <v>11</v>
      </c>
      <c r="G507" s="111">
        <f>G508+G509+G510</f>
        <v>4948</v>
      </c>
      <c r="H507" s="111">
        <f>H508</f>
        <v>-217.4</v>
      </c>
      <c r="I507" s="111">
        <f>SUM(I508:I510)</f>
        <v>4730.6000000000004</v>
      </c>
      <c r="J507" s="114">
        <f>J508+J509</f>
        <v>407.6</v>
      </c>
      <c r="K507" s="111">
        <f>K508</f>
        <v>130.19999999999999</v>
      </c>
      <c r="L507" s="114">
        <f>L508+L509</f>
        <v>537.79999999999995</v>
      </c>
      <c r="M507" s="111">
        <f>M508+M509+M510</f>
        <v>5355.6</v>
      </c>
      <c r="N507" s="111">
        <f>N508+N509+N510</f>
        <v>-87.200000000000017</v>
      </c>
      <c r="O507" s="111">
        <f>O508+O509+O510</f>
        <v>5268.4000000000005</v>
      </c>
      <c r="P507" s="97">
        <f t="shared" si="108"/>
        <v>4730.6000000000004</v>
      </c>
      <c r="Q507" s="97">
        <f t="shared" si="109"/>
        <v>0</v>
      </c>
    </row>
    <row r="508" spans="1:17" ht="78.75" x14ac:dyDescent="0.2">
      <c r="A508" s="40"/>
      <c r="B508" s="113" t="s">
        <v>61</v>
      </c>
      <c r="C508" s="113" t="s">
        <v>477</v>
      </c>
      <c r="D508" s="133" t="s">
        <v>514</v>
      </c>
      <c r="E508" s="133" t="s">
        <v>499</v>
      </c>
      <c r="F508" s="134" t="s">
        <v>62</v>
      </c>
      <c r="G508" s="111">
        <v>4348.6000000000004</v>
      </c>
      <c r="H508" s="111">
        <v>-217.4</v>
      </c>
      <c r="I508" s="111">
        <f>G508+H508</f>
        <v>4131.2000000000007</v>
      </c>
      <c r="J508" s="115">
        <v>407.6</v>
      </c>
      <c r="K508" s="111">
        <v>130.19999999999999</v>
      </c>
      <c r="L508" s="115">
        <f>J508+K508</f>
        <v>537.79999999999995</v>
      </c>
      <c r="M508" s="111">
        <f>G508+J508</f>
        <v>4756.2000000000007</v>
      </c>
      <c r="N508" s="111">
        <f>H508+K508</f>
        <v>-87.200000000000017</v>
      </c>
      <c r="O508" s="111">
        <f>I508+L508</f>
        <v>4669.0000000000009</v>
      </c>
      <c r="P508" s="97">
        <f t="shared" si="108"/>
        <v>4131.2000000000007</v>
      </c>
      <c r="Q508" s="97">
        <f t="shared" si="109"/>
        <v>0</v>
      </c>
    </row>
    <row r="509" spans="1:17" ht="31.5" x14ac:dyDescent="0.2">
      <c r="A509" s="40"/>
      <c r="B509" s="113" t="s">
        <v>40</v>
      </c>
      <c r="C509" s="113" t="s">
        <v>477</v>
      </c>
      <c r="D509" s="133" t="s">
        <v>514</v>
      </c>
      <c r="E509" s="133" t="s">
        <v>499</v>
      </c>
      <c r="F509" s="134" t="s">
        <v>41</v>
      </c>
      <c r="G509" s="111">
        <v>598.4</v>
      </c>
      <c r="H509" s="111"/>
      <c r="I509" s="111">
        <f>SUM(G509+H509)</f>
        <v>598.4</v>
      </c>
      <c r="J509" s="115"/>
      <c r="K509" s="111"/>
      <c r="L509" s="115"/>
      <c r="M509" s="111">
        <f>SUM(G509)</f>
        <v>598.4</v>
      </c>
      <c r="N509" s="111">
        <f>SUM(H509)</f>
        <v>0</v>
      </c>
      <c r="O509" s="111">
        <f>SUM(M509+N509)</f>
        <v>598.4</v>
      </c>
      <c r="P509" s="97">
        <f t="shared" si="108"/>
        <v>598.4</v>
      </c>
      <c r="Q509" s="97">
        <f t="shared" si="109"/>
        <v>0</v>
      </c>
    </row>
    <row r="510" spans="1:17" ht="15.75" x14ac:dyDescent="0.2">
      <c r="A510" s="40"/>
      <c r="B510" s="113" t="s">
        <v>70</v>
      </c>
      <c r="C510" s="113">
        <v>993</v>
      </c>
      <c r="D510" s="133" t="s">
        <v>514</v>
      </c>
      <c r="E510" s="133" t="s">
        <v>499</v>
      </c>
      <c r="F510" s="134">
        <v>800</v>
      </c>
      <c r="G510" s="111">
        <v>1</v>
      </c>
      <c r="H510" s="111"/>
      <c r="I510" s="111">
        <v>1</v>
      </c>
      <c r="J510" s="115"/>
      <c r="K510" s="111"/>
      <c r="L510" s="115"/>
      <c r="M510" s="111">
        <f>SUM(G510)</f>
        <v>1</v>
      </c>
      <c r="N510" s="111">
        <f>SUM(H510)</f>
        <v>0</v>
      </c>
      <c r="O510" s="111">
        <f>SUM(I510)</f>
        <v>1</v>
      </c>
      <c r="P510" s="97">
        <f t="shared" si="108"/>
        <v>1</v>
      </c>
      <c r="Q510" s="97">
        <f t="shared" si="109"/>
        <v>0</v>
      </c>
    </row>
    <row r="511" spans="1:17" ht="47.25" x14ac:dyDescent="0.2">
      <c r="A511" s="40"/>
      <c r="B511" s="113" t="s">
        <v>515</v>
      </c>
      <c r="C511" s="113" t="s">
        <v>477</v>
      </c>
      <c r="D511" s="133" t="s">
        <v>514</v>
      </c>
      <c r="E511" s="133" t="s">
        <v>516</v>
      </c>
      <c r="F511" s="134" t="s">
        <v>11</v>
      </c>
      <c r="G511" s="111">
        <f>G512</f>
        <v>10716.5</v>
      </c>
      <c r="H511" s="111">
        <f>H512</f>
        <v>545.6</v>
      </c>
      <c r="I511" s="111">
        <f>I512</f>
        <v>11262.1</v>
      </c>
      <c r="J511" s="114">
        <f>J512</f>
        <v>0</v>
      </c>
      <c r="K511" s="111">
        <f>K512+K513+K514</f>
        <v>0</v>
      </c>
      <c r="L511" s="114">
        <f>L512</f>
        <v>0</v>
      </c>
      <c r="M511" s="111">
        <f>M512</f>
        <v>10716.5</v>
      </c>
      <c r="N511" s="111">
        <f>N512</f>
        <v>545.6</v>
      </c>
      <c r="O511" s="111">
        <f>O512</f>
        <v>11262.1</v>
      </c>
      <c r="P511" s="97">
        <f t="shared" si="108"/>
        <v>11262.1</v>
      </c>
      <c r="Q511" s="97">
        <f t="shared" si="109"/>
        <v>0</v>
      </c>
    </row>
    <row r="512" spans="1:17" ht="31.5" x14ac:dyDescent="0.2">
      <c r="A512" s="40"/>
      <c r="B512" s="113" t="s">
        <v>134</v>
      </c>
      <c r="C512" s="113" t="s">
        <v>477</v>
      </c>
      <c r="D512" s="133" t="s">
        <v>514</v>
      </c>
      <c r="E512" s="133" t="s">
        <v>517</v>
      </c>
      <c r="F512" s="134" t="s">
        <v>11</v>
      </c>
      <c r="G512" s="111">
        <f>G513+G514+G515</f>
        <v>10716.5</v>
      </c>
      <c r="H512" s="111">
        <f>SUM(H513+H514)</f>
        <v>545.6</v>
      </c>
      <c r="I512" s="111">
        <f>I513+I514+I515</f>
        <v>11262.1</v>
      </c>
      <c r="J512" s="114">
        <f>J513+J514+J515</f>
        <v>0</v>
      </c>
      <c r="K512" s="111"/>
      <c r="L512" s="114">
        <f>L513+L514+L515</f>
        <v>0</v>
      </c>
      <c r="M512" s="111">
        <f>M513+M514+M515</f>
        <v>10716.5</v>
      </c>
      <c r="N512" s="111">
        <f>N513+N514+N515</f>
        <v>545.6</v>
      </c>
      <c r="O512" s="111">
        <f>O513+O514+O515</f>
        <v>11262.1</v>
      </c>
      <c r="P512" s="97">
        <f t="shared" si="108"/>
        <v>11262.1</v>
      </c>
      <c r="Q512" s="97">
        <f t="shared" si="109"/>
        <v>0</v>
      </c>
    </row>
    <row r="513" spans="1:17" ht="78.75" x14ac:dyDescent="0.2">
      <c r="A513" s="40"/>
      <c r="B513" s="113" t="s">
        <v>61</v>
      </c>
      <c r="C513" s="113" t="s">
        <v>477</v>
      </c>
      <c r="D513" s="133" t="s">
        <v>514</v>
      </c>
      <c r="E513" s="133" t="s">
        <v>517</v>
      </c>
      <c r="F513" s="134" t="s">
        <v>62</v>
      </c>
      <c r="G513" s="111">
        <v>9288.5</v>
      </c>
      <c r="H513" s="111">
        <v>545.6</v>
      </c>
      <c r="I513" s="111">
        <f>SUM(G513)+H513</f>
        <v>9834.1</v>
      </c>
      <c r="J513" s="115">
        <v>0</v>
      </c>
      <c r="K513" s="111"/>
      <c r="L513" s="115">
        <v>0</v>
      </c>
      <c r="M513" s="111">
        <f t="shared" ref="M513:O514" si="116">SUM(G513)</f>
        <v>9288.5</v>
      </c>
      <c r="N513" s="111">
        <f t="shared" si="116"/>
        <v>545.6</v>
      </c>
      <c r="O513" s="111">
        <f t="shared" si="116"/>
        <v>9834.1</v>
      </c>
      <c r="P513" s="97">
        <f t="shared" si="108"/>
        <v>9834.1</v>
      </c>
      <c r="Q513" s="97">
        <f t="shared" si="109"/>
        <v>0</v>
      </c>
    </row>
    <row r="514" spans="1:17" ht="31.5" x14ac:dyDescent="0.2">
      <c r="A514" s="40"/>
      <c r="B514" s="113" t="s">
        <v>40</v>
      </c>
      <c r="C514" s="113" t="s">
        <v>477</v>
      </c>
      <c r="D514" s="133" t="s">
        <v>514</v>
      </c>
      <c r="E514" s="133" t="s">
        <v>517</v>
      </c>
      <c r="F514" s="134" t="s">
        <v>41</v>
      </c>
      <c r="G514" s="111">
        <v>1426.9</v>
      </c>
      <c r="H514" s="111"/>
      <c r="I514" s="111">
        <f>SUM(G514)</f>
        <v>1426.9</v>
      </c>
      <c r="J514" s="115">
        <v>0</v>
      </c>
      <c r="K514" s="111"/>
      <c r="L514" s="115">
        <v>0</v>
      </c>
      <c r="M514" s="111">
        <f t="shared" si="116"/>
        <v>1426.9</v>
      </c>
      <c r="N514" s="111">
        <f t="shared" si="116"/>
        <v>0</v>
      </c>
      <c r="O514" s="111">
        <f t="shared" si="116"/>
        <v>1426.9</v>
      </c>
      <c r="P514" s="97">
        <f t="shared" si="108"/>
        <v>1426.9</v>
      </c>
      <c r="Q514" s="97">
        <f t="shared" si="109"/>
        <v>0</v>
      </c>
    </row>
    <row r="515" spans="1:17" ht="15.75" x14ac:dyDescent="0.2">
      <c r="A515" s="40"/>
      <c r="B515" s="113" t="s">
        <v>70</v>
      </c>
      <c r="C515" s="113" t="s">
        <v>477</v>
      </c>
      <c r="D515" s="133" t="s">
        <v>514</v>
      </c>
      <c r="E515" s="133" t="s">
        <v>517</v>
      </c>
      <c r="F515" s="134" t="s">
        <v>71</v>
      </c>
      <c r="G515" s="111">
        <f>1100/1000</f>
        <v>1.1000000000000001</v>
      </c>
      <c r="H515" s="111"/>
      <c r="I515" s="111">
        <f>1100/1000</f>
        <v>1.1000000000000001</v>
      </c>
      <c r="J515" s="115">
        <v>0</v>
      </c>
      <c r="K515" s="111"/>
      <c r="L515" s="115">
        <v>0</v>
      </c>
      <c r="M515" s="111">
        <f>1100/1000</f>
        <v>1.1000000000000001</v>
      </c>
      <c r="N515" s="111"/>
      <c r="O515" s="111">
        <f>1100/1000</f>
        <v>1.1000000000000001</v>
      </c>
      <c r="P515" s="97">
        <f t="shared" si="108"/>
        <v>1.1000000000000001</v>
      </c>
      <c r="Q515" s="97">
        <f t="shared" si="109"/>
        <v>0</v>
      </c>
    </row>
    <row r="516" spans="1:17" ht="31.5" x14ac:dyDescent="0.2">
      <c r="A516" s="40"/>
      <c r="B516" s="113" t="s">
        <v>518</v>
      </c>
      <c r="C516" s="113" t="s">
        <v>477</v>
      </c>
      <c r="D516" s="133" t="s">
        <v>514</v>
      </c>
      <c r="E516" s="133" t="s">
        <v>519</v>
      </c>
      <c r="F516" s="134" t="s">
        <v>11</v>
      </c>
      <c r="G516" s="111">
        <f t="shared" ref="G516:O517" si="117">G517</f>
        <v>2090.6</v>
      </c>
      <c r="H516" s="111">
        <f t="shared" si="117"/>
        <v>0</v>
      </c>
      <c r="I516" s="111">
        <f t="shared" si="117"/>
        <v>2090.6</v>
      </c>
      <c r="J516" s="114">
        <f t="shared" si="117"/>
        <v>0</v>
      </c>
      <c r="K516" s="111">
        <f t="shared" si="117"/>
        <v>0</v>
      </c>
      <c r="L516" s="114">
        <f t="shared" si="117"/>
        <v>0</v>
      </c>
      <c r="M516" s="111">
        <f t="shared" si="117"/>
        <v>2090.6</v>
      </c>
      <c r="N516" s="111">
        <f t="shared" si="117"/>
        <v>0</v>
      </c>
      <c r="O516" s="111">
        <f t="shared" si="117"/>
        <v>2090.6</v>
      </c>
      <c r="P516" s="97">
        <f t="shared" si="108"/>
        <v>2090.6</v>
      </c>
      <c r="Q516" s="97">
        <f t="shared" si="109"/>
        <v>0</v>
      </c>
    </row>
    <row r="517" spans="1:17" ht="31.5" x14ac:dyDescent="0.2">
      <c r="A517" s="40"/>
      <c r="B517" s="113" t="s">
        <v>520</v>
      </c>
      <c r="C517" s="113" t="s">
        <v>477</v>
      </c>
      <c r="D517" s="133" t="s">
        <v>514</v>
      </c>
      <c r="E517" s="133" t="s">
        <v>521</v>
      </c>
      <c r="F517" s="134" t="s">
        <v>11</v>
      </c>
      <c r="G517" s="111">
        <f t="shared" si="117"/>
        <v>2090.6</v>
      </c>
      <c r="H517" s="111">
        <f>H518</f>
        <v>0</v>
      </c>
      <c r="I517" s="111">
        <f t="shared" si="117"/>
        <v>2090.6</v>
      </c>
      <c r="J517" s="114">
        <f t="shared" si="117"/>
        <v>0</v>
      </c>
      <c r="K517" s="111">
        <f>K518+K519</f>
        <v>0</v>
      </c>
      <c r="L517" s="114">
        <f t="shared" si="117"/>
        <v>0</v>
      </c>
      <c r="M517" s="111">
        <f t="shared" si="117"/>
        <v>2090.6</v>
      </c>
      <c r="N517" s="111">
        <f>SUM(H517)</f>
        <v>0</v>
      </c>
      <c r="O517" s="111">
        <f t="shared" si="117"/>
        <v>2090.6</v>
      </c>
      <c r="P517" s="97">
        <f t="shared" si="108"/>
        <v>2090.6</v>
      </c>
      <c r="Q517" s="97">
        <f t="shared" si="109"/>
        <v>0</v>
      </c>
    </row>
    <row r="518" spans="1:17" ht="31.5" x14ac:dyDescent="0.2">
      <c r="A518" s="40"/>
      <c r="B518" s="113" t="s">
        <v>38</v>
      </c>
      <c r="C518" s="113" t="s">
        <v>477</v>
      </c>
      <c r="D518" s="133" t="s">
        <v>514</v>
      </c>
      <c r="E518" s="133" t="s">
        <v>522</v>
      </c>
      <c r="F518" s="134" t="s">
        <v>11</v>
      </c>
      <c r="G518" s="111">
        <f>G519+G520+G521</f>
        <v>2090.6</v>
      </c>
      <c r="H518" s="111"/>
      <c r="I518" s="111">
        <f>I519+I520+I521</f>
        <v>2090.6</v>
      </c>
      <c r="J518" s="114">
        <f>J519+J520</f>
        <v>0</v>
      </c>
      <c r="K518" s="111"/>
      <c r="L518" s="114">
        <f>L519+L520</f>
        <v>0</v>
      </c>
      <c r="M518" s="111">
        <f>M519+M520+M521</f>
        <v>2090.6</v>
      </c>
      <c r="N518" s="111"/>
      <c r="O518" s="111">
        <f>O519+O520+O521</f>
        <v>2090.6</v>
      </c>
      <c r="P518" s="97">
        <f t="shared" si="108"/>
        <v>2090.6</v>
      </c>
      <c r="Q518" s="97">
        <f t="shared" si="109"/>
        <v>0</v>
      </c>
    </row>
    <row r="519" spans="1:17" ht="78.75" x14ac:dyDescent="0.2">
      <c r="A519" s="40"/>
      <c r="B519" s="113" t="s">
        <v>61</v>
      </c>
      <c r="C519" s="113" t="s">
        <v>477</v>
      </c>
      <c r="D519" s="133" t="s">
        <v>514</v>
      </c>
      <c r="E519" s="133" t="s">
        <v>522</v>
      </c>
      <c r="F519" s="134" t="s">
        <v>62</v>
      </c>
      <c r="G519" s="111">
        <v>2080.1</v>
      </c>
      <c r="H519" s="111"/>
      <c r="I519" s="111">
        <f>SUM(G519)+H519</f>
        <v>2080.1</v>
      </c>
      <c r="J519" s="115">
        <v>0</v>
      </c>
      <c r="K519" s="111"/>
      <c r="L519" s="115">
        <v>0</v>
      </c>
      <c r="M519" s="111">
        <f t="shared" ref="M519:O521" si="118">SUM(G519)</f>
        <v>2080.1</v>
      </c>
      <c r="N519" s="111">
        <f t="shared" si="118"/>
        <v>0</v>
      </c>
      <c r="O519" s="111">
        <f t="shared" si="118"/>
        <v>2080.1</v>
      </c>
      <c r="P519" s="97">
        <f t="shared" si="108"/>
        <v>2080.1</v>
      </c>
      <c r="Q519" s="97">
        <f t="shared" si="109"/>
        <v>0</v>
      </c>
    </row>
    <row r="520" spans="1:17" ht="31.5" x14ac:dyDescent="0.2">
      <c r="A520" s="40"/>
      <c r="B520" s="113" t="s">
        <v>40</v>
      </c>
      <c r="C520" s="113" t="s">
        <v>477</v>
      </c>
      <c r="D520" s="133" t="s">
        <v>514</v>
      </c>
      <c r="E520" s="133" t="s">
        <v>522</v>
      </c>
      <c r="F520" s="134" t="s">
        <v>41</v>
      </c>
      <c r="G520" s="111">
        <v>9.5</v>
      </c>
      <c r="H520" s="106"/>
      <c r="I520" s="111">
        <f>SUM(G520)</f>
        <v>9.5</v>
      </c>
      <c r="J520" s="115">
        <v>0</v>
      </c>
      <c r="K520" s="106"/>
      <c r="L520" s="115">
        <v>0</v>
      </c>
      <c r="M520" s="111">
        <f t="shared" si="118"/>
        <v>9.5</v>
      </c>
      <c r="N520" s="111">
        <f t="shared" si="118"/>
        <v>0</v>
      </c>
      <c r="O520" s="111">
        <f t="shared" si="118"/>
        <v>9.5</v>
      </c>
      <c r="P520" s="97">
        <f t="shared" si="108"/>
        <v>9.5</v>
      </c>
      <c r="Q520" s="97">
        <f t="shared" si="109"/>
        <v>0</v>
      </c>
    </row>
    <row r="521" spans="1:17" ht="15.75" x14ac:dyDescent="0.2">
      <c r="A521" s="40"/>
      <c r="B521" s="113" t="s">
        <v>70</v>
      </c>
      <c r="C521" s="113" t="s">
        <v>477</v>
      </c>
      <c r="D521" s="133" t="s">
        <v>514</v>
      </c>
      <c r="E521" s="133" t="s">
        <v>522</v>
      </c>
      <c r="F521" s="134">
        <v>800</v>
      </c>
      <c r="G521" s="111">
        <v>1</v>
      </c>
      <c r="H521" s="106">
        <v>0</v>
      </c>
      <c r="I521" s="111">
        <f>SUM(H521)+G521</f>
        <v>1</v>
      </c>
      <c r="J521" s="115"/>
      <c r="K521" s="106"/>
      <c r="L521" s="115"/>
      <c r="M521" s="111">
        <f t="shared" si="118"/>
        <v>1</v>
      </c>
      <c r="N521" s="111">
        <f t="shared" si="118"/>
        <v>0</v>
      </c>
      <c r="O521" s="111">
        <f t="shared" si="118"/>
        <v>1</v>
      </c>
      <c r="P521" s="97">
        <f t="shared" si="108"/>
        <v>1</v>
      </c>
      <c r="Q521" s="97">
        <f t="shared" si="109"/>
        <v>0</v>
      </c>
    </row>
    <row r="522" spans="1:17" ht="47.25" x14ac:dyDescent="0.2">
      <c r="A522" s="20" t="s">
        <v>523</v>
      </c>
      <c r="B522" s="107" t="s">
        <v>524</v>
      </c>
      <c r="C522" s="107" t="s">
        <v>525</v>
      </c>
      <c r="D522" s="129" t="s">
        <v>11</v>
      </c>
      <c r="E522" s="129" t="s">
        <v>11</v>
      </c>
      <c r="F522" s="130" t="s">
        <v>11</v>
      </c>
      <c r="G522" s="106">
        <f>G523+G538</f>
        <v>24798.1</v>
      </c>
      <c r="H522" s="106">
        <f>H523+H538</f>
        <v>0</v>
      </c>
      <c r="I522" s="106">
        <f>I523+I538</f>
        <v>24798.1</v>
      </c>
      <c r="J522" s="108">
        <f>J523+J538</f>
        <v>0</v>
      </c>
      <c r="K522" s="106">
        <f>K523</f>
        <v>0</v>
      </c>
      <c r="L522" s="108">
        <f>L523+L538</f>
        <v>0</v>
      </c>
      <c r="M522" s="106">
        <f>M523+M538</f>
        <v>24798.1</v>
      </c>
      <c r="N522" s="106">
        <f>N523+N538</f>
        <v>0</v>
      </c>
      <c r="O522" s="106">
        <f>O523+O538</f>
        <v>24798.1</v>
      </c>
      <c r="P522" s="97">
        <f t="shared" si="108"/>
        <v>24798.1</v>
      </c>
      <c r="Q522" s="97">
        <f t="shared" si="109"/>
        <v>0</v>
      </c>
    </row>
    <row r="523" spans="1:17" ht="15.75" x14ac:dyDescent="0.2">
      <c r="A523" s="20" t="s">
        <v>526</v>
      </c>
      <c r="B523" s="107" t="s">
        <v>30</v>
      </c>
      <c r="C523" s="107" t="s">
        <v>525</v>
      </c>
      <c r="D523" s="129" t="s">
        <v>31</v>
      </c>
      <c r="E523" s="129" t="s">
        <v>11</v>
      </c>
      <c r="F523" s="130" t="s">
        <v>11</v>
      </c>
      <c r="G523" s="106">
        <f t="shared" ref="G523:O525" si="119">G524</f>
        <v>13161.599999999999</v>
      </c>
      <c r="H523" s="109">
        <f t="shared" si="119"/>
        <v>0</v>
      </c>
      <c r="I523" s="106">
        <f t="shared" si="119"/>
        <v>13161.599999999999</v>
      </c>
      <c r="J523" s="108">
        <f t="shared" si="119"/>
        <v>0</v>
      </c>
      <c r="K523" s="109">
        <f>K524</f>
        <v>0</v>
      </c>
      <c r="L523" s="108">
        <f t="shared" si="119"/>
        <v>0</v>
      </c>
      <c r="M523" s="106">
        <f t="shared" si="119"/>
        <v>13161.599999999999</v>
      </c>
      <c r="N523" s="106">
        <f t="shared" si="119"/>
        <v>0</v>
      </c>
      <c r="O523" s="106">
        <f t="shared" si="119"/>
        <v>13161.599999999999</v>
      </c>
      <c r="P523" s="97">
        <f t="shared" si="108"/>
        <v>13161.599999999999</v>
      </c>
      <c r="Q523" s="97">
        <f t="shared" si="109"/>
        <v>0</v>
      </c>
    </row>
    <row r="524" spans="1:17" ht="15.75" x14ac:dyDescent="0.2">
      <c r="A524" s="33" t="s">
        <v>527</v>
      </c>
      <c r="B524" s="110" t="s">
        <v>85</v>
      </c>
      <c r="C524" s="110" t="s">
        <v>525</v>
      </c>
      <c r="D524" s="131" t="s">
        <v>86</v>
      </c>
      <c r="E524" s="131" t="s">
        <v>11</v>
      </c>
      <c r="F524" s="132" t="s">
        <v>11</v>
      </c>
      <c r="G524" s="109">
        <f t="shared" si="119"/>
        <v>13161.599999999999</v>
      </c>
      <c r="H524" s="111">
        <f t="shared" si="119"/>
        <v>0</v>
      </c>
      <c r="I524" s="109">
        <f t="shared" si="119"/>
        <v>13161.599999999999</v>
      </c>
      <c r="J524" s="112">
        <f t="shared" si="119"/>
        <v>0</v>
      </c>
      <c r="K524" s="111">
        <f>K525</f>
        <v>0</v>
      </c>
      <c r="L524" s="112">
        <f t="shared" si="119"/>
        <v>0</v>
      </c>
      <c r="M524" s="109">
        <f t="shared" si="119"/>
        <v>13161.599999999999</v>
      </c>
      <c r="N524" s="109">
        <f t="shared" si="119"/>
        <v>0</v>
      </c>
      <c r="O524" s="109">
        <f t="shared" si="119"/>
        <v>13161.599999999999</v>
      </c>
      <c r="P524" s="97">
        <f t="shared" si="108"/>
        <v>13161.599999999999</v>
      </c>
      <c r="Q524" s="97">
        <f t="shared" si="109"/>
        <v>0</v>
      </c>
    </row>
    <row r="525" spans="1:17" ht="31.5" x14ac:dyDescent="0.2">
      <c r="A525" s="40"/>
      <c r="B525" s="113" t="s">
        <v>128</v>
      </c>
      <c r="C525" s="113" t="s">
        <v>525</v>
      </c>
      <c r="D525" s="133" t="s">
        <v>86</v>
      </c>
      <c r="E525" s="133" t="s">
        <v>129</v>
      </c>
      <c r="F525" s="134" t="s">
        <v>11</v>
      </c>
      <c r="G525" s="111">
        <f t="shared" si="119"/>
        <v>13161.599999999999</v>
      </c>
      <c r="H525" s="111">
        <f t="shared" si="119"/>
        <v>0</v>
      </c>
      <c r="I525" s="111">
        <f t="shared" si="119"/>
        <v>13161.599999999999</v>
      </c>
      <c r="J525" s="114">
        <f t="shared" si="119"/>
        <v>0</v>
      </c>
      <c r="K525" s="111">
        <f>K526+K530</f>
        <v>0</v>
      </c>
      <c r="L525" s="114">
        <f t="shared" si="119"/>
        <v>0</v>
      </c>
      <c r="M525" s="111">
        <f t="shared" si="119"/>
        <v>13161.599999999999</v>
      </c>
      <c r="N525" s="111">
        <f t="shared" si="119"/>
        <v>0</v>
      </c>
      <c r="O525" s="111">
        <f t="shared" si="119"/>
        <v>13161.599999999999</v>
      </c>
      <c r="P525" s="97">
        <f t="shared" si="108"/>
        <v>13161.599999999999</v>
      </c>
      <c r="Q525" s="97">
        <f t="shared" si="109"/>
        <v>0</v>
      </c>
    </row>
    <row r="526" spans="1:17" ht="31.5" x14ac:dyDescent="0.2">
      <c r="A526" s="40"/>
      <c r="B526" s="113" t="s">
        <v>528</v>
      </c>
      <c r="C526" s="113" t="s">
        <v>525</v>
      </c>
      <c r="D526" s="133" t="s">
        <v>86</v>
      </c>
      <c r="E526" s="133" t="s">
        <v>529</v>
      </c>
      <c r="F526" s="134" t="s">
        <v>11</v>
      </c>
      <c r="G526" s="111">
        <f>G527+G531</f>
        <v>13161.599999999999</v>
      </c>
      <c r="H526" s="111">
        <f>H527+H531</f>
        <v>0</v>
      </c>
      <c r="I526" s="111">
        <f>I527+I531</f>
        <v>13161.599999999999</v>
      </c>
      <c r="J526" s="114">
        <f>J527+J531</f>
        <v>0</v>
      </c>
      <c r="K526" s="111">
        <f>K527</f>
        <v>0</v>
      </c>
      <c r="L526" s="114">
        <f>L527+L531</f>
        <v>0</v>
      </c>
      <c r="M526" s="111">
        <f>M527+M531</f>
        <v>13161.599999999999</v>
      </c>
      <c r="N526" s="111">
        <f>N527+N531</f>
        <v>0</v>
      </c>
      <c r="O526" s="111">
        <f>O527+O531</f>
        <v>13161.599999999999</v>
      </c>
      <c r="P526" s="97">
        <f t="shared" si="108"/>
        <v>13161.599999999999</v>
      </c>
      <c r="Q526" s="97">
        <f t="shared" si="109"/>
        <v>0</v>
      </c>
    </row>
    <row r="527" spans="1:17" ht="47.25" x14ac:dyDescent="0.2">
      <c r="A527" s="40"/>
      <c r="B527" s="113" t="s">
        <v>530</v>
      </c>
      <c r="C527" s="113" t="s">
        <v>525</v>
      </c>
      <c r="D527" s="133" t="s">
        <v>86</v>
      </c>
      <c r="E527" s="133" t="s">
        <v>531</v>
      </c>
      <c r="F527" s="134" t="s">
        <v>11</v>
      </c>
      <c r="G527" s="111">
        <f>G528</f>
        <v>3784.2</v>
      </c>
      <c r="H527" s="111">
        <f>H528</f>
        <v>0</v>
      </c>
      <c r="I527" s="111">
        <f>I528</f>
        <v>3784.2</v>
      </c>
      <c r="J527" s="114">
        <f>J528</f>
        <v>0</v>
      </c>
      <c r="K527" s="111"/>
      <c r="L527" s="114">
        <f>L528</f>
        <v>0</v>
      </c>
      <c r="M527" s="111">
        <f>M528</f>
        <v>3784.2</v>
      </c>
      <c r="N527" s="111">
        <f>N528</f>
        <v>0</v>
      </c>
      <c r="O527" s="111">
        <f>O528</f>
        <v>3784.2</v>
      </c>
      <c r="P527" s="97">
        <f t="shared" si="108"/>
        <v>3784.2</v>
      </c>
      <c r="Q527" s="97">
        <f t="shared" si="109"/>
        <v>0</v>
      </c>
    </row>
    <row r="528" spans="1:17" ht="31.5" x14ac:dyDescent="0.2">
      <c r="A528" s="40"/>
      <c r="B528" s="113" t="s">
        <v>38</v>
      </c>
      <c r="C528" s="113" t="s">
        <v>525</v>
      </c>
      <c r="D528" s="133" t="s">
        <v>86</v>
      </c>
      <c r="E528" s="133" t="s">
        <v>532</v>
      </c>
      <c r="F528" s="134" t="s">
        <v>11</v>
      </c>
      <c r="G528" s="111">
        <f>G529+G530</f>
        <v>3784.2</v>
      </c>
      <c r="H528" s="111">
        <f>SUM(H529)+H530</f>
        <v>0</v>
      </c>
      <c r="I528" s="111">
        <f>I529+I530</f>
        <v>3784.2</v>
      </c>
      <c r="J528" s="114">
        <f>J529+J530</f>
        <v>0</v>
      </c>
      <c r="K528" s="111"/>
      <c r="L528" s="114">
        <f>L529+L530</f>
        <v>0</v>
      </c>
      <c r="M528" s="111">
        <f>M529+M530</f>
        <v>3784.2</v>
      </c>
      <c r="N528" s="111">
        <f>N529+N530</f>
        <v>0</v>
      </c>
      <c r="O528" s="111">
        <f>O529+O530</f>
        <v>3784.2</v>
      </c>
      <c r="P528" s="97">
        <f t="shared" si="108"/>
        <v>3784.2</v>
      </c>
      <c r="Q528" s="97">
        <f t="shared" si="109"/>
        <v>0</v>
      </c>
    </row>
    <row r="529" spans="1:17" ht="78.75" x14ac:dyDescent="0.2">
      <c r="A529" s="40"/>
      <c r="B529" s="113" t="s">
        <v>61</v>
      </c>
      <c r="C529" s="113" t="s">
        <v>525</v>
      </c>
      <c r="D529" s="133" t="s">
        <v>86</v>
      </c>
      <c r="E529" s="133" t="s">
        <v>532</v>
      </c>
      <c r="F529" s="134" t="s">
        <v>62</v>
      </c>
      <c r="G529" s="111">
        <v>3766.6</v>
      </c>
      <c r="H529" s="111">
        <v>-0.5</v>
      </c>
      <c r="I529" s="111">
        <f>G529+H529</f>
        <v>3766.1</v>
      </c>
      <c r="J529" s="115">
        <v>0</v>
      </c>
      <c r="K529" s="111"/>
      <c r="L529" s="115">
        <v>0</v>
      </c>
      <c r="M529" s="111">
        <f t="shared" ref="M529:O530" si="120">SUM(G529)</f>
        <v>3766.6</v>
      </c>
      <c r="N529" s="111">
        <f t="shared" si="120"/>
        <v>-0.5</v>
      </c>
      <c r="O529" s="111">
        <f t="shared" si="120"/>
        <v>3766.1</v>
      </c>
      <c r="P529" s="97">
        <f t="shared" si="108"/>
        <v>3766.1</v>
      </c>
      <c r="Q529" s="97">
        <f t="shared" si="109"/>
        <v>0</v>
      </c>
    </row>
    <row r="530" spans="1:17" ht="31.5" x14ac:dyDescent="0.2">
      <c r="A530" s="40"/>
      <c r="B530" s="113" t="s">
        <v>40</v>
      </c>
      <c r="C530" s="113" t="s">
        <v>525</v>
      </c>
      <c r="D530" s="133" t="s">
        <v>86</v>
      </c>
      <c r="E530" s="133" t="s">
        <v>532</v>
      </c>
      <c r="F530" s="134" t="s">
        <v>41</v>
      </c>
      <c r="G530" s="111">
        <v>17.600000000000001</v>
      </c>
      <c r="H530" s="111">
        <v>0.5</v>
      </c>
      <c r="I530" s="111">
        <f>G530+H530</f>
        <v>18.100000000000001</v>
      </c>
      <c r="J530" s="115">
        <v>0</v>
      </c>
      <c r="K530" s="111">
        <f>K531</f>
        <v>0</v>
      </c>
      <c r="L530" s="115">
        <v>0</v>
      </c>
      <c r="M530" s="111">
        <f t="shared" si="120"/>
        <v>17.600000000000001</v>
      </c>
      <c r="N530" s="111">
        <f t="shared" si="120"/>
        <v>0.5</v>
      </c>
      <c r="O530" s="111">
        <f t="shared" si="120"/>
        <v>18.100000000000001</v>
      </c>
      <c r="P530" s="97">
        <f t="shared" si="108"/>
        <v>18.100000000000001</v>
      </c>
      <c r="Q530" s="97">
        <f t="shared" si="109"/>
        <v>0</v>
      </c>
    </row>
    <row r="531" spans="1:17" ht="47.25" x14ac:dyDescent="0.2">
      <c r="A531" s="40"/>
      <c r="B531" s="113" t="s">
        <v>533</v>
      </c>
      <c r="C531" s="113" t="s">
        <v>525</v>
      </c>
      <c r="D531" s="133" t="s">
        <v>86</v>
      </c>
      <c r="E531" s="133" t="s">
        <v>534</v>
      </c>
      <c r="F531" s="134" t="s">
        <v>11</v>
      </c>
      <c r="G531" s="111">
        <f>G532+G536</f>
        <v>9377.4</v>
      </c>
      <c r="H531" s="111">
        <f>SUM(H532)+H536</f>
        <v>0</v>
      </c>
      <c r="I531" s="111">
        <f>I532+I536</f>
        <v>9377.4</v>
      </c>
      <c r="J531" s="114">
        <f>J532</f>
        <v>0</v>
      </c>
      <c r="K531" s="111">
        <f>K532+K533</f>
        <v>0</v>
      </c>
      <c r="L531" s="114">
        <f>L532</f>
        <v>0</v>
      </c>
      <c r="M531" s="111">
        <f>M532+M536</f>
        <v>9377.4</v>
      </c>
      <c r="N531" s="111">
        <f>N532+N536</f>
        <v>0</v>
      </c>
      <c r="O531" s="111">
        <f>O532+O536</f>
        <v>9377.4</v>
      </c>
      <c r="P531" s="97">
        <f t="shared" si="108"/>
        <v>9377.4</v>
      </c>
      <c r="Q531" s="97">
        <f t="shared" si="109"/>
        <v>0</v>
      </c>
    </row>
    <row r="532" spans="1:17" ht="47.25" x14ac:dyDescent="0.2">
      <c r="A532" s="40"/>
      <c r="B532" s="113" t="s">
        <v>535</v>
      </c>
      <c r="C532" s="113" t="s">
        <v>525</v>
      </c>
      <c r="D532" s="133" t="s">
        <v>86</v>
      </c>
      <c r="E532" s="133" t="s">
        <v>536</v>
      </c>
      <c r="F532" s="134" t="s">
        <v>11</v>
      </c>
      <c r="G532" s="111">
        <f>G533+G534</f>
        <v>1517.4</v>
      </c>
      <c r="H532" s="111">
        <f>H533+H534</f>
        <v>0</v>
      </c>
      <c r="I532" s="111">
        <f>I533+I534</f>
        <v>1517.4</v>
      </c>
      <c r="J532" s="114">
        <f>J533+J534</f>
        <v>0</v>
      </c>
      <c r="K532" s="111"/>
      <c r="L532" s="114">
        <f>L533+L534</f>
        <v>0</v>
      </c>
      <c r="M532" s="111">
        <f>M533+M534</f>
        <v>1517.4</v>
      </c>
      <c r="N532" s="111">
        <f>N533+N534</f>
        <v>0</v>
      </c>
      <c r="O532" s="111">
        <f>O533+O534</f>
        <v>1517.4</v>
      </c>
      <c r="P532" s="97">
        <f t="shared" si="108"/>
        <v>1517.4</v>
      </c>
      <c r="Q532" s="97">
        <f t="shared" si="109"/>
        <v>0</v>
      </c>
    </row>
    <row r="533" spans="1:17" ht="31.5" x14ac:dyDescent="0.2">
      <c r="A533" s="40"/>
      <c r="B533" s="113" t="s">
        <v>40</v>
      </c>
      <c r="C533" s="113" t="s">
        <v>525</v>
      </c>
      <c r="D533" s="133" t="s">
        <v>86</v>
      </c>
      <c r="E533" s="133" t="s">
        <v>536</v>
      </c>
      <c r="F533" s="134" t="s">
        <v>41</v>
      </c>
      <c r="G533" s="111">
        <v>1517.4</v>
      </c>
      <c r="H533" s="111"/>
      <c r="I533" s="111">
        <f>SUM(G533)+H533</f>
        <v>1517.4</v>
      </c>
      <c r="J533" s="115">
        <v>0</v>
      </c>
      <c r="K533" s="111"/>
      <c r="L533" s="115">
        <v>0</v>
      </c>
      <c r="M533" s="111">
        <f>SUM(G533)</f>
        <v>1517.4</v>
      </c>
      <c r="N533" s="111">
        <f>SUM(H533)</f>
        <v>0</v>
      </c>
      <c r="O533" s="111">
        <f>SUM(I533)</f>
        <v>1517.4</v>
      </c>
      <c r="P533" s="97">
        <f t="shared" si="108"/>
        <v>1517.4</v>
      </c>
      <c r="Q533" s="97">
        <f t="shared" si="109"/>
        <v>0</v>
      </c>
    </row>
    <row r="534" spans="1:17" ht="15.75" x14ac:dyDescent="0.2">
      <c r="A534" s="40"/>
      <c r="B534" s="113" t="s">
        <v>70</v>
      </c>
      <c r="C534" s="113" t="s">
        <v>525</v>
      </c>
      <c r="D534" s="133" t="s">
        <v>86</v>
      </c>
      <c r="E534" s="133" t="s">
        <v>536</v>
      </c>
      <c r="F534" s="134" t="s">
        <v>71</v>
      </c>
      <c r="G534" s="111">
        <v>0</v>
      </c>
      <c r="H534" s="106"/>
      <c r="I534" s="111">
        <v>0</v>
      </c>
      <c r="J534" s="115">
        <v>0</v>
      </c>
      <c r="K534" s="106">
        <f>K538</f>
        <v>0</v>
      </c>
      <c r="L534" s="115">
        <v>0</v>
      </c>
      <c r="M534" s="111">
        <v>0</v>
      </c>
      <c r="N534" s="111">
        <f>SUM(H534)</f>
        <v>0</v>
      </c>
      <c r="O534" s="111">
        <v>0</v>
      </c>
      <c r="P534" s="97">
        <f t="shared" ref="P534:P548" si="121">G534+H534</f>
        <v>0</v>
      </c>
      <c r="Q534" s="97">
        <f t="shared" ref="Q534:Q548" si="122">I534-P534</f>
        <v>0</v>
      </c>
    </row>
    <row r="535" spans="1:17" ht="0.75" customHeight="1" x14ac:dyDescent="0.2">
      <c r="A535" s="40"/>
      <c r="B535" s="113"/>
      <c r="C535" s="113">
        <v>995</v>
      </c>
      <c r="D535" s="133" t="s">
        <v>86</v>
      </c>
      <c r="E535" s="133">
        <v>1230300000</v>
      </c>
      <c r="F535" s="134"/>
      <c r="G535" s="111"/>
      <c r="H535" s="106"/>
      <c r="I535" s="111"/>
      <c r="J535" s="115"/>
      <c r="K535" s="106"/>
      <c r="L535" s="115"/>
      <c r="M535" s="111"/>
      <c r="N535" s="111"/>
      <c r="O535" s="111"/>
      <c r="P535" s="97">
        <f t="shared" si="121"/>
        <v>0</v>
      </c>
      <c r="Q535" s="97">
        <f t="shared" si="122"/>
        <v>0</v>
      </c>
    </row>
    <row r="536" spans="1:17" ht="47.25" x14ac:dyDescent="0.2">
      <c r="A536" s="40"/>
      <c r="B536" s="113" t="s">
        <v>597</v>
      </c>
      <c r="C536" s="113">
        <v>995</v>
      </c>
      <c r="D536" s="133" t="s">
        <v>86</v>
      </c>
      <c r="E536" s="133">
        <v>1230320330</v>
      </c>
      <c r="F536" s="134"/>
      <c r="G536" s="111">
        <v>7860</v>
      </c>
      <c r="H536" s="111">
        <f>SUM(H537)</f>
        <v>0</v>
      </c>
      <c r="I536" s="111">
        <f>SUM(H536)+G536</f>
        <v>7860</v>
      </c>
      <c r="J536" s="115"/>
      <c r="K536" s="106"/>
      <c r="L536" s="115"/>
      <c r="M536" s="111">
        <f t="shared" ref="M536:O537" si="123">SUM(G536)</f>
        <v>7860</v>
      </c>
      <c r="N536" s="111">
        <f t="shared" si="123"/>
        <v>0</v>
      </c>
      <c r="O536" s="111">
        <f t="shared" si="123"/>
        <v>7860</v>
      </c>
      <c r="P536" s="97">
        <f t="shared" si="121"/>
        <v>7860</v>
      </c>
      <c r="Q536" s="97">
        <f t="shared" si="122"/>
        <v>0</v>
      </c>
    </row>
    <row r="537" spans="1:17" ht="31.5" x14ac:dyDescent="0.2">
      <c r="A537" s="40"/>
      <c r="B537" s="113" t="s">
        <v>225</v>
      </c>
      <c r="C537" s="113">
        <v>995</v>
      </c>
      <c r="D537" s="133" t="s">
        <v>86</v>
      </c>
      <c r="E537" s="133">
        <v>1230320330</v>
      </c>
      <c r="F537" s="134">
        <v>400</v>
      </c>
      <c r="G537" s="111">
        <v>7860</v>
      </c>
      <c r="H537" s="111"/>
      <c r="I537" s="111">
        <f>SUM(G537)</f>
        <v>7860</v>
      </c>
      <c r="J537" s="115"/>
      <c r="K537" s="106"/>
      <c r="L537" s="115"/>
      <c r="M537" s="111">
        <f t="shared" si="123"/>
        <v>7860</v>
      </c>
      <c r="N537" s="111">
        <f t="shared" si="123"/>
        <v>0</v>
      </c>
      <c r="O537" s="111">
        <f t="shared" si="123"/>
        <v>7860</v>
      </c>
      <c r="P537" s="97">
        <f t="shared" si="121"/>
        <v>7860</v>
      </c>
      <c r="Q537" s="97">
        <f t="shared" si="122"/>
        <v>0</v>
      </c>
    </row>
    <row r="538" spans="1:17" ht="15.75" x14ac:dyDescent="0.2">
      <c r="A538" s="20" t="s">
        <v>537</v>
      </c>
      <c r="B538" s="107" t="s">
        <v>213</v>
      </c>
      <c r="C538" s="107" t="s">
        <v>525</v>
      </c>
      <c r="D538" s="129" t="s">
        <v>214</v>
      </c>
      <c r="E538" s="129" t="s">
        <v>11</v>
      </c>
      <c r="F538" s="130" t="s">
        <v>11</v>
      </c>
      <c r="G538" s="106">
        <f t="shared" ref="G538:O543" si="124">G539</f>
        <v>11636.5</v>
      </c>
      <c r="H538" s="109">
        <f t="shared" si="124"/>
        <v>0</v>
      </c>
      <c r="I538" s="106">
        <f t="shared" si="124"/>
        <v>11636.5</v>
      </c>
      <c r="J538" s="108">
        <f t="shared" si="124"/>
        <v>0</v>
      </c>
      <c r="K538" s="109">
        <f t="shared" si="124"/>
        <v>0</v>
      </c>
      <c r="L538" s="108">
        <f t="shared" si="124"/>
        <v>0</v>
      </c>
      <c r="M538" s="106">
        <f t="shared" si="124"/>
        <v>11636.5</v>
      </c>
      <c r="N538" s="106">
        <f t="shared" si="124"/>
        <v>0</v>
      </c>
      <c r="O538" s="106">
        <f t="shared" si="124"/>
        <v>11636.5</v>
      </c>
      <c r="P538" s="97">
        <f t="shared" si="121"/>
        <v>11636.5</v>
      </c>
      <c r="Q538" s="97">
        <f t="shared" si="122"/>
        <v>0</v>
      </c>
    </row>
    <row r="539" spans="1:17" ht="26.45" customHeight="1" x14ac:dyDescent="0.2">
      <c r="A539" s="33" t="s">
        <v>538</v>
      </c>
      <c r="B539" s="110" t="s">
        <v>261</v>
      </c>
      <c r="C539" s="110" t="s">
        <v>525</v>
      </c>
      <c r="D539" s="131" t="s">
        <v>262</v>
      </c>
      <c r="E539" s="131" t="s">
        <v>11</v>
      </c>
      <c r="F539" s="132" t="s">
        <v>11</v>
      </c>
      <c r="G539" s="109">
        <f t="shared" si="124"/>
        <v>11636.5</v>
      </c>
      <c r="H539" s="111">
        <f t="shared" si="124"/>
        <v>0</v>
      </c>
      <c r="I539" s="109">
        <f t="shared" si="124"/>
        <v>11636.5</v>
      </c>
      <c r="J539" s="112">
        <f t="shared" si="124"/>
        <v>0</v>
      </c>
      <c r="K539" s="111">
        <f t="shared" si="124"/>
        <v>0</v>
      </c>
      <c r="L539" s="112">
        <f t="shared" si="124"/>
        <v>0</v>
      </c>
      <c r="M539" s="109">
        <f t="shared" si="124"/>
        <v>11636.5</v>
      </c>
      <c r="N539" s="109">
        <f t="shared" si="124"/>
        <v>0</v>
      </c>
      <c r="O539" s="109">
        <f t="shared" si="124"/>
        <v>11636.5</v>
      </c>
      <c r="P539" s="97">
        <f t="shared" si="121"/>
        <v>11636.5</v>
      </c>
      <c r="Q539" s="97">
        <f t="shared" si="122"/>
        <v>0</v>
      </c>
    </row>
    <row r="540" spans="1:17" ht="31.5" x14ac:dyDescent="0.2">
      <c r="A540" s="40"/>
      <c r="B540" s="113" t="s">
        <v>128</v>
      </c>
      <c r="C540" s="113" t="s">
        <v>525</v>
      </c>
      <c r="D540" s="133" t="s">
        <v>262</v>
      </c>
      <c r="E540" s="133" t="s">
        <v>129</v>
      </c>
      <c r="F540" s="134" t="s">
        <v>11</v>
      </c>
      <c r="G540" s="111">
        <f t="shared" si="124"/>
        <v>11636.5</v>
      </c>
      <c r="H540" s="111">
        <f t="shared" si="124"/>
        <v>0</v>
      </c>
      <c r="I540" s="111">
        <f t="shared" si="124"/>
        <v>11636.5</v>
      </c>
      <c r="J540" s="114">
        <f t="shared" si="124"/>
        <v>0</v>
      </c>
      <c r="K540" s="111">
        <f t="shared" si="124"/>
        <v>0</v>
      </c>
      <c r="L540" s="114">
        <f t="shared" si="124"/>
        <v>0</v>
      </c>
      <c r="M540" s="111">
        <f t="shared" si="124"/>
        <v>11636.5</v>
      </c>
      <c r="N540" s="111">
        <f t="shared" si="124"/>
        <v>0</v>
      </c>
      <c r="O540" s="111">
        <f t="shared" si="124"/>
        <v>11636.5</v>
      </c>
      <c r="P540" s="97">
        <f t="shared" si="121"/>
        <v>11636.5</v>
      </c>
      <c r="Q540" s="97">
        <f t="shared" si="122"/>
        <v>0</v>
      </c>
    </row>
    <row r="541" spans="1:17" ht="31.5" x14ac:dyDescent="0.2">
      <c r="A541" s="40"/>
      <c r="B541" s="113" t="s">
        <v>528</v>
      </c>
      <c r="C541" s="113" t="s">
        <v>525</v>
      </c>
      <c r="D541" s="133" t="s">
        <v>262</v>
      </c>
      <c r="E541" s="133" t="s">
        <v>529</v>
      </c>
      <c r="F541" s="134" t="s">
        <v>11</v>
      </c>
      <c r="G541" s="111">
        <f t="shared" si="124"/>
        <v>11636.5</v>
      </c>
      <c r="H541" s="111">
        <f t="shared" si="124"/>
        <v>0</v>
      </c>
      <c r="I541" s="111">
        <f t="shared" si="124"/>
        <v>11636.5</v>
      </c>
      <c r="J541" s="114">
        <f t="shared" si="124"/>
        <v>0</v>
      </c>
      <c r="K541" s="111">
        <f t="shared" si="124"/>
        <v>0</v>
      </c>
      <c r="L541" s="114">
        <f t="shared" si="124"/>
        <v>0</v>
      </c>
      <c r="M541" s="111">
        <f t="shared" si="124"/>
        <v>11636.5</v>
      </c>
      <c r="N541" s="111">
        <f t="shared" si="124"/>
        <v>0</v>
      </c>
      <c r="O541" s="111">
        <f t="shared" si="124"/>
        <v>11636.5</v>
      </c>
      <c r="P541" s="97">
        <f t="shared" si="121"/>
        <v>11636.5</v>
      </c>
      <c r="Q541" s="97">
        <f t="shared" si="122"/>
        <v>0</v>
      </c>
    </row>
    <row r="542" spans="1:17" ht="47.25" x14ac:dyDescent="0.2">
      <c r="A542" s="40"/>
      <c r="B542" s="113" t="s">
        <v>539</v>
      </c>
      <c r="C542" s="113" t="s">
        <v>525</v>
      </c>
      <c r="D542" s="133" t="s">
        <v>262</v>
      </c>
      <c r="E542" s="133" t="s">
        <v>540</v>
      </c>
      <c r="F542" s="134" t="s">
        <v>11</v>
      </c>
      <c r="G542" s="111">
        <f t="shared" si="124"/>
        <v>11636.5</v>
      </c>
      <c r="H542" s="111">
        <f t="shared" si="124"/>
        <v>0</v>
      </c>
      <c r="I542" s="111">
        <f t="shared" si="124"/>
        <v>11636.5</v>
      </c>
      <c r="J542" s="114">
        <f t="shared" si="124"/>
        <v>0</v>
      </c>
      <c r="K542" s="111">
        <f t="shared" si="124"/>
        <v>0</v>
      </c>
      <c r="L542" s="114">
        <f t="shared" si="124"/>
        <v>0</v>
      </c>
      <c r="M542" s="111">
        <f t="shared" si="124"/>
        <v>11636.5</v>
      </c>
      <c r="N542" s="111">
        <f t="shared" si="124"/>
        <v>0</v>
      </c>
      <c r="O542" s="111">
        <f t="shared" si="124"/>
        <v>11636.5</v>
      </c>
      <c r="P542" s="97">
        <f t="shared" si="121"/>
        <v>11636.5</v>
      </c>
      <c r="Q542" s="97">
        <f t="shared" si="122"/>
        <v>0</v>
      </c>
    </row>
    <row r="543" spans="1:17" ht="32.25" thickBot="1" x14ac:dyDescent="0.25">
      <c r="A543" s="40"/>
      <c r="B543" s="113" t="s">
        <v>134</v>
      </c>
      <c r="C543" s="113" t="s">
        <v>525</v>
      </c>
      <c r="D543" s="133" t="s">
        <v>262</v>
      </c>
      <c r="E543" s="133" t="s">
        <v>541</v>
      </c>
      <c r="F543" s="134" t="s">
        <v>11</v>
      </c>
      <c r="G543" s="111">
        <f t="shared" si="124"/>
        <v>11636.5</v>
      </c>
      <c r="H543" s="122">
        <f>SUM(H544)</f>
        <v>0</v>
      </c>
      <c r="I543" s="111">
        <f t="shared" si="124"/>
        <v>11636.5</v>
      </c>
      <c r="J543" s="114">
        <f t="shared" si="124"/>
        <v>0</v>
      </c>
      <c r="K543" s="122"/>
      <c r="L543" s="114">
        <f t="shared" si="124"/>
        <v>0</v>
      </c>
      <c r="M543" s="111">
        <f t="shared" si="124"/>
        <v>11636.5</v>
      </c>
      <c r="N543" s="111">
        <f t="shared" si="124"/>
        <v>0</v>
      </c>
      <c r="O543" s="111">
        <f t="shared" si="124"/>
        <v>11636.5</v>
      </c>
      <c r="P543" s="97">
        <f t="shared" si="121"/>
        <v>11636.5</v>
      </c>
      <c r="Q543" s="97">
        <f t="shared" si="122"/>
        <v>0</v>
      </c>
    </row>
    <row r="544" spans="1:17" ht="48" thickBot="1" x14ac:dyDescent="0.25">
      <c r="A544" s="49"/>
      <c r="B544" s="123" t="s">
        <v>95</v>
      </c>
      <c r="C544" s="123" t="s">
        <v>525</v>
      </c>
      <c r="D544" s="146" t="s">
        <v>262</v>
      </c>
      <c r="E544" s="146" t="s">
        <v>541</v>
      </c>
      <c r="F544" s="147" t="s">
        <v>96</v>
      </c>
      <c r="G544" s="122">
        <v>11636.5</v>
      </c>
      <c r="H544" s="124"/>
      <c r="I544" s="122">
        <f>SUM(G544)</f>
        <v>11636.5</v>
      </c>
      <c r="J544" s="125">
        <v>0</v>
      </c>
      <c r="K544" s="124"/>
      <c r="L544" s="125">
        <v>0</v>
      </c>
      <c r="M544" s="122">
        <f>SUM(G544)</f>
        <v>11636.5</v>
      </c>
      <c r="N544" s="122">
        <f>SUM(H544)</f>
        <v>0</v>
      </c>
      <c r="O544" s="122">
        <f>SUM(I544)</f>
        <v>11636.5</v>
      </c>
      <c r="P544" s="97">
        <f t="shared" si="121"/>
        <v>11636.5</v>
      </c>
      <c r="Q544" s="97">
        <f t="shared" si="122"/>
        <v>0</v>
      </c>
    </row>
    <row r="545" spans="2:17" x14ac:dyDescent="0.2">
      <c r="P545" s="97">
        <f t="shared" si="121"/>
        <v>0</v>
      </c>
      <c r="Q545" s="97">
        <f t="shared" si="122"/>
        <v>0</v>
      </c>
    </row>
    <row r="546" spans="2:17" x14ac:dyDescent="0.2">
      <c r="B546" s="302" t="s">
        <v>542</v>
      </c>
      <c r="C546" s="266"/>
      <c r="D546" s="266"/>
      <c r="E546" s="266"/>
      <c r="F546" s="266"/>
      <c r="G546" s="266"/>
      <c r="H546" s="266"/>
      <c r="I546" s="266"/>
      <c r="J546" s="266"/>
      <c r="K546" s="266"/>
      <c r="L546" s="266"/>
      <c r="M546" s="266"/>
      <c r="N546" s="266"/>
      <c r="O546" s="266"/>
      <c r="P546" s="97">
        <f t="shared" si="121"/>
        <v>0</v>
      </c>
      <c r="Q546" s="97">
        <f t="shared" si="122"/>
        <v>0</v>
      </c>
    </row>
    <row r="547" spans="2:17" x14ac:dyDescent="0.2">
      <c r="B547" s="266"/>
      <c r="C547" s="266"/>
      <c r="D547" s="266"/>
      <c r="E547" s="266"/>
      <c r="F547" s="266"/>
      <c r="G547" s="266"/>
      <c r="H547" s="266"/>
      <c r="I547" s="266"/>
      <c r="J547" s="266"/>
      <c r="K547" s="266"/>
      <c r="L547" s="266"/>
      <c r="M547" s="266"/>
      <c r="N547" s="266"/>
      <c r="O547" s="266"/>
      <c r="P547" s="97">
        <f t="shared" si="121"/>
        <v>0</v>
      </c>
      <c r="Q547" s="97">
        <f t="shared" si="122"/>
        <v>0</v>
      </c>
    </row>
    <row r="548" spans="2:17" x14ac:dyDescent="0.2">
      <c r="B548" s="266"/>
      <c r="C548" s="266"/>
      <c r="D548" s="266"/>
      <c r="E548" s="266"/>
      <c r="F548" s="266"/>
      <c r="G548" s="266"/>
      <c r="H548" s="266"/>
      <c r="I548" s="266"/>
      <c r="J548" s="266"/>
      <c r="K548" s="266"/>
      <c r="L548" s="266"/>
      <c r="M548" s="266"/>
      <c r="N548" s="266"/>
      <c r="O548" s="266"/>
      <c r="P548" s="97">
        <f t="shared" si="121"/>
        <v>0</v>
      </c>
      <c r="Q548" s="97">
        <f t="shared" si="122"/>
        <v>0</v>
      </c>
    </row>
  </sheetData>
  <mergeCells count="21">
    <mergeCell ref="C20:F20"/>
    <mergeCell ref="G20:O20"/>
    <mergeCell ref="B546:O548"/>
    <mergeCell ref="B16:G16"/>
    <mergeCell ref="B17:G17"/>
    <mergeCell ref="A18:A19"/>
    <mergeCell ref="B18:B19"/>
    <mergeCell ref="C18:F18"/>
    <mergeCell ref="G18:O18"/>
    <mergeCell ref="A9:O9"/>
    <mergeCell ref="A10:O10"/>
    <mergeCell ref="A11:O11"/>
    <mergeCell ref="C14:F14"/>
    <mergeCell ref="B15:C15"/>
    <mergeCell ref="D15:F15"/>
    <mergeCell ref="J7:O7"/>
    <mergeCell ref="J1:O1"/>
    <mergeCell ref="J3:O3"/>
    <mergeCell ref="J4:O4"/>
    <mergeCell ref="J5:O5"/>
    <mergeCell ref="J6:O6"/>
  </mergeCells>
  <pageMargins left="0.19685039370078741" right="0.31496062992125984" top="0.31496062992125984" bottom="0.39370078740157483" header="0.51181102362204722" footer="0.19685039370078741"/>
  <pageSetup paperSize="9" scale="55" firstPageNumber="4294967295" orientation="landscape" r:id="rId1"/>
  <headerFooter differentFirst="1" alignWithMargins="0">
    <oddFooter>&amp;C&amp;P</oddFooter>
  </headerFooter>
  <rowBreaks count="2" manualBreakCount="2">
    <brk id="116" max="14" man="1"/>
    <brk id="166" max="14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48"/>
  <sheetViews>
    <sheetView view="pageBreakPreview" topLeftCell="A277" zoomScale="60" zoomScaleNormal="60" workbookViewId="0">
      <selection activeCell="H336" sqref="H336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6.855468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.28515625" customWidth="1"/>
    <col min="11" max="11" width="15.42578125" customWidth="1"/>
    <col min="12" max="12" width="18.28515625" customWidth="1"/>
    <col min="13" max="13" width="22.28515625" customWidth="1"/>
    <col min="14" max="14" width="20" customWidth="1"/>
    <col min="15" max="16" width="18.28515625" customWidth="1"/>
    <col min="17" max="17" width="11.7109375" customWidth="1"/>
    <col min="18" max="18" width="10" bestFit="1" customWidth="1"/>
  </cols>
  <sheetData>
    <row r="1" spans="1:15" ht="43.5" customHeight="1" x14ac:dyDescent="0.25">
      <c r="B1" s="5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</row>
    <row r="2" spans="1:15" ht="43.5" customHeight="1" x14ac:dyDescent="0.25">
      <c r="B2" s="5"/>
      <c r="C2" s="5"/>
      <c r="D2" s="5"/>
      <c r="E2" s="5"/>
      <c r="F2" s="5"/>
      <c r="G2" s="5"/>
      <c r="H2" s="5"/>
      <c r="I2" s="5"/>
      <c r="J2" s="155" t="s">
        <v>601</v>
      </c>
      <c r="K2" s="155"/>
      <c r="L2" s="155"/>
      <c r="M2" s="155"/>
      <c r="N2" s="155"/>
      <c r="O2" s="155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1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2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3</v>
      </c>
      <c r="K5" s="279"/>
      <c r="L5" s="279"/>
      <c r="M5" s="279"/>
      <c r="N5" s="279"/>
      <c r="O5" s="279"/>
    </row>
    <row r="6" spans="1:15" ht="15" customHeight="1" x14ac:dyDescent="0.25">
      <c r="B6" s="1"/>
      <c r="C6" s="1"/>
      <c r="D6" s="1"/>
      <c r="E6" s="1"/>
      <c r="F6" s="1"/>
      <c r="G6" s="1"/>
      <c r="H6" s="1"/>
      <c r="I6" s="1"/>
      <c r="J6" s="279" t="s">
        <v>589</v>
      </c>
      <c r="K6" s="279"/>
      <c r="L6" s="279"/>
      <c r="M6" s="279"/>
      <c r="N6" s="279"/>
      <c r="O6" s="279"/>
    </row>
    <row r="7" spans="1:15" ht="15.6" customHeight="1" x14ac:dyDescent="0.25">
      <c r="B7" s="6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</row>
    <row r="8" spans="1:15" ht="15" customHeight="1" x14ac:dyDescent="0.2">
      <c r="B8" s="6"/>
      <c r="C8" s="6"/>
      <c r="D8" s="6"/>
      <c r="E8" s="6"/>
      <c r="F8" s="6"/>
      <c r="G8" s="3"/>
      <c r="H8" s="3"/>
      <c r="I8" s="3"/>
    </row>
    <row r="9" spans="1:15" ht="15.6" customHeight="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" customHeight="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ht="15.6" hidden="1" customHeight="1" x14ac:dyDescent="0.2">
      <c r="B12" s="6"/>
      <c r="C12" s="6"/>
      <c r="D12" s="6"/>
      <c r="E12" s="6"/>
      <c r="F12" s="6"/>
      <c r="G12" s="3"/>
      <c r="H12" s="3"/>
      <c r="I12" s="3"/>
    </row>
    <row r="13" spans="1:15" ht="18.600000000000001" customHeight="1" thickBot="1" x14ac:dyDescent="0.25">
      <c r="B13" s="6"/>
      <c r="C13" s="6"/>
      <c r="D13" s="7"/>
      <c r="E13" s="7"/>
      <c r="F13" s="7"/>
      <c r="G13" s="3"/>
      <c r="H13" s="3"/>
      <c r="I13" s="3"/>
      <c r="O13" s="8" t="s">
        <v>8</v>
      </c>
    </row>
    <row r="14" spans="1:15" ht="15" hidden="1" customHeight="1" x14ac:dyDescent="0.2">
      <c r="B14" s="157" t="s">
        <v>9</v>
      </c>
      <c r="C14" s="278"/>
      <c r="D14" s="278"/>
      <c r="E14" s="278"/>
      <c r="F14" s="278"/>
      <c r="G14" s="3"/>
      <c r="H14" s="3"/>
      <c r="I14" s="3"/>
    </row>
    <row r="15" spans="1:15" ht="6.6" hidden="1" customHeight="1" x14ac:dyDescent="0.2">
      <c r="B15" s="261" t="s">
        <v>10</v>
      </c>
      <c r="C15" s="261"/>
      <c r="D15" s="261"/>
      <c r="E15" s="261"/>
      <c r="F15" s="261"/>
      <c r="G15" s="3"/>
      <c r="H15" s="3"/>
      <c r="I15" s="3"/>
    </row>
    <row r="16" spans="1:15" ht="7.15" hidden="1" customHeight="1" thickBot="1" x14ac:dyDescent="0.25">
      <c r="B16" s="261" t="s">
        <v>11</v>
      </c>
      <c r="C16" s="261"/>
      <c r="D16" s="261"/>
      <c r="E16" s="261"/>
      <c r="F16" s="261"/>
      <c r="G16" s="261"/>
      <c r="H16" s="157"/>
      <c r="I16" s="157"/>
    </row>
    <row r="17" spans="1:17" ht="13.9" hidden="1" customHeight="1" thickBot="1" x14ac:dyDescent="0.25">
      <c r="B17" s="262" t="s">
        <v>11</v>
      </c>
      <c r="C17" s="262"/>
      <c r="D17" s="262"/>
      <c r="E17" s="262"/>
      <c r="F17" s="262"/>
      <c r="G17" s="262"/>
      <c r="H17" s="158"/>
      <c r="I17" s="158"/>
    </row>
    <row r="18" spans="1:17" ht="13.9" customHeight="1" x14ac:dyDescent="0.2">
      <c r="A18" s="289" t="s">
        <v>12</v>
      </c>
      <c r="B18" s="291" t="s">
        <v>13</v>
      </c>
      <c r="C18" s="291" t="s">
        <v>14</v>
      </c>
      <c r="D18" s="291"/>
      <c r="E18" s="291"/>
      <c r="F18" s="293"/>
      <c r="G18" s="294" t="s">
        <v>15</v>
      </c>
      <c r="H18" s="295"/>
      <c r="I18" s="295"/>
      <c r="J18" s="291"/>
      <c r="K18" s="293"/>
      <c r="L18" s="293"/>
      <c r="M18" s="293"/>
      <c r="N18" s="293"/>
      <c r="O18" s="296"/>
    </row>
    <row r="19" spans="1:17" ht="30" customHeight="1" x14ac:dyDescent="0.2">
      <c r="A19" s="290"/>
      <c r="B19" s="292"/>
      <c r="C19" s="156" t="s">
        <v>16</v>
      </c>
      <c r="D19" s="156" t="s">
        <v>17</v>
      </c>
      <c r="E19" s="156" t="s">
        <v>18</v>
      </c>
      <c r="F19" s="12" t="s">
        <v>19</v>
      </c>
      <c r="G19" s="13" t="s">
        <v>20</v>
      </c>
      <c r="H19" s="62" t="s">
        <v>21</v>
      </c>
      <c r="I19" s="62" t="s">
        <v>15</v>
      </c>
      <c r="J19" s="102" t="s">
        <v>22</v>
      </c>
      <c r="K19" s="103" t="s">
        <v>21</v>
      </c>
      <c r="L19" s="103" t="s">
        <v>15</v>
      </c>
      <c r="M19" s="13" t="s">
        <v>20</v>
      </c>
      <c r="N19" s="62" t="s">
        <v>21</v>
      </c>
      <c r="O19" s="9" t="s">
        <v>23</v>
      </c>
    </row>
    <row r="20" spans="1:17" ht="13.9" customHeight="1" thickBot="1" x14ac:dyDescent="0.25">
      <c r="A20" s="10" t="s">
        <v>24</v>
      </c>
      <c r="B20" s="11">
        <v>2</v>
      </c>
      <c r="C20" s="298">
        <v>3</v>
      </c>
      <c r="D20" s="299"/>
      <c r="E20" s="299"/>
      <c r="F20" s="299"/>
      <c r="G20" s="300">
        <v>4</v>
      </c>
      <c r="H20" s="299"/>
      <c r="I20" s="299"/>
      <c r="J20" s="299"/>
      <c r="K20" s="299"/>
      <c r="L20" s="299"/>
      <c r="M20" s="299"/>
      <c r="N20" s="299"/>
      <c r="O20" s="301"/>
    </row>
    <row r="21" spans="1:17" ht="20.45" customHeight="1" x14ac:dyDescent="0.2">
      <c r="A21" s="27"/>
      <c r="B21" s="126" t="s">
        <v>25</v>
      </c>
      <c r="C21" s="127"/>
      <c r="D21" s="127"/>
      <c r="E21" s="127"/>
      <c r="F21" s="128"/>
      <c r="G21" s="104">
        <f>G22+G34+G459+G522</f>
        <v>730412.80000000016</v>
      </c>
      <c r="H21" s="104">
        <f>H22+H34+H459+H522+H29</f>
        <v>6586.4</v>
      </c>
      <c r="I21" s="104">
        <f>I22+I34+I459+I522</f>
        <v>736999.20000000007</v>
      </c>
      <c r="J21" s="105">
        <f>J22+J34+J459+J522</f>
        <v>2674884.8000000007</v>
      </c>
      <c r="K21" s="106">
        <f>SUM(K34+K22+K459+K522)</f>
        <v>-744760.79999999993</v>
      </c>
      <c r="L21" s="105">
        <f>L22+L34+L459+L522</f>
        <v>1930124</v>
      </c>
      <c r="M21" s="104">
        <f>M22+M34+M459+M522</f>
        <v>3405009.3999999994</v>
      </c>
      <c r="N21" s="104">
        <f>N22+N34+N459+N522+N29</f>
        <v>-738174.39999999991</v>
      </c>
      <c r="O21" s="104">
        <f>O22+O34+O459+O522</f>
        <v>2666835.0000000005</v>
      </c>
      <c r="P21" s="97"/>
      <c r="Q21" s="97"/>
    </row>
    <row r="22" spans="1:17" ht="31.5" x14ac:dyDescent="0.2">
      <c r="A22" s="20" t="s">
        <v>26</v>
      </c>
      <c r="B22" s="107" t="s">
        <v>27</v>
      </c>
      <c r="C22" s="107" t="s">
        <v>28</v>
      </c>
      <c r="D22" s="129" t="s">
        <v>11</v>
      </c>
      <c r="E22" s="129" t="s">
        <v>11</v>
      </c>
      <c r="F22" s="130" t="s">
        <v>11</v>
      </c>
      <c r="G22" s="106">
        <f>G23</f>
        <v>1601.8999999999999</v>
      </c>
      <c r="H22" s="106">
        <f>H23+H28</f>
        <v>0</v>
      </c>
      <c r="I22" s="106">
        <f>I23</f>
        <v>1601.8999999999999</v>
      </c>
      <c r="J22" s="108">
        <f>J23</f>
        <v>0</v>
      </c>
      <c r="K22" s="106">
        <f>K23+K28</f>
        <v>0</v>
      </c>
      <c r="L22" s="108">
        <f>L23</f>
        <v>0</v>
      </c>
      <c r="M22" s="106">
        <f>M23</f>
        <v>1601.8999999999999</v>
      </c>
      <c r="N22" s="106">
        <f>N23</f>
        <v>0</v>
      </c>
      <c r="O22" s="106">
        <f>O23</f>
        <v>1601.8999999999999</v>
      </c>
      <c r="P22" s="97"/>
      <c r="Q22" s="97"/>
    </row>
    <row r="23" spans="1:17" ht="15.75" x14ac:dyDescent="0.2">
      <c r="A23" s="20" t="s">
        <v>29</v>
      </c>
      <c r="B23" s="107" t="s">
        <v>30</v>
      </c>
      <c r="C23" s="107" t="s">
        <v>28</v>
      </c>
      <c r="D23" s="129" t="s">
        <v>31</v>
      </c>
      <c r="E23" s="129" t="s">
        <v>11</v>
      </c>
      <c r="F23" s="130" t="s">
        <v>11</v>
      </c>
      <c r="G23" s="106">
        <f>G24+G29</f>
        <v>1601.8999999999999</v>
      </c>
      <c r="H23" s="109">
        <f>H24</f>
        <v>0</v>
      </c>
      <c r="I23" s="106">
        <f>I24+I29</f>
        <v>1601.8999999999999</v>
      </c>
      <c r="J23" s="108">
        <f>J24+J29</f>
        <v>0</v>
      </c>
      <c r="K23" s="109">
        <f>K24</f>
        <v>0</v>
      </c>
      <c r="L23" s="108">
        <f>L24+L29</f>
        <v>0</v>
      </c>
      <c r="M23" s="106">
        <f>M24+M29</f>
        <v>1601.8999999999999</v>
      </c>
      <c r="N23" s="106">
        <f>N24+N29</f>
        <v>0</v>
      </c>
      <c r="O23" s="106">
        <f>O24+O29</f>
        <v>1601.8999999999999</v>
      </c>
      <c r="P23" s="97"/>
      <c r="Q23" s="97"/>
    </row>
    <row r="24" spans="1:17" ht="63" x14ac:dyDescent="0.2">
      <c r="A24" s="33" t="s">
        <v>32</v>
      </c>
      <c r="B24" s="110" t="s">
        <v>33</v>
      </c>
      <c r="C24" s="110" t="s">
        <v>28</v>
      </c>
      <c r="D24" s="131" t="s">
        <v>34</v>
      </c>
      <c r="E24" s="131" t="s">
        <v>11</v>
      </c>
      <c r="F24" s="132" t="s">
        <v>11</v>
      </c>
      <c r="G24" s="109">
        <f>G25</f>
        <v>8.1</v>
      </c>
      <c r="H24" s="111">
        <f>H25</f>
        <v>0</v>
      </c>
      <c r="I24" s="109">
        <f>I25</f>
        <v>8.1</v>
      </c>
      <c r="J24" s="112">
        <f t="shared" ref="J24:O27" si="0">J25</f>
        <v>0</v>
      </c>
      <c r="K24" s="111">
        <f>K25</f>
        <v>0</v>
      </c>
      <c r="L24" s="112">
        <f t="shared" si="0"/>
        <v>0</v>
      </c>
      <c r="M24" s="109">
        <f t="shared" si="0"/>
        <v>8.1</v>
      </c>
      <c r="N24" s="109">
        <f t="shared" si="0"/>
        <v>0</v>
      </c>
      <c r="O24" s="109">
        <f t="shared" si="0"/>
        <v>8.1</v>
      </c>
      <c r="P24" s="97"/>
      <c r="Q24" s="97"/>
    </row>
    <row r="25" spans="1:17" ht="31.5" x14ac:dyDescent="0.2">
      <c r="A25" s="40"/>
      <c r="B25" s="113" t="s">
        <v>35</v>
      </c>
      <c r="C25" s="113" t="s">
        <v>28</v>
      </c>
      <c r="D25" s="133" t="s">
        <v>34</v>
      </c>
      <c r="E25" s="133" t="s">
        <v>36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0"/>
        <v>0</v>
      </c>
      <c r="K25" s="111">
        <f>K26</f>
        <v>0</v>
      </c>
      <c r="L25" s="114">
        <f t="shared" si="0"/>
        <v>0</v>
      </c>
      <c r="M25" s="111">
        <f t="shared" si="0"/>
        <v>8.1</v>
      </c>
      <c r="N25" s="111">
        <f t="shared" si="0"/>
        <v>0</v>
      </c>
      <c r="O25" s="111">
        <f t="shared" si="0"/>
        <v>8.1</v>
      </c>
      <c r="P25" s="97"/>
      <c r="Q25" s="97"/>
    </row>
    <row r="26" spans="1:17" ht="31.5" x14ac:dyDescent="0.2">
      <c r="A26" s="40"/>
      <c r="B26" s="113" t="s">
        <v>27</v>
      </c>
      <c r="C26" s="113" t="s">
        <v>28</v>
      </c>
      <c r="D26" s="133" t="s">
        <v>34</v>
      </c>
      <c r="E26" s="133" t="s">
        <v>37</v>
      </c>
      <c r="F26" s="134" t="s">
        <v>11</v>
      </c>
      <c r="G26" s="111">
        <f>G27</f>
        <v>8.1</v>
      </c>
      <c r="H26" s="111">
        <f>H27</f>
        <v>0</v>
      </c>
      <c r="I26" s="111">
        <f>I27</f>
        <v>8.1</v>
      </c>
      <c r="J26" s="114">
        <f t="shared" si="0"/>
        <v>0</v>
      </c>
      <c r="K26" s="111">
        <f>K27</f>
        <v>0</v>
      </c>
      <c r="L26" s="114">
        <f t="shared" si="0"/>
        <v>0</v>
      </c>
      <c r="M26" s="111">
        <f t="shared" si="0"/>
        <v>8.1</v>
      </c>
      <c r="N26" s="111">
        <f t="shared" si="0"/>
        <v>0</v>
      </c>
      <c r="O26" s="111">
        <f t="shared" si="0"/>
        <v>8.1</v>
      </c>
      <c r="P26" s="97"/>
      <c r="Q26" s="97"/>
    </row>
    <row r="27" spans="1:17" ht="31.5" x14ac:dyDescent="0.2">
      <c r="A27" s="40"/>
      <c r="B27" s="113" t="s">
        <v>38</v>
      </c>
      <c r="C27" s="113" t="s">
        <v>28</v>
      </c>
      <c r="D27" s="133" t="s">
        <v>34</v>
      </c>
      <c r="E27" s="133" t="s">
        <v>39</v>
      </c>
      <c r="F27" s="134" t="s">
        <v>11</v>
      </c>
      <c r="G27" s="111">
        <f>G28</f>
        <v>8.1</v>
      </c>
      <c r="H27" s="111"/>
      <c r="I27" s="111">
        <f>I28</f>
        <v>8.1</v>
      </c>
      <c r="J27" s="114">
        <f t="shared" si="0"/>
        <v>0</v>
      </c>
      <c r="K27" s="111"/>
      <c r="L27" s="114">
        <f t="shared" si="0"/>
        <v>0</v>
      </c>
      <c r="M27" s="111">
        <f t="shared" si="0"/>
        <v>8.1</v>
      </c>
      <c r="N27" s="111">
        <f t="shared" si="0"/>
        <v>0</v>
      </c>
      <c r="O27" s="111">
        <f t="shared" si="0"/>
        <v>8.1</v>
      </c>
      <c r="P27" s="97"/>
      <c r="Q27" s="97"/>
    </row>
    <row r="28" spans="1:17" ht="31.5" x14ac:dyDescent="0.2">
      <c r="A28" s="40"/>
      <c r="B28" s="113" t="s">
        <v>40</v>
      </c>
      <c r="C28" s="113" t="s">
        <v>28</v>
      </c>
      <c r="D28" s="133" t="s">
        <v>34</v>
      </c>
      <c r="E28" s="133" t="s">
        <v>39</v>
      </c>
      <c r="F28" s="134" t="s">
        <v>41</v>
      </c>
      <c r="G28" s="111">
        <f>8+0.1</f>
        <v>8.1</v>
      </c>
      <c r="H28" s="109"/>
      <c r="I28" s="111">
        <f>8+0.1</f>
        <v>8.1</v>
      </c>
      <c r="J28" s="115">
        <v>0</v>
      </c>
      <c r="K28" s="109"/>
      <c r="L28" s="115">
        <v>0</v>
      </c>
      <c r="M28" s="111">
        <f>8+0.1</f>
        <v>8.1</v>
      </c>
      <c r="N28" s="111"/>
      <c r="O28" s="111">
        <f>8+0.1</f>
        <v>8.1</v>
      </c>
      <c r="P28" s="97"/>
      <c r="Q28" s="97"/>
    </row>
    <row r="29" spans="1:17" ht="47.25" x14ac:dyDescent="0.2">
      <c r="A29" s="33" t="s">
        <v>42</v>
      </c>
      <c r="B29" s="110" t="s">
        <v>43</v>
      </c>
      <c r="C29" s="110" t="s">
        <v>28</v>
      </c>
      <c r="D29" s="131" t="s">
        <v>44</v>
      </c>
      <c r="E29" s="131" t="s">
        <v>11</v>
      </c>
      <c r="F29" s="132" t="s">
        <v>11</v>
      </c>
      <c r="G29" s="109">
        <f t="shared" ref="G29:O32" si="1">G30</f>
        <v>1593.8</v>
      </c>
      <c r="H29" s="111">
        <f t="shared" si="1"/>
        <v>0</v>
      </c>
      <c r="I29" s="109">
        <f t="shared" si="1"/>
        <v>1593.8</v>
      </c>
      <c r="J29" s="112">
        <f t="shared" si="1"/>
        <v>0</v>
      </c>
      <c r="K29" s="111">
        <f>K30</f>
        <v>0</v>
      </c>
      <c r="L29" s="112">
        <f t="shared" si="1"/>
        <v>0</v>
      </c>
      <c r="M29" s="109">
        <f t="shared" si="1"/>
        <v>1593.8</v>
      </c>
      <c r="N29" s="109">
        <f t="shared" si="1"/>
        <v>0</v>
      </c>
      <c r="O29" s="109">
        <f t="shared" si="1"/>
        <v>1593.8</v>
      </c>
      <c r="P29" s="97"/>
      <c r="Q29" s="97"/>
    </row>
    <row r="30" spans="1:17" ht="31.5" x14ac:dyDescent="0.2">
      <c r="A30" s="40"/>
      <c r="B30" s="113" t="s">
        <v>35</v>
      </c>
      <c r="C30" s="113" t="s">
        <v>28</v>
      </c>
      <c r="D30" s="133" t="s">
        <v>44</v>
      </c>
      <c r="E30" s="133" t="s">
        <v>36</v>
      </c>
      <c r="F30" s="134" t="s">
        <v>11</v>
      </c>
      <c r="G30" s="111">
        <f t="shared" si="1"/>
        <v>1593.8</v>
      </c>
      <c r="H30" s="111">
        <f t="shared" si="1"/>
        <v>0</v>
      </c>
      <c r="I30" s="111">
        <f t="shared" si="1"/>
        <v>1593.8</v>
      </c>
      <c r="J30" s="114">
        <f t="shared" si="1"/>
        <v>0</v>
      </c>
      <c r="K30" s="111">
        <f>K31</f>
        <v>0</v>
      </c>
      <c r="L30" s="114">
        <f t="shared" si="1"/>
        <v>0</v>
      </c>
      <c r="M30" s="111">
        <f t="shared" si="1"/>
        <v>1593.8</v>
      </c>
      <c r="N30" s="111">
        <f t="shared" si="1"/>
        <v>0</v>
      </c>
      <c r="O30" s="111">
        <f t="shared" si="1"/>
        <v>1593.8</v>
      </c>
      <c r="P30" s="97"/>
      <c r="Q30" s="97"/>
    </row>
    <row r="31" spans="1:17" ht="31.5" x14ac:dyDescent="0.2">
      <c r="A31" s="40"/>
      <c r="B31" s="113" t="s">
        <v>27</v>
      </c>
      <c r="C31" s="113" t="s">
        <v>28</v>
      </c>
      <c r="D31" s="133" t="s">
        <v>44</v>
      </c>
      <c r="E31" s="133" t="s">
        <v>37</v>
      </c>
      <c r="F31" s="134" t="s">
        <v>11</v>
      </c>
      <c r="G31" s="111">
        <f t="shared" si="1"/>
        <v>1593.8</v>
      </c>
      <c r="H31" s="111">
        <f t="shared" si="1"/>
        <v>0</v>
      </c>
      <c r="I31" s="111">
        <f t="shared" si="1"/>
        <v>1593.8</v>
      </c>
      <c r="J31" s="114">
        <f t="shared" si="1"/>
        <v>0</v>
      </c>
      <c r="K31" s="111">
        <f>K32</f>
        <v>0</v>
      </c>
      <c r="L31" s="114">
        <f t="shared" si="1"/>
        <v>0</v>
      </c>
      <c r="M31" s="111">
        <f t="shared" si="1"/>
        <v>1593.8</v>
      </c>
      <c r="N31" s="111">
        <f t="shared" si="1"/>
        <v>0</v>
      </c>
      <c r="O31" s="111">
        <f t="shared" si="1"/>
        <v>1593.8</v>
      </c>
      <c r="P31" s="97"/>
      <c r="Q31" s="97"/>
    </row>
    <row r="32" spans="1:17" ht="63" x14ac:dyDescent="0.2">
      <c r="A32" s="40"/>
      <c r="B32" s="113" t="s">
        <v>45</v>
      </c>
      <c r="C32" s="113" t="s">
        <v>28</v>
      </c>
      <c r="D32" s="133" t="s">
        <v>44</v>
      </c>
      <c r="E32" s="133" t="s">
        <v>46</v>
      </c>
      <c r="F32" s="134" t="s">
        <v>11</v>
      </c>
      <c r="G32" s="111">
        <f>G33</f>
        <v>1593.8</v>
      </c>
      <c r="H32" s="111">
        <f>SUM(H33)</f>
        <v>0</v>
      </c>
      <c r="I32" s="111">
        <f>I33</f>
        <v>1593.8</v>
      </c>
      <c r="J32" s="114">
        <f t="shared" si="1"/>
        <v>0</v>
      </c>
      <c r="K32" s="111"/>
      <c r="L32" s="114">
        <f t="shared" si="1"/>
        <v>0</v>
      </c>
      <c r="M32" s="111">
        <f t="shared" si="1"/>
        <v>1593.8</v>
      </c>
      <c r="N32" s="111">
        <f t="shared" si="1"/>
        <v>0</v>
      </c>
      <c r="O32" s="111">
        <f t="shared" si="1"/>
        <v>1593.8</v>
      </c>
      <c r="P32" s="97"/>
      <c r="Q32" s="97"/>
    </row>
    <row r="33" spans="1:17" ht="15.75" x14ac:dyDescent="0.2">
      <c r="A33" s="40"/>
      <c r="B33" s="113" t="s">
        <v>47</v>
      </c>
      <c r="C33" s="113" t="s">
        <v>28</v>
      </c>
      <c r="D33" s="133" t="s">
        <v>44</v>
      </c>
      <c r="E33" s="133" t="s">
        <v>46</v>
      </c>
      <c r="F33" s="134" t="s">
        <v>48</v>
      </c>
      <c r="G33" s="111">
        <v>1593.8</v>
      </c>
      <c r="H33" s="106"/>
      <c r="I33" s="111">
        <f>SUM(G33)</f>
        <v>1593.8</v>
      </c>
      <c r="J33" s="115">
        <v>0</v>
      </c>
      <c r="K33" s="106"/>
      <c r="L33" s="115">
        <v>0</v>
      </c>
      <c r="M33" s="111">
        <f>SUM(G33)</f>
        <v>1593.8</v>
      </c>
      <c r="N33" s="111">
        <f>SUM(H33)</f>
        <v>0</v>
      </c>
      <c r="O33" s="111">
        <f>SUM(I33)</f>
        <v>1593.8</v>
      </c>
      <c r="P33" s="97"/>
      <c r="Q33" s="97"/>
    </row>
    <row r="34" spans="1:17" ht="31.5" x14ac:dyDescent="0.2">
      <c r="A34" s="20" t="s">
        <v>49</v>
      </c>
      <c r="B34" s="107" t="s">
        <v>50</v>
      </c>
      <c r="C34" s="107" t="s">
        <v>51</v>
      </c>
      <c r="D34" s="129" t="s">
        <v>11</v>
      </c>
      <c r="E34" s="129" t="s">
        <v>11</v>
      </c>
      <c r="F34" s="130" t="s">
        <v>11</v>
      </c>
      <c r="G34" s="106">
        <f t="shared" ref="G34:O34" si="2">G35+G117+G170+G254+G393+G416+G441+G452</f>
        <v>562542.50000000012</v>
      </c>
      <c r="H34" s="106">
        <f t="shared" si="2"/>
        <v>5704.5999999999995</v>
      </c>
      <c r="I34" s="106">
        <f t="shared" si="2"/>
        <v>568247.10000000009</v>
      </c>
      <c r="J34" s="106">
        <f t="shared" si="2"/>
        <v>2652760.7000000007</v>
      </c>
      <c r="K34" s="106">
        <f t="shared" si="2"/>
        <v>-744760.79999999993</v>
      </c>
      <c r="L34" s="106">
        <f t="shared" si="2"/>
        <v>1907999.9</v>
      </c>
      <c r="M34" s="106">
        <f t="shared" si="2"/>
        <v>3215014.9999999995</v>
      </c>
      <c r="N34" s="106">
        <f t="shared" si="2"/>
        <v>-739056.2</v>
      </c>
      <c r="O34" s="106">
        <f t="shared" si="2"/>
        <v>2475958.8000000003</v>
      </c>
      <c r="P34" s="97"/>
      <c r="Q34" s="97"/>
    </row>
    <row r="35" spans="1:17" ht="15.75" x14ac:dyDescent="0.2">
      <c r="A35" s="20" t="s">
        <v>52</v>
      </c>
      <c r="B35" s="107" t="s">
        <v>30</v>
      </c>
      <c r="C35" s="107" t="s">
        <v>51</v>
      </c>
      <c r="D35" s="129" t="s">
        <v>31</v>
      </c>
      <c r="E35" s="129" t="s">
        <v>11</v>
      </c>
      <c r="F35" s="130" t="s">
        <v>11</v>
      </c>
      <c r="G35" s="106">
        <f t="shared" ref="G35:O35" si="3">G36+G41+G55+G60</f>
        <v>104536.20000000001</v>
      </c>
      <c r="H35" s="106">
        <f t="shared" si="3"/>
        <v>605.20000000000005</v>
      </c>
      <c r="I35" s="106">
        <f t="shared" si="3"/>
        <v>105141.4</v>
      </c>
      <c r="J35" s="106">
        <f t="shared" si="3"/>
        <v>868.1</v>
      </c>
      <c r="K35" s="106">
        <f t="shared" si="3"/>
        <v>0</v>
      </c>
      <c r="L35" s="106">
        <f t="shared" si="3"/>
        <v>868.1</v>
      </c>
      <c r="M35" s="106">
        <f t="shared" si="3"/>
        <v>105404.3</v>
      </c>
      <c r="N35" s="106">
        <f t="shared" si="3"/>
        <v>605.20000000000005</v>
      </c>
      <c r="O35" s="106">
        <f t="shared" si="3"/>
        <v>106009.5</v>
      </c>
      <c r="P35" s="97"/>
      <c r="Q35" s="97"/>
    </row>
    <row r="36" spans="1:17" ht="47.25" x14ac:dyDescent="0.2">
      <c r="A36" s="33" t="s">
        <v>53</v>
      </c>
      <c r="B36" s="110" t="s">
        <v>54</v>
      </c>
      <c r="C36" s="110" t="s">
        <v>51</v>
      </c>
      <c r="D36" s="131" t="s">
        <v>55</v>
      </c>
      <c r="E36" s="131" t="s">
        <v>11</v>
      </c>
      <c r="F36" s="132" t="s">
        <v>11</v>
      </c>
      <c r="G36" s="109">
        <f t="shared" ref="G36:O39" si="4">G37</f>
        <v>2268.1</v>
      </c>
      <c r="H36" s="111">
        <f t="shared" si="4"/>
        <v>0</v>
      </c>
      <c r="I36" s="109">
        <f t="shared" si="4"/>
        <v>2268.1</v>
      </c>
      <c r="J36" s="112">
        <f t="shared" si="4"/>
        <v>0</v>
      </c>
      <c r="K36" s="111">
        <f>K37</f>
        <v>0</v>
      </c>
      <c r="L36" s="112">
        <f t="shared" si="4"/>
        <v>0</v>
      </c>
      <c r="M36" s="109">
        <f t="shared" si="4"/>
        <v>2268.1</v>
      </c>
      <c r="N36" s="109">
        <f t="shared" si="4"/>
        <v>0</v>
      </c>
      <c r="O36" s="109">
        <f t="shared" si="4"/>
        <v>2268.1</v>
      </c>
      <c r="P36" s="97"/>
      <c r="Q36" s="97"/>
    </row>
    <row r="37" spans="1:17" ht="31.5" x14ac:dyDescent="0.2">
      <c r="A37" s="40"/>
      <c r="B37" s="113" t="s">
        <v>56</v>
      </c>
      <c r="C37" s="113" t="s">
        <v>51</v>
      </c>
      <c r="D37" s="133" t="s">
        <v>55</v>
      </c>
      <c r="E37" s="133" t="s">
        <v>57</v>
      </c>
      <c r="F37" s="134" t="s">
        <v>11</v>
      </c>
      <c r="G37" s="111">
        <f t="shared" si="4"/>
        <v>2268.1</v>
      </c>
      <c r="H37" s="111">
        <f t="shared" si="4"/>
        <v>0</v>
      </c>
      <c r="I37" s="111">
        <f t="shared" si="4"/>
        <v>2268.1</v>
      </c>
      <c r="J37" s="114">
        <f t="shared" si="4"/>
        <v>0</v>
      </c>
      <c r="K37" s="111">
        <f>K38</f>
        <v>0</v>
      </c>
      <c r="L37" s="114">
        <f t="shared" si="4"/>
        <v>0</v>
      </c>
      <c r="M37" s="111">
        <f t="shared" si="4"/>
        <v>2268.1</v>
      </c>
      <c r="N37" s="111">
        <f t="shared" si="4"/>
        <v>0</v>
      </c>
      <c r="O37" s="111">
        <f t="shared" si="4"/>
        <v>2268.1</v>
      </c>
      <c r="P37" s="97"/>
      <c r="Q37" s="97"/>
    </row>
    <row r="38" spans="1:17" ht="31.5" x14ac:dyDescent="0.2">
      <c r="A38" s="40"/>
      <c r="B38" s="113" t="s">
        <v>58</v>
      </c>
      <c r="C38" s="113" t="s">
        <v>51</v>
      </c>
      <c r="D38" s="133" t="s">
        <v>55</v>
      </c>
      <c r="E38" s="133" t="s">
        <v>59</v>
      </c>
      <c r="F38" s="134" t="s">
        <v>11</v>
      </c>
      <c r="G38" s="111">
        <f t="shared" si="4"/>
        <v>2268.1</v>
      </c>
      <c r="H38" s="111">
        <f t="shared" si="4"/>
        <v>0</v>
      </c>
      <c r="I38" s="111">
        <f t="shared" si="4"/>
        <v>2268.1</v>
      </c>
      <c r="J38" s="114">
        <f t="shared" si="4"/>
        <v>0</v>
      </c>
      <c r="K38" s="111">
        <f>K39</f>
        <v>0</v>
      </c>
      <c r="L38" s="114">
        <f t="shared" si="4"/>
        <v>0</v>
      </c>
      <c r="M38" s="111">
        <f t="shared" si="4"/>
        <v>2268.1</v>
      </c>
      <c r="N38" s="111">
        <f t="shared" si="4"/>
        <v>0</v>
      </c>
      <c r="O38" s="111">
        <f t="shared" si="4"/>
        <v>2268.1</v>
      </c>
      <c r="P38" s="97"/>
      <c r="Q38" s="97"/>
    </row>
    <row r="39" spans="1:17" ht="31.5" x14ac:dyDescent="0.2">
      <c r="A39" s="40"/>
      <c r="B39" s="113" t="s">
        <v>38</v>
      </c>
      <c r="C39" s="113" t="s">
        <v>51</v>
      </c>
      <c r="D39" s="133" t="s">
        <v>55</v>
      </c>
      <c r="E39" s="133" t="s">
        <v>60</v>
      </c>
      <c r="F39" s="134" t="s">
        <v>11</v>
      </c>
      <c r="G39" s="111">
        <f>G40</f>
        <v>2268.1</v>
      </c>
      <c r="H39" s="109"/>
      <c r="I39" s="111">
        <f>I40</f>
        <v>2268.1</v>
      </c>
      <c r="J39" s="114">
        <f t="shared" si="4"/>
        <v>0</v>
      </c>
      <c r="K39" s="111"/>
      <c r="L39" s="114">
        <f t="shared" si="4"/>
        <v>0</v>
      </c>
      <c r="M39" s="111">
        <f t="shared" si="4"/>
        <v>2268.1</v>
      </c>
      <c r="N39" s="111">
        <f t="shared" si="4"/>
        <v>0</v>
      </c>
      <c r="O39" s="111">
        <f t="shared" si="4"/>
        <v>2268.1</v>
      </c>
      <c r="P39" s="97"/>
      <c r="Q39" s="97"/>
    </row>
    <row r="40" spans="1:17" ht="31.15" customHeight="1" x14ac:dyDescent="0.2">
      <c r="A40" s="40"/>
      <c r="B40" s="113" t="s">
        <v>61</v>
      </c>
      <c r="C40" s="113" t="s">
        <v>51</v>
      </c>
      <c r="D40" s="133" t="s">
        <v>55</v>
      </c>
      <c r="E40" s="133" t="s">
        <v>60</v>
      </c>
      <c r="F40" s="134" t="s">
        <v>62</v>
      </c>
      <c r="G40" s="111">
        <v>2268.1</v>
      </c>
      <c r="H40" s="109"/>
      <c r="I40" s="111">
        <f>SUM(G40)</f>
        <v>2268.1</v>
      </c>
      <c r="J40" s="115">
        <v>0</v>
      </c>
      <c r="K40" s="109"/>
      <c r="L40" s="115">
        <v>0</v>
      </c>
      <c r="M40" s="111">
        <f>SUM(G40)</f>
        <v>2268.1</v>
      </c>
      <c r="N40" s="111">
        <f>SUM(H40)</f>
        <v>0</v>
      </c>
      <c r="O40" s="111">
        <f>SUM(I40)</f>
        <v>2268.1</v>
      </c>
      <c r="P40" s="97"/>
      <c r="Q40" s="97"/>
    </row>
    <row r="41" spans="1:17" ht="63" x14ac:dyDescent="0.2">
      <c r="A41" s="33" t="s">
        <v>63</v>
      </c>
      <c r="B41" s="110" t="s">
        <v>64</v>
      </c>
      <c r="C41" s="110" t="s">
        <v>51</v>
      </c>
      <c r="D41" s="131" t="s">
        <v>65</v>
      </c>
      <c r="E41" s="131" t="s">
        <v>11</v>
      </c>
      <c r="F41" s="132" t="s">
        <v>11</v>
      </c>
      <c r="G41" s="109">
        <f>G42</f>
        <v>35728.5</v>
      </c>
      <c r="H41" s="111">
        <f>H42</f>
        <v>0</v>
      </c>
      <c r="I41" s="109">
        <f>I42</f>
        <v>35728.5</v>
      </c>
      <c r="J41" s="112">
        <f>J42</f>
        <v>768.1</v>
      </c>
      <c r="K41" s="111">
        <f>K42+K47</f>
        <v>0</v>
      </c>
      <c r="L41" s="112">
        <f>L42</f>
        <v>768.1</v>
      </c>
      <c r="M41" s="109">
        <f>M42</f>
        <v>36496.6</v>
      </c>
      <c r="N41" s="109">
        <f>N42</f>
        <v>0</v>
      </c>
      <c r="O41" s="109">
        <f>O42</f>
        <v>36496.6</v>
      </c>
      <c r="P41" s="97"/>
      <c r="Q41" s="97"/>
    </row>
    <row r="42" spans="1:17" ht="31.5" x14ac:dyDescent="0.2">
      <c r="A42" s="40"/>
      <c r="B42" s="113" t="s">
        <v>66</v>
      </c>
      <c r="C42" s="113" t="s">
        <v>51</v>
      </c>
      <c r="D42" s="133" t="s">
        <v>65</v>
      </c>
      <c r="E42" s="133" t="s">
        <v>67</v>
      </c>
      <c r="F42" s="134" t="s">
        <v>11</v>
      </c>
      <c r="G42" s="111">
        <f>G43+G48</f>
        <v>35728.5</v>
      </c>
      <c r="H42" s="111">
        <f>H43</f>
        <v>0</v>
      </c>
      <c r="I42" s="111">
        <f>I43+I48</f>
        <v>35728.5</v>
      </c>
      <c r="J42" s="114">
        <f>J43+J48</f>
        <v>768.1</v>
      </c>
      <c r="K42" s="111">
        <f>K43</f>
        <v>0</v>
      </c>
      <c r="L42" s="114">
        <f>L43+L48</f>
        <v>768.1</v>
      </c>
      <c r="M42" s="111">
        <f>M43+M48</f>
        <v>36496.6</v>
      </c>
      <c r="N42" s="111">
        <f>N43+N48</f>
        <v>0</v>
      </c>
      <c r="O42" s="111">
        <f>O43+O48</f>
        <v>36496.6</v>
      </c>
      <c r="P42" s="97"/>
      <c r="Q42" s="97"/>
    </row>
    <row r="43" spans="1:17" ht="31.5" x14ac:dyDescent="0.2">
      <c r="A43" s="40"/>
      <c r="B43" s="113" t="s">
        <v>50</v>
      </c>
      <c r="C43" s="113" t="s">
        <v>51</v>
      </c>
      <c r="D43" s="133" t="s">
        <v>65</v>
      </c>
      <c r="E43" s="133" t="s">
        <v>68</v>
      </c>
      <c r="F43" s="134" t="s">
        <v>11</v>
      </c>
      <c r="G43" s="111">
        <f>G44</f>
        <v>35728.5</v>
      </c>
      <c r="H43" s="111">
        <f>H44</f>
        <v>0</v>
      </c>
      <c r="I43" s="111">
        <f>I44</f>
        <v>35728.5</v>
      </c>
      <c r="J43" s="114">
        <f>J44</f>
        <v>0</v>
      </c>
      <c r="K43" s="111">
        <f>K44+K45+K46</f>
        <v>0</v>
      </c>
      <c r="L43" s="114">
        <f>L44</f>
        <v>0</v>
      </c>
      <c r="M43" s="111">
        <f>M44</f>
        <v>35728.5</v>
      </c>
      <c r="N43" s="111">
        <f>N44</f>
        <v>0</v>
      </c>
      <c r="O43" s="111">
        <f>O44</f>
        <v>35728.5</v>
      </c>
      <c r="P43" s="97"/>
      <c r="Q43" s="97"/>
    </row>
    <row r="44" spans="1:17" ht="31.5" x14ac:dyDescent="0.2">
      <c r="A44" s="40"/>
      <c r="B44" s="113" t="s">
        <v>38</v>
      </c>
      <c r="C44" s="113" t="s">
        <v>51</v>
      </c>
      <c r="D44" s="133" t="s">
        <v>65</v>
      </c>
      <c r="E44" s="133" t="s">
        <v>69</v>
      </c>
      <c r="F44" s="134" t="s">
        <v>11</v>
      </c>
      <c r="G44" s="111">
        <f>G45+G46+G47</f>
        <v>35728.5</v>
      </c>
      <c r="H44" s="111">
        <f>SUM(H45)+H46+H47</f>
        <v>0</v>
      </c>
      <c r="I44" s="111">
        <f>I45+I46+I47</f>
        <v>35728.5</v>
      </c>
      <c r="J44" s="114">
        <f>J45+J46+J47</f>
        <v>0</v>
      </c>
      <c r="K44" s="111"/>
      <c r="L44" s="114">
        <f>L45+L46+L47</f>
        <v>0</v>
      </c>
      <c r="M44" s="111">
        <f>M45+M46+M47</f>
        <v>35728.5</v>
      </c>
      <c r="N44" s="111">
        <f>N45+N46+N47</f>
        <v>0</v>
      </c>
      <c r="O44" s="111">
        <f>O45+O46+O47</f>
        <v>35728.5</v>
      </c>
      <c r="P44" s="97"/>
      <c r="Q44" s="97"/>
    </row>
    <row r="45" spans="1:17" ht="78.75" x14ac:dyDescent="0.2">
      <c r="A45" s="40"/>
      <c r="B45" s="113" t="s">
        <v>61</v>
      </c>
      <c r="C45" s="113" t="s">
        <v>51</v>
      </c>
      <c r="D45" s="133" t="s">
        <v>65</v>
      </c>
      <c r="E45" s="133" t="s">
        <v>69</v>
      </c>
      <c r="F45" s="134" t="s">
        <v>62</v>
      </c>
      <c r="G45" s="111">
        <v>35427.800000000003</v>
      </c>
      <c r="H45" s="111"/>
      <c r="I45" s="111">
        <f>SUM(G45)+H45</f>
        <v>35427.800000000003</v>
      </c>
      <c r="J45" s="115">
        <v>0</v>
      </c>
      <c r="K45" s="111"/>
      <c r="L45" s="115">
        <v>0</v>
      </c>
      <c r="M45" s="111">
        <f t="shared" ref="M45:N47" si="5">SUM(G45)</f>
        <v>35427.800000000003</v>
      </c>
      <c r="N45" s="111">
        <f t="shared" si="5"/>
        <v>0</v>
      </c>
      <c r="O45" s="111">
        <f>SUM(N45)+M45</f>
        <v>35427.800000000003</v>
      </c>
      <c r="P45" s="97"/>
      <c r="Q45" s="97"/>
    </row>
    <row r="46" spans="1:17" ht="31.5" x14ac:dyDescent="0.2">
      <c r="A46" s="40"/>
      <c r="B46" s="113" t="s">
        <v>40</v>
      </c>
      <c r="C46" s="113" t="s">
        <v>51</v>
      </c>
      <c r="D46" s="133" t="s">
        <v>65</v>
      </c>
      <c r="E46" s="133" t="s">
        <v>69</v>
      </c>
      <c r="F46" s="134" t="s">
        <v>41</v>
      </c>
      <c r="G46" s="111">
        <v>260.7</v>
      </c>
      <c r="H46" s="111"/>
      <c r="I46" s="111">
        <v>260.7</v>
      </c>
      <c r="J46" s="115">
        <v>0</v>
      </c>
      <c r="K46" s="111"/>
      <c r="L46" s="115">
        <v>0</v>
      </c>
      <c r="M46" s="111">
        <f t="shared" si="5"/>
        <v>260.7</v>
      </c>
      <c r="N46" s="111">
        <f t="shared" si="5"/>
        <v>0</v>
      </c>
      <c r="O46" s="111">
        <f>SUM(I46)</f>
        <v>260.7</v>
      </c>
      <c r="P46" s="97"/>
      <c r="Q46" s="97"/>
    </row>
    <row r="47" spans="1:17" ht="15.75" x14ac:dyDescent="0.2">
      <c r="A47" s="40"/>
      <c r="B47" s="113" t="s">
        <v>70</v>
      </c>
      <c r="C47" s="113" t="s">
        <v>51</v>
      </c>
      <c r="D47" s="133" t="s">
        <v>65</v>
      </c>
      <c r="E47" s="133" t="s">
        <v>69</v>
      </c>
      <c r="F47" s="134" t="s">
        <v>71</v>
      </c>
      <c r="G47" s="111">
        <v>40</v>
      </c>
      <c r="H47" s="111"/>
      <c r="I47" s="111">
        <f>SUM(G47)+H47</f>
        <v>40</v>
      </c>
      <c r="J47" s="115">
        <v>0</v>
      </c>
      <c r="K47" s="111">
        <f>K52</f>
        <v>0</v>
      </c>
      <c r="L47" s="115">
        <v>0</v>
      </c>
      <c r="M47" s="111">
        <f t="shared" si="5"/>
        <v>40</v>
      </c>
      <c r="N47" s="111">
        <f t="shared" si="5"/>
        <v>0</v>
      </c>
      <c r="O47" s="111">
        <f>SUM(I47)</f>
        <v>40</v>
      </c>
      <c r="P47" s="97"/>
      <c r="Q47" s="97"/>
    </row>
    <row r="48" spans="1:17" ht="31.5" x14ac:dyDescent="0.2">
      <c r="A48" s="40"/>
      <c r="B48" s="113" t="s">
        <v>72</v>
      </c>
      <c r="C48" s="113" t="s">
        <v>51</v>
      </c>
      <c r="D48" s="133" t="s">
        <v>65</v>
      </c>
      <c r="E48" s="133" t="s">
        <v>73</v>
      </c>
      <c r="F48" s="134" t="s">
        <v>11</v>
      </c>
      <c r="G48" s="111">
        <f>G53</f>
        <v>0</v>
      </c>
      <c r="H48" s="111">
        <f>H49</f>
        <v>0</v>
      </c>
      <c r="I48" s="111">
        <f>I53</f>
        <v>0</v>
      </c>
      <c r="J48" s="115">
        <f>J53+J49</f>
        <v>768.1</v>
      </c>
      <c r="K48" s="111">
        <f>K49</f>
        <v>0</v>
      </c>
      <c r="L48" s="115">
        <f>L53+L49</f>
        <v>768.1</v>
      </c>
      <c r="M48" s="111">
        <f>M53+M49</f>
        <v>768.1</v>
      </c>
      <c r="N48" s="111">
        <f>N53</f>
        <v>0</v>
      </c>
      <c r="O48" s="111">
        <f>O53+O49</f>
        <v>768.1</v>
      </c>
      <c r="P48" s="97"/>
      <c r="Q48" s="97"/>
    </row>
    <row r="49" spans="1:17" ht="51.6" customHeight="1" x14ac:dyDescent="0.2">
      <c r="A49" s="40"/>
      <c r="B49" s="135" t="s">
        <v>74</v>
      </c>
      <c r="C49" s="113">
        <v>992</v>
      </c>
      <c r="D49" s="133" t="s">
        <v>65</v>
      </c>
      <c r="E49" s="133">
        <v>5220060140</v>
      </c>
      <c r="F49" s="134"/>
      <c r="G49" s="111">
        <f>G50</f>
        <v>0</v>
      </c>
      <c r="H49" s="111">
        <v>0</v>
      </c>
      <c r="I49" s="111">
        <f>I50</f>
        <v>0</v>
      </c>
      <c r="J49" s="115">
        <f>SUM(J51+J50)</f>
        <v>755.7</v>
      </c>
      <c r="K49" s="111">
        <v>0</v>
      </c>
      <c r="L49" s="115">
        <f>SUM(L51+L50)</f>
        <v>755.7</v>
      </c>
      <c r="M49" s="111">
        <f>M50+M51</f>
        <v>755.7</v>
      </c>
      <c r="N49" s="111"/>
      <c r="O49" s="111">
        <f>O50+O51</f>
        <v>755.7</v>
      </c>
      <c r="P49" s="97"/>
      <c r="Q49" s="97"/>
    </row>
    <row r="50" spans="1:17" ht="78.75" x14ac:dyDescent="0.2">
      <c r="A50" s="40"/>
      <c r="B50" s="113" t="s">
        <v>61</v>
      </c>
      <c r="C50" s="113">
        <v>992</v>
      </c>
      <c r="D50" s="133" t="s">
        <v>65</v>
      </c>
      <c r="E50" s="133">
        <v>5220060140</v>
      </c>
      <c r="F50" s="134">
        <v>100</v>
      </c>
      <c r="G50" s="111">
        <v>0</v>
      </c>
      <c r="H50" s="111">
        <v>0</v>
      </c>
      <c r="I50" s="111">
        <v>0</v>
      </c>
      <c r="J50" s="115">
        <v>674.7</v>
      </c>
      <c r="K50" s="111">
        <v>81</v>
      </c>
      <c r="L50" s="115">
        <f>674.7+K50</f>
        <v>755.7</v>
      </c>
      <c r="M50" s="111">
        <v>674.7</v>
      </c>
      <c r="N50" s="111">
        <f>SUM(K50)</f>
        <v>81</v>
      </c>
      <c r="O50" s="111">
        <f>674.7+N50</f>
        <v>755.7</v>
      </c>
      <c r="P50" s="97"/>
      <c r="Q50" s="97"/>
    </row>
    <row r="51" spans="1:17" ht="31.5" x14ac:dyDescent="0.2">
      <c r="A51" s="40"/>
      <c r="B51" s="113" t="s">
        <v>40</v>
      </c>
      <c r="C51" s="113">
        <v>992</v>
      </c>
      <c r="D51" s="133" t="s">
        <v>65</v>
      </c>
      <c r="E51" s="133">
        <v>5220060140</v>
      </c>
      <c r="F51" s="134">
        <v>200</v>
      </c>
      <c r="G51" s="111">
        <v>0</v>
      </c>
      <c r="H51" s="111"/>
      <c r="I51" s="111">
        <v>0</v>
      </c>
      <c r="J51" s="115">
        <v>81</v>
      </c>
      <c r="K51" s="111">
        <v>-81</v>
      </c>
      <c r="L51" s="115">
        <f>81+K51</f>
        <v>0</v>
      </c>
      <c r="M51" s="111">
        <v>81</v>
      </c>
      <c r="N51" s="111">
        <f>SUM(K51)</f>
        <v>-81</v>
      </c>
      <c r="O51" s="111">
        <v>0</v>
      </c>
      <c r="P51" s="97"/>
      <c r="Q51" s="97"/>
    </row>
    <row r="52" spans="1:17" ht="15.75" hidden="1" x14ac:dyDescent="0.2">
      <c r="A52" s="40"/>
      <c r="B52" s="113"/>
      <c r="C52" s="113"/>
      <c r="D52" s="133"/>
      <c r="E52" s="133"/>
      <c r="F52" s="134"/>
      <c r="G52" s="111"/>
      <c r="H52" s="111">
        <f t="shared" ref="G52:O53" si="6">H53</f>
        <v>0</v>
      </c>
      <c r="I52" s="111"/>
      <c r="J52" s="115"/>
      <c r="K52" s="111">
        <f t="shared" si="6"/>
        <v>0</v>
      </c>
      <c r="L52" s="115"/>
      <c r="M52" s="111"/>
      <c r="N52" s="111"/>
      <c r="O52" s="111"/>
      <c r="P52" s="97"/>
      <c r="Q52" s="97"/>
    </row>
    <row r="53" spans="1:17" ht="47.25" x14ac:dyDescent="0.2">
      <c r="A53" s="40"/>
      <c r="B53" s="113" t="s">
        <v>75</v>
      </c>
      <c r="C53" s="113" t="s">
        <v>51</v>
      </c>
      <c r="D53" s="133" t="s">
        <v>65</v>
      </c>
      <c r="E53" s="133" t="s">
        <v>76</v>
      </c>
      <c r="F53" s="134" t="s">
        <v>11</v>
      </c>
      <c r="G53" s="111">
        <f t="shared" si="6"/>
        <v>0</v>
      </c>
      <c r="H53" s="111">
        <v>0</v>
      </c>
      <c r="I53" s="111">
        <f t="shared" si="6"/>
        <v>0</v>
      </c>
      <c r="J53" s="115">
        <f t="shared" si="6"/>
        <v>12.4</v>
      </c>
      <c r="K53" s="111">
        <v>0</v>
      </c>
      <c r="L53" s="115">
        <f t="shared" si="6"/>
        <v>12.4</v>
      </c>
      <c r="M53" s="111">
        <f t="shared" si="6"/>
        <v>12.4</v>
      </c>
      <c r="N53" s="111">
        <f t="shared" si="6"/>
        <v>0</v>
      </c>
      <c r="O53" s="111">
        <f t="shared" si="6"/>
        <v>12.4</v>
      </c>
      <c r="P53" s="97"/>
      <c r="Q53" s="97"/>
    </row>
    <row r="54" spans="1:17" ht="31.5" x14ac:dyDescent="0.2">
      <c r="A54" s="40"/>
      <c r="B54" s="113" t="s">
        <v>40</v>
      </c>
      <c r="C54" s="113" t="s">
        <v>51</v>
      </c>
      <c r="D54" s="133" t="s">
        <v>65</v>
      </c>
      <c r="E54" s="133" t="s">
        <v>76</v>
      </c>
      <c r="F54" s="134" t="s">
        <v>41</v>
      </c>
      <c r="G54" s="111">
        <v>0</v>
      </c>
      <c r="H54" s="109"/>
      <c r="I54" s="111">
        <v>0</v>
      </c>
      <c r="J54" s="115">
        <v>12.4</v>
      </c>
      <c r="K54" s="109"/>
      <c r="L54" s="115">
        <v>12.4</v>
      </c>
      <c r="M54" s="111">
        <v>12.4</v>
      </c>
      <c r="N54" s="111">
        <v>0</v>
      </c>
      <c r="O54" s="111">
        <v>12.4</v>
      </c>
      <c r="P54" s="97"/>
      <c r="Q54" s="97"/>
    </row>
    <row r="55" spans="1:17" ht="15.75" x14ac:dyDescent="0.2">
      <c r="A55" s="33" t="s">
        <v>77</v>
      </c>
      <c r="B55" s="110" t="s">
        <v>78</v>
      </c>
      <c r="C55" s="110" t="s">
        <v>51</v>
      </c>
      <c r="D55" s="131" t="s">
        <v>79</v>
      </c>
      <c r="E55" s="131" t="s">
        <v>11</v>
      </c>
      <c r="F55" s="132" t="s">
        <v>11</v>
      </c>
      <c r="G55" s="109">
        <f t="shared" ref="G55:O58" si="7">G56</f>
        <v>2047.1</v>
      </c>
      <c r="H55" s="111">
        <f t="shared" si="7"/>
        <v>0</v>
      </c>
      <c r="I55" s="109">
        <f t="shared" si="7"/>
        <v>2047.1</v>
      </c>
      <c r="J55" s="112">
        <f t="shared" si="7"/>
        <v>0</v>
      </c>
      <c r="K55" s="111">
        <f>K56</f>
        <v>0</v>
      </c>
      <c r="L55" s="112">
        <f t="shared" si="7"/>
        <v>0</v>
      </c>
      <c r="M55" s="109">
        <f t="shared" si="7"/>
        <v>2047.1</v>
      </c>
      <c r="N55" s="109">
        <f t="shared" si="7"/>
        <v>0</v>
      </c>
      <c r="O55" s="109">
        <f t="shared" si="7"/>
        <v>2047.1</v>
      </c>
      <c r="P55" s="97"/>
      <c r="Q55" s="97"/>
    </row>
    <row r="56" spans="1:17" ht="31.5" x14ac:dyDescent="0.2">
      <c r="A56" s="40"/>
      <c r="B56" s="113" t="s">
        <v>66</v>
      </c>
      <c r="C56" s="113" t="s">
        <v>51</v>
      </c>
      <c r="D56" s="133" t="s">
        <v>79</v>
      </c>
      <c r="E56" s="133" t="s">
        <v>67</v>
      </c>
      <c r="F56" s="134" t="s">
        <v>11</v>
      </c>
      <c r="G56" s="111">
        <f t="shared" si="7"/>
        <v>2047.1</v>
      </c>
      <c r="H56" s="111">
        <f t="shared" si="7"/>
        <v>0</v>
      </c>
      <c r="I56" s="111">
        <f t="shared" si="7"/>
        <v>2047.1</v>
      </c>
      <c r="J56" s="114">
        <f t="shared" si="7"/>
        <v>0</v>
      </c>
      <c r="K56" s="111">
        <f>K57</f>
        <v>0</v>
      </c>
      <c r="L56" s="114">
        <f t="shared" si="7"/>
        <v>0</v>
      </c>
      <c r="M56" s="111">
        <f t="shared" si="7"/>
        <v>2047.1</v>
      </c>
      <c r="N56" s="111">
        <f t="shared" si="7"/>
        <v>0</v>
      </c>
      <c r="O56" s="111">
        <f t="shared" si="7"/>
        <v>2047.1</v>
      </c>
      <c r="P56" s="97"/>
      <c r="Q56" s="97"/>
    </row>
    <row r="57" spans="1:17" ht="31.5" x14ac:dyDescent="0.2">
      <c r="A57" s="40"/>
      <c r="B57" s="113" t="s">
        <v>80</v>
      </c>
      <c r="C57" s="113" t="s">
        <v>51</v>
      </c>
      <c r="D57" s="133" t="s">
        <v>79</v>
      </c>
      <c r="E57" s="133" t="s">
        <v>81</v>
      </c>
      <c r="F57" s="134" t="s">
        <v>11</v>
      </c>
      <c r="G57" s="111">
        <f t="shared" si="7"/>
        <v>2047.1</v>
      </c>
      <c r="H57" s="111">
        <f t="shared" si="7"/>
        <v>0</v>
      </c>
      <c r="I57" s="111">
        <f t="shared" si="7"/>
        <v>2047.1</v>
      </c>
      <c r="J57" s="114">
        <f t="shared" si="7"/>
        <v>0</v>
      </c>
      <c r="K57" s="111">
        <f>K58</f>
        <v>0</v>
      </c>
      <c r="L57" s="114">
        <f t="shared" si="7"/>
        <v>0</v>
      </c>
      <c r="M57" s="111">
        <f t="shared" si="7"/>
        <v>2047.1</v>
      </c>
      <c r="N57" s="111">
        <f t="shared" si="7"/>
        <v>0</v>
      </c>
      <c r="O57" s="111">
        <f t="shared" si="7"/>
        <v>2047.1</v>
      </c>
      <c r="P57" s="97"/>
      <c r="Q57" s="97"/>
    </row>
    <row r="58" spans="1:17" ht="31.5" x14ac:dyDescent="0.2">
      <c r="A58" s="40"/>
      <c r="B58" s="113" t="s">
        <v>82</v>
      </c>
      <c r="C58" s="113" t="s">
        <v>51</v>
      </c>
      <c r="D58" s="133" t="s">
        <v>79</v>
      </c>
      <c r="E58" s="133" t="s">
        <v>83</v>
      </c>
      <c r="F58" s="134" t="s">
        <v>11</v>
      </c>
      <c r="G58" s="111">
        <f>G59</f>
        <v>2047.1</v>
      </c>
      <c r="H58" s="109">
        <f>H59</f>
        <v>0</v>
      </c>
      <c r="I58" s="111">
        <f>I59</f>
        <v>2047.1</v>
      </c>
      <c r="J58" s="114">
        <f t="shared" si="7"/>
        <v>0</v>
      </c>
      <c r="K58" s="111"/>
      <c r="L58" s="114">
        <f t="shared" si="7"/>
        <v>0</v>
      </c>
      <c r="M58" s="111">
        <f t="shared" si="7"/>
        <v>2047.1</v>
      </c>
      <c r="N58" s="111">
        <f t="shared" si="7"/>
        <v>0</v>
      </c>
      <c r="O58" s="111">
        <f t="shared" si="7"/>
        <v>2047.1</v>
      </c>
      <c r="P58" s="97"/>
      <c r="Q58" s="97"/>
    </row>
    <row r="59" spans="1:17" ht="15.75" x14ac:dyDescent="0.2">
      <c r="A59" s="40"/>
      <c r="B59" s="113" t="s">
        <v>70</v>
      </c>
      <c r="C59" s="113" t="s">
        <v>51</v>
      </c>
      <c r="D59" s="133" t="s">
        <v>79</v>
      </c>
      <c r="E59" s="133" t="s">
        <v>83</v>
      </c>
      <c r="F59" s="134" t="s">
        <v>71</v>
      </c>
      <c r="G59" s="111">
        <v>2047.1</v>
      </c>
      <c r="H59" s="109"/>
      <c r="I59" s="111">
        <f>SUM(G59)+H59</f>
        <v>2047.1</v>
      </c>
      <c r="J59" s="115">
        <v>0</v>
      </c>
      <c r="K59" s="109"/>
      <c r="L59" s="115">
        <v>0</v>
      </c>
      <c r="M59" s="111">
        <f>SUM(G59)</f>
        <v>2047.1</v>
      </c>
      <c r="N59" s="111">
        <f>SUM(H59)</f>
        <v>0</v>
      </c>
      <c r="O59" s="111">
        <f>SUM(I59)</f>
        <v>2047.1</v>
      </c>
      <c r="P59" s="97"/>
      <c r="Q59" s="97"/>
    </row>
    <row r="60" spans="1:17" ht="15.75" x14ac:dyDescent="0.2">
      <c r="A60" s="33" t="s">
        <v>84</v>
      </c>
      <c r="B60" s="110" t="s">
        <v>85</v>
      </c>
      <c r="C60" s="110" t="s">
        <v>51</v>
      </c>
      <c r="D60" s="131" t="s">
        <v>86</v>
      </c>
      <c r="E60" s="131" t="s">
        <v>11</v>
      </c>
      <c r="F60" s="132" t="s">
        <v>11</v>
      </c>
      <c r="G60" s="109">
        <f>G61+G66+G71+G91+G113+G109</f>
        <v>64492.500000000007</v>
      </c>
      <c r="H60" s="109">
        <f>H61+H66+H71+H91+H114+H109</f>
        <v>605.20000000000005</v>
      </c>
      <c r="I60" s="109">
        <f>I61+I66+I71+I91+I113+I109</f>
        <v>65097.700000000004</v>
      </c>
      <c r="J60" s="112">
        <f>J61+J66+J71+J91+J113</f>
        <v>100</v>
      </c>
      <c r="K60" s="111">
        <f>K61+K71</f>
        <v>0</v>
      </c>
      <c r="L60" s="112">
        <f>L61+L66+L71+L91+L113</f>
        <v>100</v>
      </c>
      <c r="M60" s="109">
        <f>M61+M66+M71+M91+M113+M109</f>
        <v>64592.500000000007</v>
      </c>
      <c r="N60" s="109">
        <f>N61+N66+N71+N91+N113+N109</f>
        <v>605.20000000000005</v>
      </c>
      <c r="O60" s="109">
        <f>O61+O66+O71+O91+O113+O109</f>
        <v>65197.700000000004</v>
      </c>
      <c r="P60" s="97"/>
      <c r="Q60" s="97"/>
    </row>
    <row r="61" spans="1:17" ht="31.5" x14ac:dyDescent="0.2">
      <c r="A61" s="40"/>
      <c r="B61" s="113" t="s">
        <v>87</v>
      </c>
      <c r="C61" s="113" t="s">
        <v>51</v>
      </c>
      <c r="D61" s="133" t="s">
        <v>86</v>
      </c>
      <c r="E61" s="133" t="s">
        <v>88</v>
      </c>
      <c r="F61" s="134" t="s">
        <v>11</v>
      </c>
      <c r="G61" s="111">
        <f t="shared" ref="G61:O64" si="8">G62</f>
        <v>80</v>
      </c>
      <c r="H61" s="111">
        <f t="shared" si="8"/>
        <v>0</v>
      </c>
      <c r="I61" s="111">
        <f t="shared" si="8"/>
        <v>80</v>
      </c>
      <c r="J61" s="114">
        <f t="shared" si="8"/>
        <v>0</v>
      </c>
      <c r="K61" s="111">
        <f>K62</f>
        <v>0</v>
      </c>
      <c r="L61" s="114">
        <f t="shared" si="8"/>
        <v>0</v>
      </c>
      <c r="M61" s="111">
        <f t="shared" si="8"/>
        <v>80</v>
      </c>
      <c r="N61" s="111">
        <f t="shared" si="8"/>
        <v>0</v>
      </c>
      <c r="O61" s="111">
        <f t="shared" si="8"/>
        <v>80</v>
      </c>
      <c r="P61" s="97"/>
      <c r="Q61" s="97"/>
    </row>
    <row r="62" spans="1:17" ht="47.25" x14ac:dyDescent="0.2">
      <c r="A62" s="40"/>
      <c r="B62" s="113" t="s">
        <v>89</v>
      </c>
      <c r="C62" s="113" t="s">
        <v>51</v>
      </c>
      <c r="D62" s="133" t="s">
        <v>86</v>
      </c>
      <c r="E62" s="133" t="s">
        <v>90</v>
      </c>
      <c r="F62" s="134" t="s">
        <v>11</v>
      </c>
      <c r="G62" s="111">
        <f t="shared" si="8"/>
        <v>80</v>
      </c>
      <c r="H62" s="111">
        <f t="shared" si="8"/>
        <v>0</v>
      </c>
      <c r="I62" s="111">
        <f t="shared" si="8"/>
        <v>80</v>
      </c>
      <c r="J62" s="114">
        <f t="shared" si="8"/>
        <v>0</v>
      </c>
      <c r="K62" s="111">
        <f>K63</f>
        <v>0</v>
      </c>
      <c r="L62" s="114">
        <f t="shared" si="8"/>
        <v>0</v>
      </c>
      <c r="M62" s="111">
        <f t="shared" si="8"/>
        <v>80</v>
      </c>
      <c r="N62" s="111">
        <f t="shared" si="8"/>
        <v>0</v>
      </c>
      <c r="O62" s="111">
        <f t="shared" si="8"/>
        <v>80</v>
      </c>
      <c r="P62" s="97"/>
      <c r="Q62" s="97"/>
    </row>
    <row r="63" spans="1:17" ht="42" customHeight="1" x14ac:dyDescent="0.2">
      <c r="A63" s="40"/>
      <c r="B63" s="113" t="s">
        <v>91</v>
      </c>
      <c r="C63" s="113" t="s">
        <v>51</v>
      </c>
      <c r="D63" s="133" t="s">
        <v>86</v>
      </c>
      <c r="E63" s="133" t="s">
        <v>92</v>
      </c>
      <c r="F63" s="134" t="s">
        <v>11</v>
      </c>
      <c r="G63" s="111">
        <f t="shared" si="8"/>
        <v>80</v>
      </c>
      <c r="H63" s="111">
        <f t="shared" si="8"/>
        <v>0</v>
      </c>
      <c r="I63" s="111">
        <f t="shared" si="8"/>
        <v>80</v>
      </c>
      <c r="J63" s="114">
        <f t="shared" si="8"/>
        <v>0</v>
      </c>
      <c r="K63" s="111">
        <f>K64</f>
        <v>0</v>
      </c>
      <c r="L63" s="114">
        <f t="shared" si="8"/>
        <v>0</v>
      </c>
      <c r="M63" s="111">
        <f t="shared" si="8"/>
        <v>80</v>
      </c>
      <c r="N63" s="111">
        <f t="shared" si="8"/>
        <v>0</v>
      </c>
      <c r="O63" s="111">
        <f t="shared" si="8"/>
        <v>80</v>
      </c>
      <c r="P63" s="97"/>
      <c r="Q63" s="97"/>
    </row>
    <row r="64" spans="1:17" ht="47.25" x14ac:dyDescent="0.2">
      <c r="A64" s="40"/>
      <c r="B64" s="113" t="s">
        <v>93</v>
      </c>
      <c r="C64" s="113" t="s">
        <v>51</v>
      </c>
      <c r="D64" s="133" t="s">
        <v>86</v>
      </c>
      <c r="E64" s="133" t="s">
        <v>94</v>
      </c>
      <c r="F64" s="134" t="s">
        <v>11</v>
      </c>
      <c r="G64" s="111">
        <f>G65</f>
        <v>80</v>
      </c>
      <c r="H64" s="111"/>
      <c r="I64" s="111">
        <f>I65</f>
        <v>80</v>
      </c>
      <c r="J64" s="114">
        <f t="shared" si="8"/>
        <v>0</v>
      </c>
      <c r="K64" s="111"/>
      <c r="L64" s="114">
        <f t="shared" si="8"/>
        <v>0</v>
      </c>
      <c r="M64" s="111">
        <f t="shared" si="8"/>
        <v>80</v>
      </c>
      <c r="N64" s="111">
        <f t="shared" si="8"/>
        <v>0</v>
      </c>
      <c r="O64" s="111">
        <f t="shared" si="8"/>
        <v>80</v>
      </c>
      <c r="P64" s="97"/>
      <c r="Q64" s="97"/>
    </row>
    <row r="65" spans="1:17" ht="47.25" x14ac:dyDescent="0.2">
      <c r="A65" s="40"/>
      <c r="B65" s="113" t="s">
        <v>95</v>
      </c>
      <c r="C65" s="113" t="s">
        <v>51</v>
      </c>
      <c r="D65" s="133" t="s">
        <v>86</v>
      </c>
      <c r="E65" s="133" t="s">
        <v>94</v>
      </c>
      <c r="F65" s="134" t="s">
        <v>96</v>
      </c>
      <c r="G65" s="111">
        <v>80</v>
      </c>
      <c r="H65" s="111"/>
      <c r="I65" s="111">
        <v>80</v>
      </c>
      <c r="J65" s="115"/>
      <c r="K65" s="111"/>
      <c r="L65" s="115"/>
      <c r="M65" s="111">
        <v>80</v>
      </c>
      <c r="N65" s="111"/>
      <c r="O65" s="111">
        <v>80</v>
      </c>
      <c r="P65" s="97"/>
      <c r="Q65" s="97"/>
    </row>
    <row r="66" spans="1:17" ht="31.5" x14ac:dyDescent="0.2">
      <c r="A66" s="40"/>
      <c r="B66" s="113" t="s">
        <v>97</v>
      </c>
      <c r="C66" s="113" t="s">
        <v>51</v>
      </c>
      <c r="D66" s="133" t="s">
        <v>86</v>
      </c>
      <c r="E66" s="133" t="s">
        <v>98</v>
      </c>
      <c r="F66" s="134" t="s">
        <v>11</v>
      </c>
      <c r="G66" s="111">
        <f t="shared" ref="G66:O69" si="9">G67</f>
        <v>3500</v>
      </c>
      <c r="H66" s="111">
        <f t="shared" si="9"/>
        <v>0</v>
      </c>
      <c r="I66" s="111">
        <f t="shared" si="9"/>
        <v>3500</v>
      </c>
      <c r="J66" s="114">
        <f t="shared" si="9"/>
        <v>0</v>
      </c>
      <c r="K66" s="111">
        <f>K67</f>
        <v>0</v>
      </c>
      <c r="L66" s="114">
        <f t="shared" si="9"/>
        <v>0</v>
      </c>
      <c r="M66" s="111">
        <f t="shared" si="9"/>
        <v>3500</v>
      </c>
      <c r="N66" s="111">
        <f t="shared" si="9"/>
        <v>0</v>
      </c>
      <c r="O66" s="111">
        <f t="shared" si="9"/>
        <v>3500</v>
      </c>
      <c r="P66" s="97"/>
      <c r="Q66" s="97"/>
    </row>
    <row r="67" spans="1:17" ht="15.75" x14ac:dyDescent="0.2">
      <c r="A67" s="40"/>
      <c r="B67" s="113" t="s">
        <v>99</v>
      </c>
      <c r="C67" s="113" t="s">
        <v>51</v>
      </c>
      <c r="D67" s="133" t="s">
        <v>86</v>
      </c>
      <c r="E67" s="133" t="s">
        <v>100</v>
      </c>
      <c r="F67" s="134" t="s">
        <v>11</v>
      </c>
      <c r="G67" s="111">
        <f t="shared" si="9"/>
        <v>3500</v>
      </c>
      <c r="H67" s="111">
        <f t="shared" si="9"/>
        <v>0</v>
      </c>
      <c r="I67" s="111">
        <f t="shared" si="9"/>
        <v>3500</v>
      </c>
      <c r="J67" s="114">
        <f t="shared" si="9"/>
        <v>0</v>
      </c>
      <c r="K67" s="111">
        <f>K68</f>
        <v>0</v>
      </c>
      <c r="L67" s="114">
        <f t="shared" si="9"/>
        <v>0</v>
      </c>
      <c r="M67" s="111">
        <f t="shared" si="9"/>
        <v>3500</v>
      </c>
      <c r="N67" s="111">
        <f t="shared" si="9"/>
        <v>0</v>
      </c>
      <c r="O67" s="111">
        <f t="shared" si="9"/>
        <v>3500</v>
      </c>
      <c r="P67" s="97"/>
      <c r="Q67" s="97"/>
    </row>
    <row r="68" spans="1:17" ht="31.5" x14ac:dyDescent="0.2">
      <c r="A68" s="40"/>
      <c r="B68" s="113" t="s">
        <v>101</v>
      </c>
      <c r="C68" s="113" t="s">
        <v>51</v>
      </c>
      <c r="D68" s="133" t="s">
        <v>86</v>
      </c>
      <c r="E68" s="133" t="s">
        <v>102</v>
      </c>
      <c r="F68" s="134" t="s">
        <v>11</v>
      </c>
      <c r="G68" s="111">
        <f t="shared" si="9"/>
        <v>3500</v>
      </c>
      <c r="H68" s="111">
        <f t="shared" si="9"/>
        <v>0</v>
      </c>
      <c r="I68" s="111">
        <f t="shared" si="9"/>
        <v>3500</v>
      </c>
      <c r="J68" s="114">
        <f t="shared" si="9"/>
        <v>0</v>
      </c>
      <c r="K68" s="111">
        <f>K69</f>
        <v>0</v>
      </c>
      <c r="L68" s="114">
        <f t="shared" si="9"/>
        <v>0</v>
      </c>
      <c r="M68" s="111">
        <f t="shared" si="9"/>
        <v>3500</v>
      </c>
      <c r="N68" s="111">
        <f t="shared" si="9"/>
        <v>0</v>
      </c>
      <c r="O68" s="111">
        <f t="shared" si="9"/>
        <v>3500</v>
      </c>
      <c r="P68" s="97"/>
      <c r="Q68" s="97"/>
    </row>
    <row r="69" spans="1:17" ht="36.6" customHeight="1" x14ac:dyDescent="0.2">
      <c r="A69" s="40"/>
      <c r="B69" s="113" t="s">
        <v>103</v>
      </c>
      <c r="C69" s="113" t="s">
        <v>51</v>
      </c>
      <c r="D69" s="133" t="s">
        <v>86</v>
      </c>
      <c r="E69" s="133" t="s">
        <v>104</v>
      </c>
      <c r="F69" s="134" t="s">
        <v>11</v>
      </c>
      <c r="G69" s="111">
        <f>G70</f>
        <v>3500</v>
      </c>
      <c r="H69" s="111"/>
      <c r="I69" s="111">
        <f>I70</f>
        <v>3500</v>
      </c>
      <c r="J69" s="114">
        <f t="shared" si="9"/>
        <v>0</v>
      </c>
      <c r="K69" s="111"/>
      <c r="L69" s="114">
        <f t="shared" si="9"/>
        <v>0</v>
      </c>
      <c r="M69" s="111">
        <f t="shared" si="9"/>
        <v>3500</v>
      </c>
      <c r="N69" s="111">
        <f t="shared" si="9"/>
        <v>0</v>
      </c>
      <c r="O69" s="111">
        <f t="shared" si="9"/>
        <v>3500</v>
      </c>
      <c r="P69" s="97"/>
      <c r="Q69" s="97"/>
    </row>
    <row r="70" spans="1:17" ht="31.5" x14ac:dyDescent="0.2">
      <c r="A70" s="40"/>
      <c r="B70" s="113" t="s">
        <v>40</v>
      </c>
      <c r="C70" s="113" t="s">
        <v>51</v>
      </c>
      <c r="D70" s="133" t="s">
        <v>86</v>
      </c>
      <c r="E70" s="133" t="s">
        <v>104</v>
      </c>
      <c r="F70" s="134" t="s">
        <v>41</v>
      </c>
      <c r="G70" s="111">
        <v>3500</v>
      </c>
      <c r="H70" s="111"/>
      <c r="I70" s="111">
        <v>3500</v>
      </c>
      <c r="J70" s="115">
        <v>0</v>
      </c>
      <c r="K70" s="111"/>
      <c r="L70" s="115">
        <v>0</v>
      </c>
      <c r="M70" s="111">
        <v>3500</v>
      </c>
      <c r="N70" s="111"/>
      <c r="O70" s="111">
        <v>3500</v>
      </c>
      <c r="P70" s="97"/>
      <c r="Q70" s="97"/>
    </row>
    <row r="71" spans="1:17" ht="47.25" x14ac:dyDescent="0.2">
      <c r="A71" s="40"/>
      <c r="B71" s="113" t="s">
        <v>105</v>
      </c>
      <c r="C71" s="113" t="s">
        <v>51</v>
      </c>
      <c r="D71" s="133" t="s">
        <v>86</v>
      </c>
      <c r="E71" s="133" t="s">
        <v>106</v>
      </c>
      <c r="F71" s="134" t="s">
        <v>11</v>
      </c>
      <c r="G71" s="111">
        <f>G72+G79+G83</f>
        <v>5988.4</v>
      </c>
      <c r="H71" s="111">
        <f>H72+H83+H79</f>
        <v>0</v>
      </c>
      <c r="I71" s="111">
        <f>I72+I79+I83</f>
        <v>5988.4</v>
      </c>
      <c r="J71" s="114">
        <f>J72+J79+J83</f>
        <v>100</v>
      </c>
      <c r="K71" s="111">
        <f>K72+K83</f>
        <v>0</v>
      </c>
      <c r="L71" s="114">
        <f>L72+L79+L83</f>
        <v>100</v>
      </c>
      <c r="M71" s="111">
        <f>M72+M79+M83</f>
        <v>6088.4</v>
      </c>
      <c r="N71" s="111">
        <f>N72+N79+N83</f>
        <v>0</v>
      </c>
      <c r="O71" s="111">
        <f>O72+O79+O83</f>
        <v>6088.4</v>
      </c>
      <c r="P71" s="97"/>
      <c r="Q71" s="97"/>
    </row>
    <row r="72" spans="1:17" ht="31.5" x14ac:dyDescent="0.2">
      <c r="A72" s="40"/>
      <c r="B72" s="113" t="s">
        <v>107</v>
      </c>
      <c r="C72" s="113" t="s">
        <v>51</v>
      </c>
      <c r="D72" s="133" t="s">
        <v>86</v>
      </c>
      <c r="E72" s="133" t="s">
        <v>108</v>
      </c>
      <c r="F72" s="134" t="s">
        <v>11</v>
      </c>
      <c r="G72" s="111">
        <f>G73</f>
        <v>2328.4</v>
      </c>
      <c r="H72" s="111">
        <f>H73</f>
        <v>0</v>
      </c>
      <c r="I72" s="111">
        <f>I73</f>
        <v>2328.4</v>
      </c>
      <c r="J72" s="114">
        <f>J73</f>
        <v>0</v>
      </c>
      <c r="K72" s="111">
        <f>K73+K76</f>
        <v>0</v>
      </c>
      <c r="L72" s="114">
        <f>L73</f>
        <v>0</v>
      </c>
      <c r="M72" s="111">
        <f>M73</f>
        <v>2328.4</v>
      </c>
      <c r="N72" s="111">
        <f>N73</f>
        <v>0</v>
      </c>
      <c r="O72" s="111">
        <f>O73</f>
        <v>2328.4</v>
      </c>
      <c r="P72" s="97"/>
      <c r="Q72" s="97"/>
    </row>
    <row r="73" spans="1:17" ht="31.5" x14ac:dyDescent="0.2">
      <c r="A73" s="40"/>
      <c r="B73" s="113" t="s">
        <v>109</v>
      </c>
      <c r="C73" s="113" t="s">
        <v>51</v>
      </c>
      <c r="D73" s="133" t="s">
        <v>86</v>
      </c>
      <c r="E73" s="133" t="s">
        <v>110</v>
      </c>
      <c r="F73" s="134" t="s">
        <v>11</v>
      </c>
      <c r="G73" s="111">
        <f>G74+G77</f>
        <v>2328.4</v>
      </c>
      <c r="H73" s="111">
        <f>H74</f>
        <v>0</v>
      </c>
      <c r="I73" s="111">
        <f>I74+I77</f>
        <v>2328.4</v>
      </c>
      <c r="J73" s="114">
        <f>J74+J77</f>
        <v>0</v>
      </c>
      <c r="K73" s="111">
        <f>K74</f>
        <v>0</v>
      </c>
      <c r="L73" s="114">
        <f>L74+L77</f>
        <v>0</v>
      </c>
      <c r="M73" s="111">
        <f>M74+M77</f>
        <v>2328.4</v>
      </c>
      <c r="N73" s="111">
        <f>N74+N77</f>
        <v>0</v>
      </c>
      <c r="O73" s="111">
        <f>O74+O77</f>
        <v>2328.4</v>
      </c>
      <c r="P73" s="97"/>
      <c r="Q73" s="97"/>
    </row>
    <row r="74" spans="1:17" ht="31.5" x14ac:dyDescent="0.2">
      <c r="A74" s="40"/>
      <c r="B74" s="113" t="s">
        <v>107</v>
      </c>
      <c r="C74" s="113" t="s">
        <v>51</v>
      </c>
      <c r="D74" s="133" t="s">
        <v>86</v>
      </c>
      <c r="E74" s="133" t="s">
        <v>111</v>
      </c>
      <c r="F74" s="134" t="s">
        <v>11</v>
      </c>
      <c r="G74" s="111">
        <f>G76+G75</f>
        <v>2318.4</v>
      </c>
      <c r="H74" s="111">
        <f>H76</f>
        <v>0</v>
      </c>
      <c r="I74" s="111">
        <f>I76+I75</f>
        <v>2318.4</v>
      </c>
      <c r="J74" s="114">
        <f>J76</f>
        <v>0</v>
      </c>
      <c r="K74" s="111"/>
      <c r="L74" s="114">
        <f>L76</f>
        <v>0</v>
      </c>
      <c r="M74" s="111">
        <f>M76+M75</f>
        <v>2318.4</v>
      </c>
      <c r="N74" s="111">
        <f>N76</f>
        <v>0</v>
      </c>
      <c r="O74" s="111">
        <f>O76+O75</f>
        <v>2318.4</v>
      </c>
      <c r="P74" s="97"/>
      <c r="Q74" s="97"/>
    </row>
    <row r="75" spans="1:17" ht="31.5" x14ac:dyDescent="0.2">
      <c r="A75" s="40"/>
      <c r="B75" s="113" t="s">
        <v>40</v>
      </c>
      <c r="C75" s="113" t="s">
        <v>51</v>
      </c>
      <c r="D75" s="133" t="s">
        <v>86</v>
      </c>
      <c r="E75" s="133" t="s">
        <v>111</v>
      </c>
      <c r="F75" s="134">
        <v>200</v>
      </c>
      <c r="G75" s="111">
        <v>232.4</v>
      </c>
      <c r="H75" s="111"/>
      <c r="I75" s="111">
        <f>SUM(G75)</f>
        <v>232.4</v>
      </c>
      <c r="J75" s="114"/>
      <c r="K75" s="111"/>
      <c r="L75" s="114"/>
      <c r="M75" s="111">
        <f>SUM(G75)</f>
        <v>232.4</v>
      </c>
      <c r="N75" s="111"/>
      <c r="O75" s="111">
        <f>SUM(I75)</f>
        <v>232.4</v>
      </c>
      <c r="P75" s="97"/>
      <c r="Q75" s="97"/>
    </row>
    <row r="76" spans="1:17" ht="31.5" x14ac:dyDescent="0.2">
      <c r="A76" s="40"/>
      <c r="B76" s="113" t="s">
        <v>112</v>
      </c>
      <c r="C76" s="113" t="s">
        <v>51</v>
      </c>
      <c r="D76" s="133" t="s">
        <v>86</v>
      </c>
      <c r="E76" s="133" t="s">
        <v>111</v>
      </c>
      <c r="F76" s="134" t="s">
        <v>113</v>
      </c>
      <c r="G76" s="111">
        <v>2086</v>
      </c>
      <c r="H76" s="111"/>
      <c r="I76" s="111">
        <f>SUM(G76:H76)</f>
        <v>2086</v>
      </c>
      <c r="J76" s="115">
        <v>0</v>
      </c>
      <c r="K76" s="111"/>
      <c r="L76" s="115">
        <v>0</v>
      </c>
      <c r="M76" s="111">
        <f>SUM(G76)</f>
        <v>2086</v>
      </c>
      <c r="N76" s="111">
        <f>H76+K76</f>
        <v>0</v>
      </c>
      <c r="O76" s="111">
        <f>SUM(M76:N76)</f>
        <v>2086</v>
      </c>
      <c r="P76" s="97"/>
      <c r="Q76" s="97"/>
    </row>
    <row r="77" spans="1:17" ht="31.5" x14ac:dyDescent="0.2">
      <c r="A77" s="40"/>
      <c r="B77" s="113" t="s">
        <v>114</v>
      </c>
      <c r="C77" s="113" t="s">
        <v>51</v>
      </c>
      <c r="D77" s="133" t="s">
        <v>86</v>
      </c>
      <c r="E77" s="133" t="s">
        <v>115</v>
      </c>
      <c r="F77" s="134" t="s">
        <v>11</v>
      </c>
      <c r="G77" s="111">
        <f>G78</f>
        <v>10</v>
      </c>
      <c r="H77" s="111"/>
      <c r="I77" s="111">
        <f>I78</f>
        <v>10</v>
      </c>
      <c r="J77" s="114">
        <f>J78</f>
        <v>0</v>
      </c>
      <c r="K77" s="111"/>
      <c r="L77" s="114">
        <f>L78</f>
        <v>0</v>
      </c>
      <c r="M77" s="111">
        <f>M78</f>
        <v>10</v>
      </c>
      <c r="N77" s="111">
        <f>N78</f>
        <v>0</v>
      </c>
      <c r="O77" s="111">
        <f>O78</f>
        <v>10</v>
      </c>
      <c r="P77" s="97"/>
      <c r="Q77" s="97"/>
    </row>
    <row r="78" spans="1:17" ht="31.5" x14ac:dyDescent="0.2">
      <c r="A78" s="40"/>
      <c r="B78" s="113" t="s">
        <v>112</v>
      </c>
      <c r="C78" s="113" t="s">
        <v>51</v>
      </c>
      <c r="D78" s="133" t="s">
        <v>86</v>
      </c>
      <c r="E78" s="133" t="s">
        <v>115</v>
      </c>
      <c r="F78" s="134" t="s">
        <v>113</v>
      </c>
      <c r="G78" s="111">
        <v>10</v>
      </c>
      <c r="H78" s="111"/>
      <c r="I78" s="111">
        <v>10</v>
      </c>
      <c r="J78" s="115">
        <v>0</v>
      </c>
      <c r="K78" s="111"/>
      <c r="L78" s="115">
        <v>0</v>
      </c>
      <c r="M78" s="111">
        <v>10</v>
      </c>
      <c r="N78" s="111"/>
      <c r="O78" s="111">
        <v>10</v>
      </c>
      <c r="P78" s="97"/>
      <c r="Q78" s="97"/>
    </row>
    <row r="79" spans="1:17" ht="31.5" x14ac:dyDescent="0.2">
      <c r="A79" s="40"/>
      <c r="B79" s="113" t="s">
        <v>116</v>
      </c>
      <c r="C79" s="113" t="s">
        <v>51</v>
      </c>
      <c r="D79" s="133" t="s">
        <v>86</v>
      </c>
      <c r="E79" s="133" t="s">
        <v>117</v>
      </c>
      <c r="F79" s="134" t="s">
        <v>11</v>
      </c>
      <c r="G79" s="111">
        <f t="shared" ref="G79:O81" si="10">G80</f>
        <v>150</v>
      </c>
      <c r="H79" s="111">
        <f t="shared" si="10"/>
        <v>0</v>
      </c>
      <c r="I79" s="111">
        <f t="shared" si="10"/>
        <v>150</v>
      </c>
      <c r="J79" s="114">
        <f t="shared" si="10"/>
        <v>0</v>
      </c>
      <c r="K79" s="111">
        <f>K80</f>
        <v>0</v>
      </c>
      <c r="L79" s="114">
        <f t="shared" si="10"/>
        <v>0</v>
      </c>
      <c r="M79" s="111">
        <f t="shared" si="10"/>
        <v>150</v>
      </c>
      <c r="N79" s="111">
        <f t="shared" si="10"/>
        <v>0</v>
      </c>
      <c r="O79" s="111">
        <f t="shared" si="10"/>
        <v>150</v>
      </c>
      <c r="P79" s="97"/>
      <c r="Q79" s="97"/>
    </row>
    <row r="80" spans="1:17" ht="63" x14ac:dyDescent="0.2">
      <c r="A80" s="40"/>
      <c r="B80" s="113" t="s">
        <v>118</v>
      </c>
      <c r="C80" s="113" t="s">
        <v>51</v>
      </c>
      <c r="D80" s="133" t="s">
        <v>86</v>
      </c>
      <c r="E80" s="133" t="s">
        <v>119</v>
      </c>
      <c r="F80" s="134" t="s">
        <v>11</v>
      </c>
      <c r="G80" s="111">
        <f t="shared" si="10"/>
        <v>150</v>
      </c>
      <c r="H80" s="111">
        <f t="shared" si="10"/>
        <v>0</v>
      </c>
      <c r="I80" s="111">
        <f t="shared" si="10"/>
        <v>150</v>
      </c>
      <c r="J80" s="114">
        <f t="shared" si="10"/>
        <v>0</v>
      </c>
      <c r="K80" s="111">
        <f>K81</f>
        <v>0</v>
      </c>
      <c r="L80" s="114">
        <f t="shared" si="10"/>
        <v>0</v>
      </c>
      <c r="M80" s="111">
        <f t="shared" si="10"/>
        <v>150</v>
      </c>
      <c r="N80" s="111">
        <f t="shared" si="10"/>
        <v>0</v>
      </c>
      <c r="O80" s="111">
        <f t="shared" si="10"/>
        <v>150</v>
      </c>
      <c r="P80" s="97"/>
      <c r="Q80" s="97"/>
    </row>
    <row r="81" spans="1:17" ht="47.25" x14ac:dyDescent="0.2">
      <c r="A81" s="40"/>
      <c r="B81" s="113" t="s">
        <v>120</v>
      </c>
      <c r="C81" s="113" t="s">
        <v>51</v>
      </c>
      <c r="D81" s="133" t="s">
        <v>86</v>
      </c>
      <c r="E81" s="133" t="s">
        <v>121</v>
      </c>
      <c r="F81" s="134" t="s">
        <v>11</v>
      </c>
      <c r="G81" s="111">
        <f>G82</f>
        <v>150</v>
      </c>
      <c r="H81" s="111"/>
      <c r="I81" s="111">
        <f>I82</f>
        <v>150</v>
      </c>
      <c r="J81" s="114">
        <f t="shared" si="10"/>
        <v>0</v>
      </c>
      <c r="K81" s="111"/>
      <c r="L81" s="114">
        <f t="shared" si="10"/>
        <v>0</v>
      </c>
      <c r="M81" s="111">
        <f t="shared" si="10"/>
        <v>150</v>
      </c>
      <c r="N81" s="111">
        <f t="shared" si="10"/>
        <v>0</v>
      </c>
      <c r="O81" s="111">
        <f t="shared" si="10"/>
        <v>150</v>
      </c>
      <c r="P81" s="97"/>
      <c r="Q81" s="97"/>
    </row>
    <row r="82" spans="1:17" ht="31.5" x14ac:dyDescent="0.2">
      <c r="A82" s="40"/>
      <c r="B82" s="113" t="s">
        <v>40</v>
      </c>
      <c r="C82" s="113" t="s">
        <v>51</v>
      </c>
      <c r="D82" s="133" t="s">
        <v>86</v>
      </c>
      <c r="E82" s="133" t="s">
        <v>121</v>
      </c>
      <c r="F82" s="134" t="s">
        <v>41</v>
      </c>
      <c r="G82" s="111">
        <v>150</v>
      </c>
      <c r="H82" s="111"/>
      <c r="I82" s="111">
        <v>150</v>
      </c>
      <c r="J82" s="115">
        <v>0</v>
      </c>
      <c r="K82" s="111"/>
      <c r="L82" s="115">
        <v>0</v>
      </c>
      <c r="M82" s="111">
        <v>150</v>
      </c>
      <c r="N82" s="111"/>
      <c r="O82" s="111">
        <v>150</v>
      </c>
      <c r="P82" s="97"/>
      <c r="Q82" s="97"/>
    </row>
    <row r="83" spans="1:17" ht="31.5" x14ac:dyDescent="0.2">
      <c r="A83" s="40"/>
      <c r="B83" s="113" t="s">
        <v>122</v>
      </c>
      <c r="C83" s="113" t="s">
        <v>51</v>
      </c>
      <c r="D83" s="133" t="s">
        <v>86</v>
      </c>
      <c r="E83" s="133" t="s">
        <v>123</v>
      </c>
      <c r="F83" s="134" t="s">
        <v>11</v>
      </c>
      <c r="G83" s="111">
        <f t="shared" ref="G83:O84" si="11">G84</f>
        <v>3510</v>
      </c>
      <c r="H83" s="111">
        <f t="shared" si="11"/>
        <v>0</v>
      </c>
      <c r="I83" s="111">
        <f t="shared" si="11"/>
        <v>3510</v>
      </c>
      <c r="J83" s="114">
        <f t="shared" ref="J83:O83" si="12">J84+J88</f>
        <v>100</v>
      </c>
      <c r="K83" s="111">
        <f t="shared" si="12"/>
        <v>0</v>
      </c>
      <c r="L83" s="111">
        <f t="shared" si="12"/>
        <v>100</v>
      </c>
      <c r="M83" s="111">
        <f t="shared" si="12"/>
        <v>3610</v>
      </c>
      <c r="N83" s="111">
        <f t="shared" si="12"/>
        <v>0</v>
      </c>
      <c r="O83" s="111">
        <f t="shared" si="12"/>
        <v>3610</v>
      </c>
      <c r="P83" s="97"/>
      <c r="Q83" s="97"/>
    </row>
    <row r="84" spans="1:17" ht="110.25" x14ac:dyDescent="0.2">
      <c r="A84" s="40"/>
      <c r="B84" s="113" t="s">
        <v>124</v>
      </c>
      <c r="C84" s="113" t="s">
        <v>51</v>
      </c>
      <c r="D84" s="133" t="s">
        <v>86</v>
      </c>
      <c r="E84" s="133" t="s">
        <v>125</v>
      </c>
      <c r="F84" s="134" t="s">
        <v>11</v>
      </c>
      <c r="G84" s="111">
        <f t="shared" si="11"/>
        <v>3510</v>
      </c>
      <c r="H84" s="111">
        <f>H85</f>
        <v>0</v>
      </c>
      <c r="I84" s="111">
        <f t="shared" si="11"/>
        <v>3510</v>
      </c>
      <c r="J84" s="114">
        <f t="shared" si="11"/>
        <v>0</v>
      </c>
      <c r="K84" s="111">
        <f>K85+K86</f>
        <v>0</v>
      </c>
      <c r="L84" s="114">
        <f t="shared" si="11"/>
        <v>0</v>
      </c>
      <c r="M84" s="111">
        <f t="shared" si="11"/>
        <v>3510</v>
      </c>
      <c r="N84" s="111">
        <f t="shared" si="11"/>
        <v>0</v>
      </c>
      <c r="O84" s="111">
        <f t="shared" si="11"/>
        <v>3510</v>
      </c>
      <c r="P84" s="97"/>
      <c r="Q84" s="97"/>
    </row>
    <row r="85" spans="1:17" ht="31.5" x14ac:dyDescent="0.2">
      <c r="A85" s="40"/>
      <c r="B85" s="113" t="s">
        <v>126</v>
      </c>
      <c r="C85" s="113" t="s">
        <v>51</v>
      </c>
      <c r="D85" s="133" t="s">
        <v>86</v>
      </c>
      <c r="E85" s="133" t="s">
        <v>127</v>
      </c>
      <c r="F85" s="134" t="s">
        <v>11</v>
      </c>
      <c r="G85" s="111">
        <f>G86+G87</f>
        <v>3510</v>
      </c>
      <c r="H85" s="111">
        <f>H86+H87</f>
        <v>0</v>
      </c>
      <c r="I85" s="111">
        <f>I86+I87</f>
        <v>3510</v>
      </c>
      <c r="J85" s="114">
        <f>J86+J87</f>
        <v>0</v>
      </c>
      <c r="K85" s="111"/>
      <c r="L85" s="114">
        <f>L86+L87</f>
        <v>0</v>
      </c>
      <c r="M85" s="111">
        <f>M86+M87</f>
        <v>3510</v>
      </c>
      <c r="N85" s="111">
        <f>N86+N87</f>
        <v>0</v>
      </c>
      <c r="O85" s="111">
        <f>O86+O87</f>
        <v>3510</v>
      </c>
      <c r="P85" s="97"/>
      <c r="Q85" s="97"/>
    </row>
    <row r="86" spans="1:17" ht="31.5" x14ac:dyDescent="0.2">
      <c r="A86" s="40"/>
      <c r="B86" s="113" t="s">
        <v>40</v>
      </c>
      <c r="C86" s="113" t="s">
        <v>51</v>
      </c>
      <c r="D86" s="133" t="s">
        <v>86</v>
      </c>
      <c r="E86" s="133" t="s">
        <v>127</v>
      </c>
      <c r="F86" s="134" t="s">
        <v>41</v>
      </c>
      <c r="G86" s="111">
        <v>3446.8</v>
      </c>
      <c r="H86" s="111"/>
      <c r="I86" s="111">
        <f>SUM(G86:H86)</f>
        <v>3446.8</v>
      </c>
      <c r="J86" s="115">
        <v>0</v>
      </c>
      <c r="K86" s="111"/>
      <c r="L86" s="115">
        <v>0</v>
      </c>
      <c r="M86" s="111">
        <f>SUM(G86)</f>
        <v>3446.8</v>
      </c>
      <c r="N86" s="111">
        <f>SUM(H86)</f>
        <v>0</v>
      </c>
      <c r="O86" s="111">
        <f>SUM(I86)</f>
        <v>3446.8</v>
      </c>
      <c r="P86" s="97"/>
      <c r="Q86" s="97"/>
    </row>
    <row r="87" spans="1:17" ht="15.75" x14ac:dyDescent="0.2">
      <c r="A87" s="40"/>
      <c r="B87" s="113" t="s">
        <v>70</v>
      </c>
      <c r="C87" s="113" t="s">
        <v>51</v>
      </c>
      <c r="D87" s="133" t="s">
        <v>86</v>
      </c>
      <c r="E87" s="133" t="s">
        <v>127</v>
      </c>
      <c r="F87" s="134" t="s">
        <v>71</v>
      </c>
      <c r="G87" s="111">
        <v>63.2</v>
      </c>
      <c r="H87" s="111"/>
      <c r="I87" s="111">
        <v>63.2</v>
      </c>
      <c r="J87" s="115">
        <v>0</v>
      </c>
      <c r="K87" s="111"/>
      <c r="L87" s="115">
        <v>0</v>
      </c>
      <c r="M87" s="111">
        <v>63.2</v>
      </c>
      <c r="N87" s="111"/>
      <c r="O87" s="111">
        <v>63.2</v>
      </c>
      <c r="P87" s="97"/>
      <c r="Q87" s="97"/>
    </row>
    <row r="88" spans="1:17" ht="47.25" x14ac:dyDescent="0.2">
      <c r="A88" s="40"/>
      <c r="B88" s="113" t="s">
        <v>564</v>
      </c>
      <c r="C88" s="113">
        <v>992</v>
      </c>
      <c r="D88" s="133" t="s">
        <v>86</v>
      </c>
      <c r="E88" s="133">
        <v>1030200000</v>
      </c>
      <c r="F88" s="134"/>
      <c r="G88" s="111"/>
      <c r="H88" s="111"/>
      <c r="I88" s="111"/>
      <c r="J88" s="115">
        <f t="shared" ref="J88:L89" si="13">SUM(J89)</f>
        <v>100</v>
      </c>
      <c r="K88" s="111">
        <f t="shared" si="13"/>
        <v>0</v>
      </c>
      <c r="L88" s="111">
        <f t="shared" si="13"/>
        <v>100</v>
      </c>
      <c r="M88" s="111">
        <f>SUM(J88)</f>
        <v>100</v>
      </c>
      <c r="N88" s="111">
        <f t="shared" ref="N88:O90" si="14">SUM(K88)</f>
        <v>0</v>
      </c>
      <c r="O88" s="111">
        <f t="shared" si="14"/>
        <v>100</v>
      </c>
      <c r="P88" s="97"/>
      <c r="Q88" s="97"/>
    </row>
    <row r="89" spans="1:17" ht="47.25" x14ac:dyDescent="0.2">
      <c r="A89" s="40"/>
      <c r="B89" s="113" t="s">
        <v>565</v>
      </c>
      <c r="C89" s="113">
        <v>992</v>
      </c>
      <c r="D89" s="133" t="s">
        <v>86</v>
      </c>
      <c r="E89" s="133">
        <v>1030222500</v>
      </c>
      <c r="F89" s="134"/>
      <c r="G89" s="111"/>
      <c r="H89" s="111"/>
      <c r="I89" s="111"/>
      <c r="J89" s="115">
        <f t="shared" si="13"/>
        <v>100</v>
      </c>
      <c r="K89" s="111">
        <f t="shared" si="13"/>
        <v>0</v>
      </c>
      <c r="L89" s="111">
        <f t="shared" si="13"/>
        <v>100</v>
      </c>
      <c r="M89" s="111">
        <f>SUM(J89)</f>
        <v>100</v>
      </c>
      <c r="N89" s="111">
        <f t="shared" si="14"/>
        <v>0</v>
      </c>
      <c r="O89" s="111">
        <f t="shared" si="14"/>
        <v>100</v>
      </c>
      <c r="P89" s="97"/>
      <c r="Q89" s="97"/>
    </row>
    <row r="90" spans="1:17" ht="31.5" x14ac:dyDescent="0.2">
      <c r="A90" s="40"/>
      <c r="B90" s="113" t="s">
        <v>40</v>
      </c>
      <c r="C90" s="113">
        <v>992</v>
      </c>
      <c r="D90" s="133" t="s">
        <v>86</v>
      </c>
      <c r="E90" s="133">
        <v>1030222500</v>
      </c>
      <c r="F90" s="134">
        <v>200</v>
      </c>
      <c r="G90" s="111"/>
      <c r="H90" s="111"/>
      <c r="I90" s="111"/>
      <c r="J90" s="115">
        <v>100</v>
      </c>
      <c r="K90" s="111"/>
      <c r="L90" s="115">
        <f>SUM(J90)</f>
        <v>100</v>
      </c>
      <c r="M90" s="111">
        <f>SUM(J90)</f>
        <v>100</v>
      </c>
      <c r="N90" s="111">
        <f t="shared" si="14"/>
        <v>0</v>
      </c>
      <c r="O90" s="111">
        <f t="shared" si="14"/>
        <v>100</v>
      </c>
      <c r="P90" s="97"/>
      <c r="Q90" s="97"/>
    </row>
    <row r="91" spans="1:17" ht="31.5" x14ac:dyDescent="0.2">
      <c r="A91" s="40"/>
      <c r="B91" s="113" t="s">
        <v>128</v>
      </c>
      <c r="C91" s="113" t="s">
        <v>51</v>
      </c>
      <c r="D91" s="133" t="s">
        <v>86</v>
      </c>
      <c r="E91" s="133" t="s">
        <v>129</v>
      </c>
      <c r="F91" s="134" t="s">
        <v>11</v>
      </c>
      <c r="G91" s="111">
        <f>G92+G105</f>
        <v>54014.700000000004</v>
      </c>
      <c r="H91" s="111">
        <f>H92+H105</f>
        <v>605.20000000000005</v>
      </c>
      <c r="I91" s="111">
        <f>I92+I105</f>
        <v>54619.9</v>
      </c>
      <c r="J91" s="114">
        <f>J92+J105</f>
        <v>0</v>
      </c>
      <c r="K91" s="111">
        <f>K92+K97</f>
        <v>0</v>
      </c>
      <c r="L91" s="114">
        <f>L92+L105</f>
        <v>0</v>
      </c>
      <c r="M91" s="111">
        <f>M92+M105</f>
        <v>54014.700000000004</v>
      </c>
      <c r="N91" s="111">
        <f>N92+N105</f>
        <v>605.20000000000005</v>
      </c>
      <c r="O91" s="111">
        <f>O92+O105</f>
        <v>54619.9</v>
      </c>
      <c r="P91" s="97"/>
      <c r="Q91" s="97"/>
    </row>
    <row r="92" spans="1:17" ht="15.75" x14ac:dyDescent="0.2">
      <c r="A92" s="40"/>
      <c r="B92" s="113" t="s">
        <v>130</v>
      </c>
      <c r="C92" s="113" t="s">
        <v>51</v>
      </c>
      <c r="D92" s="133" t="s">
        <v>86</v>
      </c>
      <c r="E92" s="133" t="s">
        <v>131</v>
      </c>
      <c r="F92" s="134" t="s">
        <v>11</v>
      </c>
      <c r="G92" s="111">
        <f>G93+G98</f>
        <v>53814.700000000004</v>
      </c>
      <c r="H92" s="111">
        <f>H93+H98</f>
        <v>605.20000000000005</v>
      </c>
      <c r="I92" s="111">
        <f>I93+I98</f>
        <v>54419.9</v>
      </c>
      <c r="J92" s="114">
        <f>J93+J98</f>
        <v>0</v>
      </c>
      <c r="K92" s="111">
        <f>K93</f>
        <v>0</v>
      </c>
      <c r="L92" s="114">
        <f>L93+L98</f>
        <v>0</v>
      </c>
      <c r="M92" s="111">
        <f>M93+M98</f>
        <v>53814.700000000004</v>
      </c>
      <c r="N92" s="111">
        <f>N93+N98</f>
        <v>605.20000000000005</v>
      </c>
      <c r="O92" s="111">
        <f>O93+O98</f>
        <v>54419.9</v>
      </c>
      <c r="P92" s="97"/>
      <c r="Q92" s="97"/>
    </row>
    <row r="93" spans="1:17" ht="15.75" x14ac:dyDescent="0.2">
      <c r="A93" s="40"/>
      <c r="B93" s="113" t="s">
        <v>132</v>
      </c>
      <c r="C93" s="113" t="s">
        <v>51</v>
      </c>
      <c r="D93" s="133" t="s">
        <v>86</v>
      </c>
      <c r="E93" s="133" t="s">
        <v>133</v>
      </c>
      <c r="F93" s="134" t="s">
        <v>11</v>
      </c>
      <c r="G93" s="111">
        <f>G94</f>
        <v>40652.300000000003</v>
      </c>
      <c r="H93" s="111">
        <f>SUM(H94)</f>
        <v>605.20000000000005</v>
      </c>
      <c r="I93" s="111">
        <f>I94</f>
        <v>41257.5</v>
      </c>
      <c r="J93" s="114">
        <f>J94</f>
        <v>0</v>
      </c>
      <c r="K93" s="111">
        <f>K94+K95+K96</f>
        <v>0</v>
      </c>
      <c r="L93" s="114">
        <f>L94</f>
        <v>0</v>
      </c>
      <c r="M93" s="111">
        <f>M94</f>
        <v>40652.300000000003</v>
      </c>
      <c r="N93" s="111">
        <f>N94</f>
        <v>605.20000000000005</v>
      </c>
      <c r="O93" s="111">
        <f>O94</f>
        <v>41257.5</v>
      </c>
      <c r="P93" s="97"/>
      <c r="Q93" s="97"/>
    </row>
    <row r="94" spans="1:17" ht="31.5" x14ac:dyDescent="0.2">
      <c r="A94" s="40"/>
      <c r="B94" s="113" t="s">
        <v>134</v>
      </c>
      <c r="C94" s="113" t="s">
        <v>51</v>
      </c>
      <c r="D94" s="133" t="s">
        <v>86</v>
      </c>
      <c r="E94" s="133" t="s">
        <v>135</v>
      </c>
      <c r="F94" s="134" t="s">
        <v>11</v>
      </c>
      <c r="G94" s="111">
        <f>G95+G96+G97</f>
        <v>40652.300000000003</v>
      </c>
      <c r="H94" s="111">
        <f>SUM(H95:H97)</f>
        <v>605.20000000000005</v>
      </c>
      <c r="I94" s="111">
        <f>I95+I96+I97</f>
        <v>41257.5</v>
      </c>
      <c r="J94" s="114">
        <f>J95+J96+J97</f>
        <v>0</v>
      </c>
      <c r="K94" s="111"/>
      <c r="L94" s="114">
        <f>L95+L96+L97</f>
        <v>0</v>
      </c>
      <c r="M94" s="111">
        <f>M95+M96+M97</f>
        <v>40652.300000000003</v>
      </c>
      <c r="N94" s="111">
        <f>N95+N96+N97</f>
        <v>605.20000000000005</v>
      </c>
      <c r="O94" s="111">
        <f>O95+O96+O97</f>
        <v>41257.5</v>
      </c>
      <c r="P94" s="97"/>
      <c r="Q94" s="97"/>
    </row>
    <row r="95" spans="1:17" ht="37.9" customHeight="1" x14ac:dyDescent="0.2">
      <c r="A95" s="40"/>
      <c r="B95" s="113" t="s">
        <v>61</v>
      </c>
      <c r="C95" s="113" t="s">
        <v>51</v>
      </c>
      <c r="D95" s="133" t="s">
        <v>86</v>
      </c>
      <c r="E95" s="133" t="s">
        <v>135</v>
      </c>
      <c r="F95" s="134" t="s">
        <v>62</v>
      </c>
      <c r="G95" s="111">
        <v>27266.5</v>
      </c>
      <c r="H95" s="111">
        <v>260</v>
      </c>
      <c r="I95" s="111">
        <f>SUM(G95)+H95</f>
        <v>27526.5</v>
      </c>
      <c r="J95" s="115">
        <v>0</v>
      </c>
      <c r="K95" s="111"/>
      <c r="L95" s="115">
        <v>0</v>
      </c>
      <c r="M95" s="111">
        <f t="shared" ref="M95:O96" si="15">SUM(G95)</f>
        <v>27266.5</v>
      </c>
      <c r="N95" s="111">
        <f t="shared" si="15"/>
        <v>260</v>
      </c>
      <c r="O95" s="111">
        <f t="shared" si="15"/>
        <v>27526.5</v>
      </c>
      <c r="P95" s="97"/>
      <c r="Q95" s="97"/>
    </row>
    <row r="96" spans="1:17" ht="31.5" x14ac:dyDescent="0.2">
      <c r="A96" s="40"/>
      <c r="B96" s="113" t="s">
        <v>40</v>
      </c>
      <c r="C96" s="113" t="s">
        <v>51</v>
      </c>
      <c r="D96" s="133" t="s">
        <v>86</v>
      </c>
      <c r="E96" s="133" t="s">
        <v>135</v>
      </c>
      <c r="F96" s="134" t="s">
        <v>41</v>
      </c>
      <c r="G96" s="111">
        <v>13308.4</v>
      </c>
      <c r="H96" s="111">
        <f>1000-260+605.2-1000</f>
        <v>345.20000000000005</v>
      </c>
      <c r="I96" s="111">
        <f>SUM(G96)+H96</f>
        <v>13653.6</v>
      </c>
      <c r="J96" s="115">
        <v>0</v>
      </c>
      <c r="K96" s="111"/>
      <c r="L96" s="115">
        <v>0</v>
      </c>
      <c r="M96" s="111">
        <f t="shared" si="15"/>
        <v>13308.4</v>
      </c>
      <c r="N96" s="111">
        <f t="shared" si="15"/>
        <v>345.20000000000005</v>
      </c>
      <c r="O96" s="111">
        <f t="shared" si="15"/>
        <v>13653.6</v>
      </c>
      <c r="P96" s="97"/>
      <c r="Q96" s="97"/>
    </row>
    <row r="97" spans="1:17" ht="15.75" x14ac:dyDescent="0.2">
      <c r="A97" s="40"/>
      <c r="B97" s="113" t="s">
        <v>70</v>
      </c>
      <c r="C97" s="113" t="s">
        <v>51</v>
      </c>
      <c r="D97" s="133" t="s">
        <v>86</v>
      </c>
      <c r="E97" s="133" t="s">
        <v>135</v>
      </c>
      <c r="F97" s="134" t="s">
        <v>71</v>
      </c>
      <c r="G97" s="111">
        <v>77.400000000000006</v>
      </c>
      <c r="H97" s="111"/>
      <c r="I97" s="111">
        <v>77.400000000000006</v>
      </c>
      <c r="J97" s="115">
        <v>0</v>
      </c>
      <c r="K97" s="111"/>
      <c r="L97" s="115">
        <v>0</v>
      </c>
      <c r="M97" s="111">
        <v>77.400000000000006</v>
      </c>
      <c r="N97" s="111"/>
      <c r="O97" s="111">
        <v>77.400000000000006</v>
      </c>
      <c r="P97" s="97"/>
      <c r="Q97" s="97"/>
    </row>
    <row r="98" spans="1:17" ht="31.5" x14ac:dyDescent="0.2">
      <c r="A98" s="40"/>
      <c r="B98" s="113" t="s">
        <v>136</v>
      </c>
      <c r="C98" s="113" t="s">
        <v>51</v>
      </c>
      <c r="D98" s="133" t="s">
        <v>86</v>
      </c>
      <c r="E98" s="133" t="s">
        <v>137</v>
      </c>
      <c r="F98" s="134" t="s">
        <v>11</v>
      </c>
      <c r="G98" s="111">
        <f>G99+G102</f>
        <v>13162.4</v>
      </c>
      <c r="H98" s="111">
        <f>H99+H102</f>
        <v>0</v>
      </c>
      <c r="I98" s="111">
        <f>I99+I102</f>
        <v>13162.4</v>
      </c>
      <c r="J98" s="114">
        <f>J99+J102</f>
        <v>0</v>
      </c>
      <c r="K98" s="111">
        <f>K99+K100</f>
        <v>0</v>
      </c>
      <c r="L98" s="114">
        <f>L99+L102</f>
        <v>0</v>
      </c>
      <c r="M98" s="111">
        <f>M99+M102</f>
        <v>13162.4</v>
      </c>
      <c r="N98" s="111">
        <f>N99+N102</f>
        <v>0</v>
      </c>
      <c r="O98" s="111">
        <f>O99+O102</f>
        <v>13162.4</v>
      </c>
      <c r="P98" s="97"/>
      <c r="Q98" s="97"/>
    </row>
    <row r="99" spans="1:17" ht="31.5" x14ac:dyDescent="0.2">
      <c r="A99" s="40"/>
      <c r="B99" s="113" t="s">
        <v>134</v>
      </c>
      <c r="C99" s="113" t="s">
        <v>51</v>
      </c>
      <c r="D99" s="133" t="s">
        <v>86</v>
      </c>
      <c r="E99" s="133" t="s">
        <v>138</v>
      </c>
      <c r="F99" s="134" t="s">
        <v>11</v>
      </c>
      <c r="G99" s="111">
        <f>G100+G101</f>
        <v>10245</v>
      </c>
      <c r="H99" s="111">
        <f>SUM(H100)+H101</f>
        <v>0</v>
      </c>
      <c r="I99" s="111">
        <f>I100+I101</f>
        <v>10245</v>
      </c>
      <c r="J99" s="114">
        <f>J100+J101</f>
        <v>0</v>
      </c>
      <c r="K99" s="111"/>
      <c r="L99" s="114">
        <f>L100+L101</f>
        <v>0</v>
      </c>
      <c r="M99" s="111">
        <f>M100+M101</f>
        <v>10245</v>
      </c>
      <c r="N99" s="111">
        <f>N100+N101</f>
        <v>0</v>
      </c>
      <c r="O99" s="111">
        <f>O100+O101</f>
        <v>10245</v>
      </c>
      <c r="P99" s="97"/>
      <c r="Q99" s="97"/>
    </row>
    <row r="100" spans="1:17" ht="78.75" x14ac:dyDescent="0.2">
      <c r="A100" s="40"/>
      <c r="B100" s="113" t="s">
        <v>61</v>
      </c>
      <c r="C100" s="113" t="s">
        <v>51</v>
      </c>
      <c r="D100" s="133" t="s">
        <v>86</v>
      </c>
      <c r="E100" s="133" t="s">
        <v>138</v>
      </c>
      <c r="F100" s="134" t="s">
        <v>62</v>
      </c>
      <c r="G100" s="111">
        <v>9545</v>
      </c>
      <c r="H100" s="111"/>
      <c r="I100" s="111">
        <f>SUM(G100)+H100</f>
        <v>9545</v>
      </c>
      <c r="J100" s="115">
        <v>0</v>
      </c>
      <c r="K100" s="111"/>
      <c r="L100" s="115">
        <v>0</v>
      </c>
      <c r="M100" s="111">
        <f>SUM(G100)</f>
        <v>9545</v>
      </c>
      <c r="N100" s="111">
        <f>SUM(H100)</f>
        <v>0</v>
      </c>
      <c r="O100" s="111">
        <f>SUM(I100)</f>
        <v>9545</v>
      </c>
      <c r="P100" s="97"/>
      <c r="Q100" s="97"/>
    </row>
    <row r="101" spans="1:17" ht="31.5" x14ac:dyDescent="0.2">
      <c r="A101" s="40"/>
      <c r="B101" s="113" t="s">
        <v>40</v>
      </c>
      <c r="C101" s="113" t="s">
        <v>51</v>
      </c>
      <c r="D101" s="133" t="s">
        <v>86</v>
      </c>
      <c r="E101" s="133" t="s">
        <v>138</v>
      </c>
      <c r="F101" s="134" t="s">
        <v>41</v>
      </c>
      <c r="G101" s="111">
        <v>700</v>
      </c>
      <c r="H101" s="111"/>
      <c r="I101" s="111">
        <f>700+H101</f>
        <v>700</v>
      </c>
      <c r="J101" s="115">
        <v>0</v>
      </c>
      <c r="K101" s="111"/>
      <c r="L101" s="115">
        <v>0</v>
      </c>
      <c r="M101" s="111">
        <v>700</v>
      </c>
      <c r="N101" s="111">
        <f>SUM(H101)</f>
        <v>0</v>
      </c>
      <c r="O101" s="111">
        <f>SUM(I101)</f>
        <v>700</v>
      </c>
      <c r="P101" s="97"/>
      <c r="Q101" s="97"/>
    </row>
    <row r="102" spans="1:17" ht="47.25" x14ac:dyDescent="0.2">
      <c r="A102" s="40"/>
      <c r="B102" s="113" t="s">
        <v>139</v>
      </c>
      <c r="C102" s="113" t="s">
        <v>51</v>
      </c>
      <c r="D102" s="133" t="s">
        <v>86</v>
      </c>
      <c r="E102" s="133" t="s">
        <v>140</v>
      </c>
      <c r="F102" s="134" t="s">
        <v>11</v>
      </c>
      <c r="G102" s="111">
        <f>G103+G104</f>
        <v>2917.4</v>
      </c>
      <c r="H102" s="111">
        <f>SUM(H103)+H104</f>
        <v>0</v>
      </c>
      <c r="I102" s="111">
        <f>I103+I104</f>
        <v>2917.4</v>
      </c>
      <c r="J102" s="114">
        <f>J103+J104</f>
        <v>0</v>
      </c>
      <c r="K102" s="111"/>
      <c r="L102" s="114">
        <f>L103+L104</f>
        <v>0</v>
      </c>
      <c r="M102" s="111">
        <f>M103+M104</f>
        <v>2917.4</v>
      </c>
      <c r="N102" s="111">
        <f>N103+N104</f>
        <v>0</v>
      </c>
      <c r="O102" s="111">
        <f>O103+O104</f>
        <v>2917.4</v>
      </c>
      <c r="P102" s="97"/>
      <c r="Q102" s="97"/>
    </row>
    <row r="103" spans="1:17" ht="31.5" x14ac:dyDescent="0.2">
      <c r="A103" s="40"/>
      <c r="B103" s="113" t="s">
        <v>40</v>
      </c>
      <c r="C103" s="113" t="s">
        <v>51</v>
      </c>
      <c r="D103" s="133" t="s">
        <v>86</v>
      </c>
      <c r="E103" s="133" t="s">
        <v>140</v>
      </c>
      <c r="F103" s="134" t="s">
        <v>41</v>
      </c>
      <c r="G103" s="111">
        <v>1943</v>
      </c>
      <c r="H103" s="111"/>
      <c r="I103" s="111">
        <f>SUM(G103)+H103</f>
        <v>1943</v>
      </c>
      <c r="J103" s="115">
        <v>0</v>
      </c>
      <c r="K103" s="111"/>
      <c r="L103" s="115">
        <v>0</v>
      </c>
      <c r="M103" s="111">
        <f t="shared" ref="M103:O104" si="16">SUM(G103)</f>
        <v>1943</v>
      </c>
      <c r="N103" s="111">
        <f t="shared" si="16"/>
        <v>0</v>
      </c>
      <c r="O103" s="111">
        <f t="shared" si="16"/>
        <v>1943</v>
      </c>
      <c r="P103" s="97"/>
      <c r="Q103" s="97"/>
    </row>
    <row r="104" spans="1:17" ht="15.75" x14ac:dyDescent="0.2">
      <c r="A104" s="40"/>
      <c r="B104" s="113" t="s">
        <v>70</v>
      </c>
      <c r="C104" s="113" t="s">
        <v>51</v>
      </c>
      <c r="D104" s="133" t="s">
        <v>86</v>
      </c>
      <c r="E104" s="133" t="s">
        <v>140</v>
      </c>
      <c r="F104" s="134" t="s">
        <v>71</v>
      </c>
      <c r="G104" s="111">
        <v>974.4</v>
      </c>
      <c r="H104" s="111"/>
      <c r="I104" s="111">
        <f>SUM(G104:H104)</f>
        <v>974.4</v>
      </c>
      <c r="J104" s="115">
        <v>0</v>
      </c>
      <c r="K104" s="111"/>
      <c r="L104" s="115">
        <v>0</v>
      </c>
      <c r="M104" s="111">
        <f t="shared" si="16"/>
        <v>974.4</v>
      </c>
      <c r="N104" s="111">
        <f t="shared" si="16"/>
        <v>0</v>
      </c>
      <c r="O104" s="111">
        <f t="shared" si="16"/>
        <v>974.4</v>
      </c>
      <c r="P104" s="97"/>
      <c r="Q104" s="97"/>
    </row>
    <row r="105" spans="1:17" ht="15.75" x14ac:dyDescent="0.2">
      <c r="A105" s="40"/>
      <c r="B105" s="113" t="s">
        <v>141</v>
      </c>
      <c r="C105" s="113" t="s">
        <v>51</v>
      </c>
      <c r="D105" s="133" t="s">
        <v>86</v>
      </c>
      <c r="E105" s="133" t="s">
        <v>142</v>
      </c>
      <c r="F105" s="134" t="s">
        <v>11</v>
      </c>
      <c r="G105" s="111">
        <f t="shared" ref="G105:O107" si="17">G106</f>
        <v>200</v>
      </c>
      <c r="H105" s="111">
        <f t="shared" si="17"/>
        <v>0</v>
      </c>
      <c r="I105" s="111">
        <f t="shared" si="17"/>
        <v>200</v>
      </c>
      <c r="J105" s="114">
        <f t="shared" si="17"/>
        <v>0</v>
      </c>
      <c r="K105" s="111">
        <f>K106</f>
        <v>0</v>
      </c>
      <c r="L105" s="114">
        <f t="shared" si="17"/>
        <v>0</v>
      </c>
      <c r="M105" s="111">
        <f t="shared" si="17"/>
        <v>200</v>
      </c>
      <c r="N105" s="111">
        <f t="shared" si="17"/>
        <v>0</v>
      </c>
      <c r="O105" s="111">
        <f t="shared" si="17"/>
        <v>200</v>
      </c>
      <c r="P105" s="97"/>
      <c r="Q105" s="97"/>
    </row>
    <row r="106" spans="1:17" ht="47.25" x14ac:dyDescent="0.2">
      <c r="A106" s="40"/>
      <c r="B106" s="113" t="s">
        <v>143</v>
      </c>
      <c r="C106" s="113" t="s">
        <v>51</v>
      </c>
      <c r="D106" s="133" t="s">
        <v>86</v>
      </c>
      <c r="E106" s="133" t="s">
        <v>144</v>
      </c>
      <c r="F106" s="134" t="s">
        <v>11</v>
      </c>
      <c r="G106" s="111">
        <f t="shared" si="17"/>
        <v>200</v>
      </c>
      <c r="H106" s="111">
        <f t="shared" si="17"/>
        <v>0</v>
      </c>
      <c r="I106" s="111">
        <f t="shared" si="17"/>
        <v>200</v>
      </c>
      <c r="J106" s="114">
        <f t="shared" si="17"/>
        <v>0</v>
      </c>
      <c r="K106" s="111">
        <f>K107</f>
        <v>0</v>
      </c>
      <c r="L106" s="114">
        <f t="shared" si="17"/>
        <v>0</v>
      </c>
      <c r="M106" s="111">
        <f t="shared" si="17"/>
        <v>200</v>
      </c>
      <c r="N106" s="111">
        <f t="shared" si="17"/>
        <v>0</v>
      </c>
      <c r="O106" s="111">
        <f t="shared" si="17"/>
        <v>200</v>
      </c>
      <c r="P106" s="97"/>
      <c r="Q106" s="97"/>
    </row>
    <row r="107" spans="1:17" ht="31.5" x14ac:dyDescent="0.2">
      <c r="A107" s="40"/>
      <c r="B107" s="113" t="s">
        <v>145</v>
      </c>
      <c r="C107" s="113" t="s">
        <v>51</v>
      </c>
      <c r="D107" s="133" t="s">
        <v>86</v>
      </c>
      <c r="E107" s="133" t="s">
        <v>146</v>
      </c>
      <c r="F107" s="134" t="s">
        <v>11</v>
      </c>
      <c r="G107" s="111">
        <f>G108</f>
        <v>200</v>
      </c>
      <c r="H107" s="111"/>
      <c r="I107" s="111">
        <f>I108</f>
        <v>200</v>
      </c>
      <c r="J107" s="114">
        <f t="shared" si="17"/>
        <v>0</v>
      </c>
      <c r="K107" s="111"/>
      <c r="L107" s="114">
        <f t="shared" si="17"/>
        <v>0</v>
      </c>
      <c r="M107" s="111">
        <f t="shared" si="17"/>
        <v>200</v>
      </c>
      <c r="N107" s="111">
        <f t="shared" si="17"/>
        <v>0</v>
      </c>
      <c r="O107" s="111">
        <f t="shared" si="17"/>
        <v>200</v>
      </c>
      <c r="P107" s="97"/>
      <c r="Q107" s="97"/>
    </row>
    <row r="108" spans="1:17" ht="31.5" x14ac:dyDescent="0.2">
      <c r="A108" s="40"/>
      <c r="B108" s="113" t="s">
        <v>40</v>
      </c>
      <c r="C108" s="113" t="s">
        <v>51</v>
      </c>
      <c r="D108" s="133" t="s">
        <v>86</v>
      </c>
      <c r="E108" s="133" t="s">
        <v>146</v>
      </c>
      <c r="F108" s="134" t="s">
        <v>41</v>
      </c>
      <c r="G108" s="111">
        <v>200</v>
      </c>
      <c r="H108" s="111"/>
      <c r="I108" s="111">
        <v>200</v>
      </c>
      <c r="J108" s="115">
        <v>0</v>
      </c>
      <c r="K108" s="111">
        <f>K113</f>
        <v>0</v>
      </c>
      <c r="L108" s="115">
        <v>0</v>
      </c>
      <c r="M108" s="111">
        <v>200</v>
      </c>
      <c r="N108" s="111"/>
      <c r="O108" s="111">
        <v>200</v>
      </c>
      <c r="P108" s="97"/>
      <c r="Q108" s="97"/>
    </row>
    <row r="109" spans="1:17" ht="31.5" x14ac:dyDescent="0.2">
      <c r="A109" s="40"/>
      <c r="B109" s="118" t="s">
        <v>66</v>
      </c>
      <c r="C109" s="118" t="s">
        <v>51</v>
      </c>
      <c r="D109" s="136" t="s">
        <v>86</v>
      </c>
      <c r="E109" s="136" t="s">
        <v>67</v>
      </c>
      <c r="F109" s="134"/>
      <c r="G109" s="111">
        <f t="shared" ref="G109:O111" si="18">G110</f>
        <v>44.1</v>
      </c>
      <c r="H109" s="120">
        <f t="shared" si="18"/>
        <v>0</v>
      </c>
      <c r="I109" s="114">
        <f t="shared" si="18"/>
        <v>44.1</v>
      </c>
      <c r="J109" s="114">
        <f t="shared" si="18"/>
        <v>0</v>
      </c>
      <c r="K109" s="114">
        <f t="shared" si="18"/>
        <v>0</v>
      </c>
      <c r="L109" s="114">
        <f t="shared" si="18"/>
        <v>0</v>
      </c>
      <c r="M109" s="114">
        <f t="shared" si="18"/>
        <v>44.1</v>
      </c>
      <c r="N109" s="119">
        <f t="shared" si="18"/>
        <v>0</v>
      </c>
      <c r="O109" s="111">
        <f t="shared" si="18"/>
        <v>44.1</v>
      </c>
      <c r="P109" s="97"/>
      <c r="Q109" s="97"/>
    </row>
    <row r="110" spans="1:17" ht="31.5" x14ac:dyDescent="0.2">
      <c r="A110" s="40"/>
      <c r="B110" s="118" t="s">
        <v>80</v>
      </c>
      <c r="C110" s="118" t="s">
        <v>51</v>
      </c>
      <c r="D110" s="136" t="s">
        <v>86</v>
      </c>
      <c r="E110" s="136" t="s">
        <v>81</v>
      </c>
      <c r="F110" s="134"/>
      <c r="G110" s="111">
        <f t="shared" si="18"/>
        <v>44.1</v>
      </c>
      <c r="H110" s="120">
        <f t="shared" si="18"/>
        <v>0</v>
      </c>
      <c r="I110" s="114">
        <f t="shared" si="18"/>
        <v>44.1</v>
      </c>
      <c r="J110" s="114">
        <f t="shared" si="18"/>
        <v>0</v>
      </c>
      <c r="K110" s="114">
        <f t="shared" si="18"/>
        <v>0</v>
      </c>
      <c r="L110" s="114">
        <f t="shared" si="18"/>
        <v>0</v>
      </c>
      <c r="M110" s="114">
        <f t="shared" si="18"/>
        <v>44.1</v>
      </c>
      <c r="N110" s="119">
        <f t="shared" si="18"/>
        <v>0</v>
      </c>
      <c r="O110" s="111">
        <f t="shared" si="18"/>
        <v>44.1</v>
      </c>
      <c r="P110" s="97"/>
      <c r="Q110" s="97"/>
    </row>
    <row r="111" spans="1:17" ht="31.5" x14ac:dyDescent="0.2">
      <c r="A111" s="40"/>
      <c r="B111" s="118" t="s">
        <v>82</v>
      </c>
      <c r="C111" s="118" t="s">
        <v>51</v>
      </c>
      <c r="D111" s="136" t="s">
        <v>86</v>
      </c>
      <c r="E111" s="136" t="s">
        <v>83</v>
      </c>
      <c r="F111" s="134"/>
      <c r="G111" s="111">
        <f t="shared" si="18"/>
        <v>44.1</v>
      </c>
      <c r="H111" s="120">
        <f t="shared" si="18"/>
        <v>0</v>
      </c>
      <c r="I111" s="114">
        <f t="shared" si="18"/>
        <v>44.1</v>
      </c>
      <c r="J111" s="114">
        <f t="shared" si="18"/>
        <v>0</v>
      </c>
      <c r="K111" s="114">
        <f t="shared" si="18"/>
        <v>0</v>
      </c>
      <c r="L111" s="114">
        <f t="shared" si="18"/>
        <v>0</v>
      </c>
      <c r="M111" s="114">
        <f t="shared" si="18"/>
        <v>44.1</v>
      </c>
      <c r="N111" s="119">
        <f t="shared" si="18"/>
        <v>0</v>
      </c>
      <c r="O111" s="111">
        <f t="shared" si="18"/>
        <v>44.1</v>
      </c>
      <c r="P111" s="97"/>
      <c r="Q111" s="97"/>
    </row>
    <row r="112" spans="1:17" ht="31.5" x14ac:dyDescent="0.2">
      <c r="A112" s="40"/>
      <c r="B112" s="113" t="s">
        <v>40</v>
      </c>
      <c r="C112" s="118" t="s">
        <v>51</v>
      </c>
      <c r="D112" s="136" t="s">
        <v>86</v>
      </c>
      <c r="E112" s="136" t="s">
        <v>83</v>
      </c>
      <c r="F112" s="134">
        <v>200</v>
      </c>
      <c r="G112" s="111">
        <v>44.1</v>
      </c>
      <c r="H112" s="111"/>
      <c r="I112" s="111">
        <f>SUM(G112:H112)</f>
        <v>44.1</v>
      </c>
      <c r="J112" s="115"/>
      <c r="K112" s="111"/>
      <c r="L112" s="115"/>
      <c r="M112" s="111">
        <f>G112+J112</f>
        <v>44.1</v>
      </c>
      <c r="N112" s="111">
        <f>H112+K112</f>
        <v>0</v>
      </c>
      <c r="O112" s="111">
        <f>SUM(M112:N112)</f>
        <v>44.1</v>
      </c>
      <c r="P112" s="97"/>
      <c r="Q112" s="97"/>
    </row>
    <row r="113" spans="1:17" ht="34.9" customHeight="1" x14ac:dyDescent="0.2">
      <c r="A113" s="40"/>
      <c r="B113" s="113" t="s">
        <v>147</v>
      </c>
      <c r="C113" s="113" t="s">
        <v>51</v>
      </c>
      <c r="D113" s="133" t="s">
        <v>86</v>
      </c>
      <c r="E113" s="133" t="s">
        <v>148</v>
      </c>
      <c r="F113" s="134" t="s">
        <v>11</v>
      </c>
      <c r="G113" s="111">
        <f t="shared" ref="G113:O115" si="19">G114</f>
        <v>865.3</v>
      </c>
      <c r="H113" s="111">
        <f t="shared" si="19"/>
        <v>0</v>
      </c>
      <c r="I113" s="111">
        <f t="shared" si="19"/>
        <v>865.3</v>
      </c>
      <c r="J113" s="114">
        <f t="shared" si="19"/>
        <v>0</v>
      </c>
      <c r="K113" s="111">
        <f>K114</f>
        <v>0</v>
      </c>
      <c r="L113" s="114">
        <f t="shared" si="19"/>
        <v>0</v>
      </c>
      <c r="M113" s="111">
        <f t="shared" si="19"/>
        <v>865.3</v>
      </c>
      <c r="N113" s="111">
        <f t="shared" si="19"/>
        <v>0</v>
      </c>
      <c r="O113" s="111">
        <f t="shared" si="19"/>
        <v>865.3</v>
      </c>
      <c r="P113" s="97"/>
      <c r="Q113" s="97"/>
    </row>
    <row r="114" spans="1:17" ht="31.5" x14ac:dyDescent="0.2">
      <c r="A114" s="40"/>
      <c r="B114" s="113" t="s">
        <v>149</v>
      </c>
      <c r="C114" s="113" t="s">
        <v>51</v>
      </c>
      <c r="D114" s="133" t="s">
        <v>86</v>
      </c>
      <c r="E114" s="133" t="s">
        <v>150</v>
      </c>
      <c r="F114" s="134" t="s">
        <v>11</v>
      </c>
      <c r="G114" s="111">
        <f t="shared" si="19"/>
        <v>865.3</v>
      </c>
      <c r="H114" s="111">
        <f t="shared" si="19"/>
        <v>0</v>
      </c>
      <c r="I114" s="111">
        <f t="shared" si="19"/>
        <v>865.3</v>
      </c>
      <c r="J114" s="114">
        <f t="shared" si="19"/>
        <v>0</v>
      </c>
      <c r="K114" s="111">
        <f>K115</f>
        <v>0</v>
      </c>
      <c r="L114" s="114">
        <f t="shared" si="19"/>
        <v>0</v>
      </c>
      <c r="M114" s="111">
        <f t="shared" si="19"/>
        <v>865.3</v>
      </c>
      <c r="N114" s="111">
        <f t="shared" si="19"/>
        <v>0</v>
      </c>
      <c r="O114" s="111">
        <f t="shared" si="19"/>
        <v>865.3</v>
      </c>
      <c r="P114" s="97"/>
      <c r="Q114" s="97"/>
    </row>
    <row r="115" spans="1:17" ht="31.5" x14ac:dyDescent="0.2">
      <c r="A115" s="40"/>
      <c r="B115" s="113" t="s">
        <v>151</v>
      </c>
      <c r="C115" s="113" t="s">
        <v>51</v>
      </c>
      <c r="D115" s="133" t="s">
        <v>86</v>
      </c>
      <c r="E115" s="133" t="s">
        <v>152</v>
      </c>
      <c r="F115" s="134" t="s">
        <v>11</v>
      </c>
      <c r="G115" s="111">
        <f>G116</f>
        <v>865.3</v>
      </c>
      <c r="H115" s="111">
        <f>SUM(H116)</f>
        <v>0</v>
      </c>
      <c r="I115" s="111">
        <f>I116</f>
        <v>865.3</v>
      </c>
      <c r="J115" s="114">
        <f t="shared" si="19"/>
        <v>0</v>
      </c>
      <c r="K115" s="111"/>
      <c r="L115" s="114">
        <f t="shared" si="19"/>
        <v>0</v>
      </c>
      <c r="M115" s="111">
        <f t="shared" si="19"/>
        <v>865.3</v>
      </c>
      <c r="N115" s="111">
        <f t="shared" si="19"/>
        <v>0</v>
      </c>
      <c r="O115" s="111">
        <f t="shared" si="19"/>
        <v>865.3</v>
      </c>
      <c r="P115" s="97"/>
      <c r="Q115" s="97"/>
    </row>
    <row r="116" spans="1:17" ht="22.5" customHeight="1" x14ac:dyDescent="0.2">
      <c r="A116" s="40"/>
      <c r="B116" s="113" t="s">
        <v>70</v>
      </c>
      <c r="C116" s="113" t="s">
        <v>51</v>
      </c>
      <c r="D116" s="133" t="s">
        <v>86</v>
      </c>
      <c r="E116" s="133" t="s">
        <v>152</v>
      </c>
      <c r="F116" s="134" t="s">
        <v>71</v>
      </c>
      <c r="G116" s="111">
        <v>865.3</v>
      </c>
      <c r="H116" s="111"/>
      <c r="I116" s="111">
        <f>SUM(G116)+H116</f>
        <v>865.3</v>
      </c>
      <c r="J116" s="115">
        <v>0</v>
      </c>
      <c r="K116" s="106">
        <f>K117+K153</f>
        <v>0</v>
      </c>
      <c r="L116" s="115">
        <v>0</v>
      </c>
      <c r="M116" s="111">
        <f>SUM(G116)</f>
        <v>865.3</v>
      </c>
      <c r="N116" s="111">
        <f>SUM(H116)</f>
        <v>0</v>
      </c>
      <c r="O116" s="111">
        <f>SUM(I116)</f>
        <v>865.3</v>
      </c>
      <c r="P116" s="97"/>
      <c r="Q116" s="97"/>
    </row>
    <row r="117" spans="1:17" ht="31.5" x14ac:dyDescent="0.2">
      <c r="A117" s="20" t="s">
        <v>153</v>
      </c>
      <c r="B117" s="107" t="s">
        <v>154</v>
      </c>
      <c r="C117" s="107" t="s">
        <v>51</v>
      </c>
      <c r="D117" s="129" t="s">
        <v>155</v>
      </c>
      <c r="E117" s="133" t="s">
        <v>11</v>
      </c>
      <c r="F117" s="134" t="s">
        <v>11</v>
      </c>
      <c r="G117" s="106">
        <f>G124+G154+G118</f>
        <v>46470.900000000009</v>
      </c>
      <c r="H117" s="109">
        <f>SUM(H118)+H124+H154</f>
        <v>2843.2000000000003</v>
      </c>
      <c r="I117" s="106">
        <f>I124+I154+I118</f>
        <v>49314.1</v>
      </c>
      <c r="J117" s="108">
        <f>J124+J154</f>
        <v>0</v>
      </c>
      <c r="K117" s="109">
        <f>K124</f>
        <v>0</v>
      </c>
      <c r="L117" s="108">
        <f>L124+L154</f>
        <v>0</v>
      </c>
      <c r="M117" s="106">
        <f>M124+M154+M118</f>
        <v>46470.900000000009</v>
      </c>
      <c r="N117" s="106">
        <f t="shared" ref="N117:N124" si="20">SUM(H117)</f>
        <v>2843.2000000000003</v>
      </c>
      <c r="O117" s="106">
        <f>O124+O154+O118</f>
        <v>49314.1</v>
      </c>
      <c r="P117" s="97"/>
      <c r="Q117" s="97"/>
    </row>
    <row r="118" spans="1:17" ht="15.75" x14ac:dyDescent="0.2">
      <c r="A118" s="20"/>
      <c r="B118" s="116" t="s">
        <v>556</v>
      </c>
      <c r="C118" s="110">
        <v>992</v>
      </c>
      <c r="D118" s="137" t="s">
        <v>555</v>
      </c>
      <c r="E118" s="133"/>
      <c r="F118" s="134"/>
      <c r="G118" s="109">
        <v>1200</v>
      </c>
      <c r="H118" s="109">
        <f>SUM(H122)</f>
        <v>0</v>
      </c>
      <c r="I118" s="109">
        <f>SUM(I122)</f>
        <v>1200</v>
      </c>
      <c r="J118" s="112"/>
      <c r="K118" s="109"/>
      <c r="L118" s="112"/>
      <c r="M118" s="109">
        <f>SUM(G118)</f>
        <v>1200</v>
      </c>
      <c r="N118" s="109">
        <f t="shared" si="20"/>
        <v>0</v>
      </c>
      <c r="O118" s="109">
        <f>SUM(I118)</f>
        <v>1200</v>
      </c>
      <c r="P118" s="97"/>
      <c r="Q118" s="97"/>
    </row>
    <row r="119" spans="1:17" ht="31.5" x14ac:dyDescent="0.2">
      <c r="A119" s="20"/>
      <c r="B119" s="113" t="s">
        <v>159</v>
      </c>
      <c r="C119" s="113" t="s">
        <v>51</v>
      </c>
      <c r="D119" s="136" t="s">
        <v>555</v>
      </c>
      <c r="E119" s="133" t="s">
        <v>160</v>
      </c>
      <c r="F119" s="134"/>
      <c r="G119" s="114">
        <f>G120</f>
        <v>1200</v>
      </c>
      <c r="H119" s="114">
        <f>H120</f>
        <v>0</v>
      </c>
      <c r="I119" s="114">
        <f>I120</f>
        <v>1200</v>
      </c>
      <c r="J119" s="114">
        <f t="shared" ref="J119:O119" si="21">J120</f>
        <v>0</v>
      </c>
      <c r="K119" s="114">
        <f t="shared" si="21"/>
        <v>0</v>
      </c>
      <c r="L119" s="114">
        <f t="shared" si="21"/>
        <v>0</v>
      </c>
      <c r="M119" s="114">
        <f t="shared" si="21"/>
        <v>1200</v>
      </c>
      <c r="N119" s="114">
        <f t="shared" si="21"/>
        <v>0</v>
      </c>
      <c r="O119" s="114">
        <f t="shared" si="21"/>
        <v>1200</v>
      </c>
      <c r="P119" s="97"/>
      <c r="Q119" s="97"/>
    </row>
    <row r="120" spans="1:17" ht="31.5" x14ac:dyDescent="0.2">
      <c r="A120" s="20"/>
      <c r="B120" s="138" t="s">
        <v>159</v>
      </c>
      <c r="C120" s="113">
        <v>992</v>
      </c>
      <c r="D120" s="139" t="s">
        <v>555</v>
      </c>
      <c r="E120" s="136" t="s">
        <v>162</v>
      </c>
      <c r="F120" s="134"/>
      <c r="G120" s="111">
        <v>1200</v>
      </c>
      <c r="H120" s="117">
        <f>SUM(H122)</f>
        <v>0</v>
      </c>
      <c r="I120" s="117">
        <f>SUM(I122)</f>
        <v>1200</v>
      </c>
      <c r="J120" s="114"/>
      <c r="K120" s="117"/>
      <c r="L120" s="114"/>
      <c r="M120" s="111">
        <f>SUM(G120)</f>
        <v>1200</v>
      </c>
      <c r="N120" s="111">
        <f t="shared" si="20"/>
        <v>0</v>
      </c>
      <c r="O120" s="111">
        <f>SUM(I120)</f>
        <v>1200</v>
      </c>
      <c r="P120" s="97"/>
      <c r="Q120" s="97"/>
    </row>
    <row r="121" spans="1:17" ht="63" x14ac:dyDescent="0.2">
      <c r="A121" s="20"/>
      <c r="B121" s="138" t="s">
        <v>161</v>
      </c>
      <c r="C121" s="113">
        <v>992</v>
      </c>
      <c r="D121" s="139" t="s">
        <v>555</v>
      </c>
      <c r="E121" s="136" t="s">
        <v>558</v>
      </c>
      <c r="F121" s="134"/>
      <c r="G121" s="111">
        <v>1200</v>
      </c>
      <c r="H121" s="117">
        <f>SUM(H123)</f>
        <v>0</v>
      </c>
      <c r="I121" s="117">
        <f>SUM(I123)</f>
        <v>1200</v>
      </c>
      <c r="J121" s="114"/>
      <c r="K121" s="117"/>
      <c r="L121" s="114"/>
      <c r="M121" s="111">
        <f>SUM(G121)</f>
        <v>1200</v>
      </c>
      <c r="N121" s="111">
        <f t="shared" si="20"/>
        <v>0</v>
      </c>
      <c r="O121" s="111">
        <f>SUM(I121)</f>
        <v>1200</v>
      </c>
      <c r="P121" s="97"/>
      <c r="Q121" s="97"/>
    </row>
    <row r="122" spans="1:17" ht="31.5" x14ac:dyDescent="0.2">
      <c r="A122" s="20"/>
      <c r="B122" s="138" t="s">
        <v>557</v>
      </c>
      <c r="C122" s="113">
        <v>992</v>
      </c>
      <c r="D122" s="139" t="s">
        <v>555</v>
      </c>
      <c r="E122" s="136" t="s">
        <v>554</v>
      </c>
      <c r="F122" s="134"/>
      <c r="G122" s="111">
        <v>1200</v>
      </c>
      <c r="H122" s="117"/>
      <c r="I122" s="111">
        <f>SUM(G122)+H122</f>
        <v>1200</v>
      </c>
      <c r="J122" s="114"/>
      <c r="K122" s="117"/>
      <c r="L122" s="114"/>
      <c r="M122" s="111">
        <f>SUM(G122)</f>
        <v>1200</v>
      </c>
      <c r="N122" s="111">
        <f t="shared" si="20"/>
        <v>0</v>
      </c>
      <c r="O122" s="111">
        <f>SUM(I122)</f>
        <v>1200</v>
      </c>
      <c r="P122" s="97"/>
      <c r="Q122" s="97"/>
    </row>
    <row r="123" spans="1:17" ht="31.5" x14ac:dyDescent="0.2">
      <c r="A123" s="20"/>
      <c r="B123" s="113" t="s">
        <v>40</v>
      </c>
      <c r="C123" s="113">
        <v>992</v>
      </c>
      <c r="D123" s="139" t="s">
        <v>555</v>
      </c>
      <c r="E123" s="136" t="s">
        <v>554</v>
      </c>
      <c r="F123" s="134">
        <v>200</v>
      </c>
      <c r="G123" s="111">
        <v>1200</v>
      </c>
      <c r="H123" s="117"/>
      <c r="I123" s="111">
        <f>SUM(G123)+H123</f>
        <v>1200</v>
      </c>
      <c r="J123" s="114"/>
      <c r="K123" s="117"/>
      <c r="L123" s="114"/>
      <c r="M123" s="111">
        <f>SUM(G123)</f>
        <v>1200</v>
      </c>
      <c r="N123" s="111">
        <f t="shared" si="20"/>
        <v>0</v>
      </c>
      <c r="O123" s="111">
        <f>SUM(I123)</f>
        <v>1200</v>
      </c>
      <c r="P123" s="97"/>
      <c r="Q123" s="97"/>
    </row>
    <row r="124" spans="1:17" ht="63" x14ac:dyDescent="0.2">
      <c r="A124" s="33" t="s">
        <v>156</v>
      </c>
      <c r="B124" s="110" t="s">
        <v>157</v>
      </c>
      <c r="C124" s="110" t="s">
        <v>51</v>
      </c>
      <c r="D124" s="131" t="s">
        <v>158</v>
      </c>
      <c r="E124" s="131" t="s">
        <v>11</v>
      </c>
      <c r="F124" s="132" t="s">
        <v>11</v>
      </c>
      <c r="G124" s="109">
        <f>G125+G142</f>
        <v>38003.600000000006</v>
      </c>
      <c r="H124" s="111">
        <f>H125+H141+H142</f>
        <v>2933.9</v>
      </c>
      <c r="I124" s="109">
        <f>I125+I142</f>
        <v>40937.5</v>
      </c>
      <c r="J124" s="112">
        <f>J125</f>
        <v>0</v>
      </c>
      <c r="K124" s="111">
        <f>K125+K141+K149</f>
        <v>0</v>
      </c>
      <c r="L124" s="112">
        <f>L125</f>
        <v>0</v>
      </c>
      <c r="M124" s="109">
        <f>M125+M142</f>
        <v>38003.600000000006</v>
      </c>
      <c r="N124" s="109">
        <f t="shared" si="20"/>
        <v>2933.9</v>
      </c>
      <c r="O124" s="109">
        <f>O125+O142</f>
        <v>40937.5</v>
      </c>
      <c r="P124" s="97"/>
      <c r="Q124" s="97"/>
    </row>
    <row r="125" spans="1:17" ht="31.5" x14ac:dyDescent="0.2">
      <c r="A125" s="40"/>
      <c r="B125" s="113" t="s">
        <v>159</v>
      </c>
      <c r="C125" s="113" t="s">
        <v>51</v>
      </c>
      <c r="D125" s="133" t="s">
        <v>158</v>
      </c>
      <c r="E125" s="133" t="s">
        <v>160</v>
      </c>
      <c r="F125" s="134" t="s">
        <v>11</v>
      </c>
      <c r="G125" s="111">
        <f>G126+G146+G150</f>
        <v>37240.300000000003</v>
      </c>
      <c r="H125" s="111">
        <f>H126+H135+H138+H146+H150</f>
        <v>2802.1</v>
      </c>
      <c r="I125" s="111">
        <f>I126+I146+I150</f>
        <v>40174.199999999997</v>
      </c>
      <c r="J125" s="114">
        <f>J126+J146+J150</f>
        <v>0</v>
      </c>
      <c r="K125" s="111">
        <f>K126+K135+K138</f>
        <v>0</v>
      </c>
      <c r="L125" s="114">
        <f>L126+L146+L150</f>
        <v>0</v>
      </c>
      <c r="M125" s="111">
        <f>M126+M146+M150</f>
        <v>37240.300000000003</v>
      </c>
      <c r="N125" s="111">
        <f>N126+N146+N150</f>
        <v>2933.9</v>
      </c>
      <c r="O125" s="111">
        <f>O126+O146+O150</f>
        <v>40174.199999999997</v>
      </c>
      <c r="P125" s="97"/>
      <c r="Q125" s="97"/>
    </row>
    <row r="126" spans="1:17" ht="63" x14ac:dyDescent="0.2">
      <c r="A126" s="40"/>
      <c r="B126" s="113" t="s">
        <v>161</v>
      </c>
      <c r="C126" s="113" t="s">
        <v>51</v>
      </c>
      <c r="D126" s="133" t="s">
        <v>158</v>
      </c>
      <c r="E126" s="133" t="s">
        <v>162</v>
      </c>
      <c r="F126" s="134" t="s">
        <v>11</v>
      </c>
      <c r="G126" s="111">
        <f>G127+G136+G139</f>
        <v>33479.4</v>
      </c>
      <c r="H126" s="111">
        <f>H127</f>
        <v>700</v>
      </c>
      <c r="I126" s="111">
        <f>I127+I136+I139</f>
        <v>36005.599999999999</v>
      </c>
      <c r="J126" s="114">
        <f>J127+J136+J139</f>
        <v>0</v>
      </c>
      <c r="K126" s="111">
        <f>K127+K131+K133</f>
        <v>0</v>
      </c>
      <c r="L126" s="114">
        <f>L127+L136+L139</f>
        <v>0</v>
      </c>
      <c r="M126" s="111">
        <f>M127+M136+M139</f>
        <v>33479.4</v>
      </c>
      <c r="N126" s="111">
        <f>N127+N136+N139</f>
        <v>2526.2000000000003</v>
      </c>
      <c r="O126" s="111">
        <f>O127+O136+O139</f>
        <v>36005.599999999999</v>
      </c>
      <c r="P126" s="97"/>
      <c r="Q126" s="97"/>
    </row>
    <row r="127" spans="1:17" ht="63" x14ac:dyDescent="0.2">
      <c r="A127" s="40"/>
      <c r="B127" s="113" t="s">
        <v>163</v>
      </c>
      <c r="C127" s="113" t="s">
        <v>51</v>
      </c>
      <c r="D127" s="133" t="s">
        <v>158</v>
      </c>
      <c r="E127" s="133" t="s">
        <v>164</v>
      </c>
      <c r="F127" s="134" t="s">
        <v>11</v>
      </c>
      <c r="G127" s="111">
        <f>G128+G132+G134</f>
        <v>18378.7</v>
      </c>
      <c r="H127" s="111">
        <f>SUM(H128+H132)</f>
        <v>700</v>
      </c>
      <c r="I127" s="111">
        <f>I128+I132+I134</f>
        <v>19078.7</v>
      </c>
      <c r="J127" s="114">
        <f>J128+J132+J134</f>
        <v>0</v>
      </c>
      <c r="K127" s="111">
        <f>K128+K129+K130</f>
        <v>0</v>
      </c>
      <c r="L127" s="114">
        <f>L128+L132+L134</f>
        <v>0</v>
      </c>
      <c r="M127" s="111">
        <f>M128+M132+M134</f>
        <v>18378.7</v>
      </c>
      <c r="N127" s="111">
        <f>N128+N132+N134</f>
        <v>700</v>
      </c>
      <c r="O127" s="111">
        <f>O128+O132+O134</f>
        <v>19078.7</v>
      </c>
      <c r="P127" s="97"/>
      <c r="Q127" s="97"/>
    </row>
    <row r="128" spans="1:17" ht="31.5" x14ac:dyDescent="0.2">
      <c r="A128" s="40"/>
      <c r="B128" s="113" t="s">
        <v>134</v>
      </c>
      <c r="C128" s="113" t="s">
        <v>51</v>
      </c>
      <c r="D128" s="133" t="s">
        <v>158</v>
      </c>
      <c r="E128" s="133" t="s">
        <v>165</v>
      </c>
      <c r="F128" s="134" t="s">
        <v>11</v>
      </c>
      <c r="G128" s="111">
        <f>G129+G130+G131</f>
        <v>11968.5</v>
      </c>
      <c r="H128" s="111">
        <f>SUM(H129+H130)</f>
        <v>0</v>
      </c>
      <c r="I128" s="111">
        <f>I129+I130+I131</f>
        <v>11968.5</v>
      </c>
      <c r="J128" s="114">
        <f>J129+J130+J131</f>
        <v>0</v>
      </c>
      <c r="K128" s="111"/>
      <c r="L128" s="114">
        <f>L129+L130+L131</f>
        <v>0</v>
      </c>
      <c r="M128" s="111">
        <f>SUM(G128)</f>
        <v>11968.5</v>
      </c>
      <c r="N128" s="111">
        <f>N129+N130+N131</f>
        <v>0</v>
      </c>
      <c r="O128" s="111">
        <f>SUM(I128)</f>
        <v>11968.5</v>
      </c>
      <c r="P128" s="97"/>
      <c r="Q128" s="97"/>
    </row>
    <row r="129" spans="1:17" ht="42" customHeight="1" x14ac:dyDescent="0.2">
      <c r="A129" s="40"/>
      <c r="B129" s="113" t="s">
        <v>61</v>
      </c>
      <c r="C129" s="113" t="s">
        <v>51</v>
      </c>
      <c r="D129" s="133" t="s">
        <v>158</v>
      </c>
      <c r="E129" s="133" t="s">
        <v>165</v>
      </c>
      <c r="F129" s="134" t="s">
        <v>62</v>
      </c>
      <c r="G129" s="111">
        <v>10420.200000000001</v>
      </c>
      <c r="H129" s="111"/>
      <c r="I129" s="111">
        <f>SUM(G129)+H129</f>
        <v>10420.200000000001</v>
      </c>
      <c r="J129" s="115">
        <v>0</v>
      </c>
      <c r="K129" s="111"/>
      <c r="L129" s="115">
        <v>0</v>
      </c>
      <c r="M129" s="111">
        <f>SUM(G129)</f>
        <v>10420.200000000001</v>
      </c>
      <c r="N129" s="111">
        <f>SUM(H129)</f>
        <v>0</v>
      </c>
      <c r="O129" s="111">
        <f>SUM(I129)</f>
        <v>10420.200000000001</v>
      </c>
      <c r="P129" s="97"/>
      <c r="Q129" s="97"/>
    </row>
    <row r="130" spans="1:17" ht="31.5" x14ac:dyDescent="0.2">
      <c r="A130" s="40"/>
      <c r="B130" s="113" t="s">
        <v>40</v>
      </c>
      <c r="C130" s="113" t="s">
        <v>51</v>
      </c>
      <c r="D130" s="133" t="s">
        <v>158</v>
      </c>
      <c r="E130" s="133" t="s">
        <v>165</v>
      </c>
      <c r="F130" s="134" t="s">
        <v>41</v>
      </c>
      <c r="G130" s="111">
        <v>1525.3</v>
      </c>
      <c r="H130" s="111"/>
      <c r="I130" s="111">
        <f>SUM(G130)+H130</f>
        <v>1525.3</v>
      </c>
      <c r="J130" s="115">
        <v>0</v>
      </c>
      <c r="K130" s="111"/>
      <c r="L130" s="115">
        <v>0</v>
      </c>
      <c r="M130" s="111">
        <f>SUM(G130)</f>
        <v>1525.3</v>
      </c>
      <c r="N130" s="111">
        <f>SUM(H130)</f>
        <v>0</v>
      </c>
      <c r="O130" s="111">
        <f>SUM(I130)</f>
        <v>1525.3</v>
      </c>
      <c r="P130" s="97"/>
      <c r="Q130" s="97"/>
    </row>
    <row r="131" spans="1:17" ht="15.75" x14ac:dyDescent="0.2">
      <c r="A131" s="40"/>
      <c r="B131" s="113" t="s">
        <v>70</v>
      </c>
      <c r="C131" s="113" t="s">
        <v>51</v>
      </c>
      <c r="D131" s="133" t="s">
        <v>158</v>
      </c>
      <c r="E131" s="133" t="s">
        <v>165</v>
      </c>
      <c r="F131" s="134" t="s">
        <v>71</v>
      </c>
      <c r="G131" s="111">
        <v>23</v>
      </c>
      <c r="H131" s="111"/>
      <c r="I131" s="111">
        <v>23</v>
      </c>
      <c r="J131" s="115">
        <v>0</v>
      </c>
      <c r="K131" s="111"/>
      <c r="L131" s="115">
        <v>0</v>
      </c>
      <c r="M131" s="111">
        <v>23</v>
      </c>
      <c r="N131" s="111"/>
      <c r="O131" s="111">
        <v>23</v>
      </c>
      <c r="P131" s="97"/>
      <c r="Q131" s="97"/>
    </row>
    <row r="132" spans="1:17" ht="63" x14ac:dyDescent="0.2">
      <c r="A132" s="40"/>
      <c r="B132" s="113" t="s">
        <v>166</v>
      </c>
      <c r="C132" s="113" t="s">
        <v>51</v>
      </c>
      <c r="D132" s="133" t="s">
        <v>158</v>
      </c>
      <c r="E132" s="133" t="s">
        <v>167</v>
      </c>
      <c r="F132" s="134" t="s">
        <v>11</v>
      </c>
      <c r="G132" s="111">
        <f>G133</f>
        <v>5410.2</v>
      </c>
      <c r="H132" s="111">
        <f>SUM(H133)</f>
        <v>700</v>
      </c>
      <c r="I132" s="111">
        <f>I133</f>
        <v>6110.2</v>
      </c>
      <c r="J132" s="114">
        <f>J133</f>
        <v>0</v>
      </c>
      <c r="K132" s="111"/>
      <c r="L132" s="114">
        <f>L133</f>
        <v>0</v>
      </c>
      <c r="M132" s="111">
        <f>M133</f>
        <v>5410.2</v>
      </c>
      <c r="N132" s="111">
        <f>N133</f>
        <v>700</v>
      </c>
      <c r="O132" s="111">
        <f>O133</f>
        <v>6110.2</v>
      </c>
      <c r="P132" s="97"/>
      <c r="Q132" s="97"/>
    </row>
    <row r="133" spans="1:17" ht="31.5" x14ac:dyDescent="0.2">
      <c r="A133" s="40"/>
      <c r="B133" s="113" t="s">
        <v>40</v>
      </c>
      <c r="C133" s="113" t="s">
        <v>51</v>
      </c>
      <c r="D133" s="133" t="s">
        <v>158</v>
      </c>
      <c r="E133" s="133" t="s">
        <v>167</v>
      </c>
      <c r="F133" s="134" t="s">
        <v>41</v>
      </c>
      <c r="G133" s="111">
        <v>5410.2</v>
      </c>
      <c r="H133" s="111">
        <v>700</v>
      </c>
      <c r="I133" s="111">
        <f>SUM(G133)+H133</f>
        <v>6110.2</v>
      </c>
      <c r="J133" s="115"/>
      <c r="K133" s="111"/>
      <c r="L133" s="115"/>
      <c r="M133" s="111">
        <f>SUM(G133)</f>
        <v>5410.2</v>
      </c>
      <c r="N133" s="111">
        <f>SUM(H133)</f>
        <v>700</v>
      </c>
      <c r="O133" s="111">
        <f>SUM(M133)+N133</f>
        <v>6110.2</v>
      </c>
      <c r="P133" s="97"/>
      <c r="Q133" s="97"/>
    </row>
    <row r="134" spans="1:17" ht="63" x14ac:dyDescent="0.2">
      <c r="A134" s="40"/>
      <c r="B134" s="113" t="s">
        <v>168</v>
      </c>
      <c r="C134" s="113" t="s">
        <v>51</v>
      </c>
      <c r="D134" s="133" t="s">
        <v>158</v>
      </c>
      <c r="E134" s="133" t="s">
        <v>169</v>
      </c>
      <c r="F134" s="134" t="s">
        <v>11</v>
      </c>
      <c r="G134" s="111">
        <f>G135</f>
        <v>1000</v>
      </c>
      <c r="H134" s="111"/>
      <c r="I134" s="111">
        <f>I135</f>
        <v>1000</v>
      </c>
      <c r="J134" s="114">
        <f>J135</f>
        <v>0</v>
      </c>
      <c r="K134" s="111"/>
      <c r="L134" s="114">
        <f>L135</f>
        <v>0</v>
      </c>
      <c r="M134" s="111">
        <f>M135</f>
        <v>1000</v>
      </c>
      <c r="N134" s="111">
        <f>N135</f>
        <v>0</v>
      </c>
      <c r="O134" s="111">
        <f>O135</f>
        <v>1000</v>
      </c>
      <c r="P134" s="97"/>
      <c r="Q134" s="97"/>
    </row>
    <row r="135" spans="1:17" ht="31.5" x14ac:dyDescent="0.2">
      <c r="A135" s="40"/>
      <c r="B135" s="113" t="s">
        <v>40</v>
      </c>
      <c r="C135" s="113" t="s">
        <v>51</v>
      </c>
      <c r="D135" s="133" t="s">
        <v>158</v>
      </c>
      <c r="E135" s="133" t="s">
        <v>169</v>
      </c>
      <c r="F135" s="134" t="s">
        <v>41</v>
      </c>
      <c r="G135" s="111">
        <v>1000</v>
      </c>
      <c r="H135" s="111"/>
      <c r="I135" s="111">
        <v>1000</v>
      </c>
      <c r="J135" s="115"/>
      <c r="K135" s="111"/>
      <c r="L135" s="115"/>
      <c r="M135" s="111">
        <v>1000</v>
      </c>
      <c r="N135" s="111"/>
      <c r="O135" s="111">
        <v>1000</v>
      </c>
      <c r="P135" s="97"/>
      <c r="Q135" s="97"/>
    </row>
    <row r="136" spans="1:17" ht="37.9" customHeight="1" x14ac:dyDescent="0.2">
      <c r="A136" s="40"/>
      <c r="B136" s="113" t="s">
        <v>170</v>
      </c>
      <c r="C136" s="113" t="s">
        <v>51</v>
      </c>
      <c r="D136" s="133" t="s">
        <v>158</v>
      </c>
      <c r="E136" s="133" t="s">
        <v>171</v>
      </c>
      <c r="F136" s="134" t="s">
        <v>11</v>
      </c>
      <c r="G136" s="111">
        <f t="shared" ref="G136:O137" si="22">G137</f>
        <v>13584.1</v>
      </c>
      <c r="H136" s="111">
        <f t="shared" si="22"/>
        <v>1694.4</v>
      </c>
      <c r="I136" s="111">
        <f t="shared" si="22"/>
        <v>15278.5</v>
      </c>
      <c r="J136" s="114">
        <f t="shared" si="22"/>
        <v>0</v>
      </c>
      <c r="K136" s="111">
        <f t="shared" si="22"/>
        <v>0</v>
      </c>
      <c r="L136" s="114">
        <f t="shared" si="22"/>
        <v>0</v>
      </c>
      <c r="M136" s="111">
        <f t="shared" si="22"/>
        <v>13584.1</v>
      </c>
      <c r="N136" s="111">
        <f t="shared" si="22"/>
        <v>1694.4</v>
      </c>
      <c r="O136" s="111">
        <f t="shared" si="22"/>
        <v>15278.5</v>
      </c>
      <c r="P136" s="97"/>
      <c r="Q136" s="97"/>
    </row>
    <row r="137" spans="1:17" ht="94.5" x14ac:dyDescent="0.2">
      <c r="A137" s="40"/>
      <c r="B137" s="113" t="s">
        <v>172</v>
      </c>
      <c r="C137" s="113" t="s">
        <v>51</v>
      </c>
      <c r="D137" s="133" t="s">
        <v>158</v>
      </c>
      <c r="E137" s="133" t="s">
        <v>173</v>
      </c>
      <c r="F137" s="134" t="s">
        <v>11</v>
      </c>
      <c r="G137" s="111">
        <f t="shared" si="22"/>
        <v>13584.1</v>
      </c>
      <c r="H137" s="111">
        <f>SUM(H138)</f>
        <v>1694.4</v>
      </c>
      <c r="I137" s="111">
        <f t="shared" si="22"/>
        <v>15278.5</v>
      </c>
      <c r="J137" s="114">
        <f t="shared" si="22"/>
        <v>0</v>
      </c>
      <c r="K137" s="111"/>
      <c r="L137" s="114">
        <f t="shared" si="22"/>
        <v>0</v>
      </c>
      <c r="M137" s="111">
        <f t="shared" si="22"/>
        <v>13584.1</v>
      </c>
      <c r="N137" s="111">
        <f t="shared" si="22"/>
        <v>1694.4</v>
      </c>
      <c r="O137" s="111">
        <f t="shared" si="22"/>
        <v>15278.5</v>
      </c>
      <c r="P137" s="97"/>
      <c r="Q137" s="97"/>
    </row>
    <row r="138" spans="1:17" ht="15.75" x14ac:dyDescent="0.2">
      <c r="A138" s="40"/>
      <c r="B138" s="113" t="s">
        <v>47</v>
      </c>
      <c r="C138" s="113" t="s">
        <v>51</v>
      </c>
      <c r="D138" s="133" t="s">
        <v>158</v>
      </c>
      <c r="E138" s="133" t="s">
        <v>173</v>
      </c>
      <c r="F138" s="134" t="s">
        <v>48</v>
      </c>
      <c r="G138" s="111">
        <f>13584.2-0.1</f>
        <v>13584.1</v>
      </c>
      <c r="H138" s="111">
        <v>1694.4</v>
      </c>
      <c r="I138" s="111">
        <f>13584.2-0.1+H138</f>
        <v>15278.5</v>
      </c>
      <c r="J138" s="115">
        <v>0</v>
      </c>
      <c r="K138" s="111">
        <f t="shared" ref="G138:O140" si="23">K139</f>
        <v>0</v>
      </c>
      <c r="L138" s="115">
        <v>0</v>
      </c>
      <c r="M138" s="111">
        <f>13584.2-0.1</f>
        <v>13584.1</v>
      </c>
      <c r="N138" s="111">
        <f>SUM(H138)</f>
        <v>1694.4</v>
      </c>
      <c r="O138" s="111">
        <f>13584.2-0.1+N138</f>
        <v>15278.5</v>
      </c>
      <c r="P138" s="97"/>
      <c r="Q138" s="97"/>
    </row>
    <row r="139" spans="1:17" ht="63" x14ac:dyDescent="0.2">
      <c r="A139" s="40"/>
      <c r="B139" s="113" t="s">
        <v>174</v>
      </c>
      <c r="C139" s="113" t="s">
        <v>51</v>
      </c>
      <c r="D139" s="133" t="s">
        <v>158</v>
      </c>
      <c r="E139" s="133" t="s">
        <v>175</v>
      </c>
      <c r="F139" s="134" t="s">
        <v>11</v>
      </c>
      <c r="G139" s="111">
        <f t="shared" si="23"/>
        <v>1516.6000000000001</v>
      </c>
      <c r="H139" s="111">
        <f t="shared" si="23"/>
        <v>131.80000000000001</v>
      </c>
      <c r="I139" s="111">
        <f t="shared" si="23"/>
        <v>1648.4</v>
      </c>
      <c r="J139" s="114">
        <f t="shared" si="23"/>
        <v>0</v>
      </c>
      <c r="K139" s="111">
        <f t="shared" si="23"/>
        <v>0</v>
      </c>
      <c r="L139" s="114">
        <f t="shared" si="23"/>
        <v>0</v>
      </c>
      <c r="M139" s="111">
        <f t="shared" si="23"/>
        <v>1516.6000000000001</v>
      </c>
      <c r="N139" s="111">
        <f t="shared" si="23"/>
        <v>131.80000000000001</v>
      </c>
      <c r="O139" s="111">
        <f t="shared" si="23"/>
        <v>1648.4</v>
      </c>
      <c r="P139" s="97"/>
      <c r="Q139" s="97"/>
    </row>
    <row r="140" spans="1:17" ht="78.75" x14ac:dyDescent="0.2">
      <c r="A140" s="40"/>
      <c r="B140" s="113" t="s">
        <v>176</v>
      </c>
      <c r="C140" s="113" t="s">
        <v>51</v>
      </c>
      <c r="D140" s="133" t="s">
        <v>158</v>
      </c>
      <c r="E140" s="133" t="s">
        <v>177</v>
      </c>
      <c r="F140" s="134" t="s">
        <v>11</v>
      </c>
      <c r="G140" s="111">
        <f t="shared" si="23"/>
        <v>1516.6000000000001</v>
      </c>
      <c r="H140" s="111">
        <v>131.80000000000001</v>
      </c>
      <c r="I140" s="111">
        <f t="shared" si="23"/>
        <v>1648.4</v>
      </c>
      <c r="J140" s="114">
        <f t="shared" si="23"/>
        <v>0</v>
      </c>
      <c r="K140" s="111"/>
      <c r="L140" s="114">
        <f t="shared" si="23"/>
        <v>0</v>
      </c>
      <c r="M140" s="111">
        <f t="shared" si="23"/>
        <v>1516.6000000000001</v>
      </c>
      <c r="N140" s="111">
        <f t="shared" si="23"/>
        <v>131.80000000000001</v>
      </c>
      <c r="O140" s="111">
        <f t="shared" si="23"/>
        <v>1648.4</v>
      </c>
      <c r="P140" s="97"/>
      <c r="Q140" s="97"/>
    </row>
    <row r="141" spans="1:17" ht="15.75" x14ac:dyDescent="0.2">
      <c r="A141" s="40"/>
      <c r="B141" s="113" t="s">
        <v>178</v>
      </c>
      <c r="C141" s="113" t="s">
        <v>51</v>
      </c>
      <c r="D141" s="133" t="s">
        <v>158</v>
      </c>
      <c r="E141" s="133" t="s">
        <v>177</v>
      </c>
      <c r="F141" s="134" t="s">
        <v>48</v>
      </c>
      <c r="G141" s="111">
        <f>1516.7-0.1</f>
        <v>1516.6000000000001</v>
      </c>
      <c r="H141" s="111">
        <v>131.80000000000001</v>
      </c>
      <c r="I141" s="111">
        <f>1516.7-0.1+H141</f>
        <v>1648.4</v>
      </c>
      <c r="J141" s="115">
        <v>0</v>
      </c>
      <c r="K141" s="111"/>
      <c r="L141" s="115">
        <v>0</v>
      </c>
      <c r="M141" s="111">
        <f>1516.7-0.1</f>
        <v>1516.6000000000001</v>
      </c>
      <c r="N141" s="111">
        <f>SUM(H141)</f>
        <v>131.80000000000001</v>
      </c>
      <c r="O141" s="111">
        <f>1516.7-0.1+N141</f>
        <v>1648.4</v>
      </c>
      <c r="P141" s="97"/>
      <c r="Q141" s="97"/>
    </row>
    <row r="142" spans="1:17" ht="31.5" x14ac:dyDescent="0.2">
      <c r="A142" s="40"/>
      <c r="B142" s="113" t="s">
        <v>66</v>
      </c>
      <c r="C142" s="113">
        <v>992</v>
      </c>
      <c r="D142" s="133" t="s">
        <v>158</v>
      </c>
      <c r="E142" s="133">
        <v>5200000000</v>
      </c>
      <c r="F142" s="134"/>
      <c r="G142" s="111">
        <v>763.3</v>
      </c>
      <c r="H142" s="111"/>
      <c r="I142" s="111">
        <f>SUM(G142)</f>
        <v>763.3</v>
      </c>
      <c r="J142" s="115"/>
      <c r="K142" s="111"/>
      <c r="L142" s="115"/>
      <c r="M142" s="111">
        <f>SUM(G142)</f>
        <v>763.3</v>
      </c>
      <c r="N142" s="111">
        <f t="shared" ref="N142:O144" si="24">SUM(H142)</f>
        <v>0</v>
      </c>
      <c r="O142" s="111">
        <f t="shared" si="24"/>
        <v>763.3</v>
      </c>
      <c r="P142" s="97"/>
      <c r="Q142" s="97"/>
    </row>
    <row r="143" spans="1:17" ht="31.5" x14ac:dyDescent="0.2">
      <c r="A143" s="40"/>
      <c r="B143" s="113" t="s">
        <v>80</v>
      </c>
      <c r="C143" s="113">
        <v>992</v>
      </c>
      <c r="D143" s="133" t="s">
        <v>158</v>
      </c>
      <c r="E143" s="133">
        <v>5230000000</v>
      </c>
      <c r="F143" s="134"/>
      <c r="G143" s="111">
        <v>763.3</v>
      </c>
      <c r="H143" s="111"/>
      <c r="I143" s="111">
        <f>SUM(G143)</f>
        <v>763.3</v>
      </c>
      <c r="J143" s="115"/>
      <c r="K143" s="111"/>
      <c r="L143" s="115"/>
      <c r="M143" s="111">
        <f>SUM(G143)</f>
        <v>763.3</v>
      </c>
      <c r="N143" s="111">
        <f t="shared" si="24"/>
        <v>0</v>
      </c>
      <c r="O143" s="111">
        <f t="shared" si="24"/>
        <v>763.3</v>
      </c>
      <c r="P143" s="97"/>
      <c r="Q143" s="97"/>
    </row>
    <row r="144" spans="1:17" ht="31.5" x14ac:dyDescent="0.2">
      <c r="A144" s="40"/>
      <c r="B144" s="113" t="s">
        <v>82</v>
      </c>
      <c r="C144" s="113">
        <v>992</v>
      </c>
      <c r="D144" s="133" t="s">
        <v>158</v>
      </c>
      <c r="E144" s="133">
        <v>5230010490</v>
      </c>
      <c r="F144" s="134"/>
      <c r="G144" s="111">
        <v>763.3</v>
      </c>
      <c r="H144" s="111"/>
      <c r="I144" s="111">
        <f>SUM(G144)</f>
        <v>763.3</v>
      </c>
      <c r="J144" s="115"/>
      <c r="K144" s="111"/>
      <c r="L144" s="115"/>
      <c r="M144" s="111">
        <f>SUM(G144)</f>
        <v>763.3</v>
      </c>
      <c r="N144" s="111">
        <f t="shared" si="24"/>
        <v>0</v>
      </c>
      <c r="O144" s="111">
        <f t="shared" si="24"/>
        <v>763.3</v>
      </c>
      <c r="P144" s="97"/>
      <c r="Q144" s="97"/>
    </row>
    <row r="145" spans="1:17" ht="31.5" x14ac:dyDescent="0.2">
      <c r="A145" s="40"/>
      <c r="B145" s="113" t="s">
        <v>40</v>
      </c>
      <c r="C145" s="113">
        <v>992</v>
      </c>
      <c r="D145" s="133" t="s">
        <v>158</v>
      </c>
      <c r="E145" s="133">
        <v>5230010490</v>
      </c>
      <c r="F145" s="134">
        <v>200</v>
      </c>
      <c r="G145" s="111">
        <v>763.3</v>
      </c>
      <c r="H145" s="111"/>
      <c r="I145" s="111">
        <f>SUM(G145)</f>
        <v>763.3</v>
      </c>
      <c r="J145" s="115"/>
      <c r="K145" s="111"/>
      <c r="L145" s="115"/>
      <c r="M145" s="111">
        <f>SUM(G145)</f>
        <v>763.3</v>
      </c>
      <c r="N145" s="111">
        <f>SUM(H145)</f>
        <v>0</v>
      </c>
      <c r="O145" s="111">
        <f>SUM(I145)</f>
        <v>763.3</v>
      </c>
      <c r="P145" s="97"/>
      <c r="Q145" s="97"/>
    </row>
    <row r="146" spans="1:17" ht="15.75" x14ac:dyDescent="0.2">
      <c r="A146" s="40"/>
      <c r="B146" s="113" t="s">
        <v>179</v>
      </c>
      <c r="C146" s="113" t="s">
        <v>51</v>
      </c>
      <c r="D146" s="133" t="s">
        <v>158</v>
      </c>
      <c r="E146" s="133" t="s">
        <v>180</v>
      </c>
      <c r="F146" s="134" t="s">
        <v>11</v>
      </c>
      <c r="G146" s="111">
        <f t="shared" ref="G146:O148" si="25">G147</f>
        <v>394.4</v>
      </c>
      <c r="H146" s="111">
        <f t="shared" si="25"/>
        <v>0</v>
      </c>
      <c r="I146" s="111">
        <f t="shared" si="25"/>
        <v>394.4</v>
      </c>
      <c r="J146" s="114">
        <f t="shared" si="25"/>
        <v>0</v>
      </c>
      <c r="K146" s="111">
        <f>K147</f>
        <v>0</v>
      </c>
      <c r="L146" s="114">
        <f t="shared" si="25"/>
        <v>0</v>
      </c>
      <c r="M146" s="111">
        <f t="shared" si="25"/>
        <v>394.4</v>
      </c>
      <c r="N146" s="111">
        <f t="shared" si="25"/>
        <v>0</v>
      </c>
      <c r="O146" s="111">
        <f t="shared" si="25"/>
        <v>394.4</v>
      </c>
      <c r="P146" s="97"/>
      <c r="Q146" s="97"/>
    </row>
    <row r="147" spans="1:17" ht="31.5" x14ac:dyDescent="0.2">
      <c r="A147" s="40"/>
      <c r="B147" s="113" t="s">
        <v>181</v>
      </c>
      <c r="C147" s="113" t="s">
        <v>51</v>
      </c>
      <c r="D147" s="133" t="s">
        <v>158</v>
      </c>
      <c r="E147" s="133" t="s">
        <v>182</v>
      </c>
      <c r="F147" s="134" t="s">
        <v>11</v>
      </c>
      <c r="G147" s="111">
        <f t="shared" si="25"/>
        <v>394.4</v>
      </c>
      <c r="H147" s="111">
        <f t="shared" si="25"/>
        <v>0</v>
      </c>
      <c r="I147" s="111">
        <f t="shared" si="25"/>
        <v>394.4</v>
      </c>
      <c r="J147" s="114">
        <f t="shared" si="25"/>
        <v>0</v>
      </c>
      <c r="K147" s="111">
        <f>K148</f>
        <v>0</v>
      </c>
      <c r="L147" s="114">
        <f t="shared" si="25"/>
        <v>0</v>
      </c>
      <c r="M147" s="111">
        <f t="shared" si="25"/>
        <v>394.4</v>
      </c>
      <c r="N147" s="111">
        <f t="shared" si="25"/>
        <v>0</v>
      </c>
      <c r="O147" s="111">
        <f t="shared" si="25"/>
        <v>394.4</v>
      </c>
      <c r="P147" s="97"/>
      <c r="Q147" s="97"/>
    </row>
    <row r="148" spans="1:17" ht="15.75" x14ac:dyDescent="0.2">
      <c r="A148" s="40"/>
      <c r="B148" s="113" t="s">
        <v>183</v>
      </c>
      <c r="C148" s="113" t="s">
        <v>51</v>
      </c>
      <c r="D148" s="133" t="s">
        <v>158</v>
      </c>
      <c r="E148" s="133" t="s">
        <v>184</v>
      </c>
      <c r="F148" s="134" t="s">
        <v>11</v>
      </c>
      <c r="G148" s="111">
        <f>G149</f>
        <v>394.4</v>
      </c>
      <c r="H148" s="111">
        <f>H149</f>
        <v>0</v>
      </c>
      <c r="I148" s="111">
        <f>I149</f>
        <v>394.4</v>
      </c>
      <c r="J148" s="114">
        <f t="shared" si="25"/>
        <v>0</v>
      </c>
      <c r="K148" s="111"/>
      <c r="L148" s="114">
        <f t="shared" si="25"/>
        <v>0</v>
      </c>
      <c r="M148" s="111">
        <f t="shared" si="25"/>
        <v>394.4</v>
      </c>
      <c r="N148" s="111">
        <f t="shared" si="25"/>
        <v>0</v>
      </c>
      <c r="O148" s="111">
        <f t="shared" si="25"/>
        <v>394.4</v>
      </c>
      <c r="P148" s="97"/>
      <c r="Q148" s="97"/>
    </row>
    <row r="149" spans="1:17" ht="31.5" x14ac:dyDescent="0.2">
      <c r="A149" s="40"/>
      <c r="B149" s="113" t="s">
        <v>40</v>
      </c>
      <c r="C149" s="113" t="s">
        <v>51</v>
      </c>
      <c r="D149" s="133" t="s">
        <v>158</v>
      </c>
      <c r="E149" s="133" t="s">
        <v>184</v>
      </c>
      <c r="F149" s="134" t="s">
        <v>41</v>
      </c>
      <c r="G149" s="111">
        <v>394.4</v>
      </c>
      <c r="H149" s="111"/>
      <c r="I149" s="111">
        <f>SUM(G149)</f>
        <v>394.4</v>
      </c>
      <c r="J149" s="115">
        <v>0</v>
      </c>
      <c r="K149" s="111"/>
      <c r="L149" s="115">
        <v>0</v>
      </c>
      <c r="M149" s="111">
        <f>SUM(G149)</f>
        <v>394.4</v>
      </c>
      <c r="N149" s="111">
        <f>SUM(H149)</f>
        <v>0</v>
      </c>
      <c r="O149" s="111">
        <f>SUM(M149)</f>
        <v>394.4</v>
      </c>
      <c r="P149" s="97"/>
      <c r="Q149" s="97"/>
    </row>
    <row r="150" spans="1:17" ht="31.5" x14ac:dyDescent="0.2">
      <c r="A150" s="40"/>
      <c r="B150" s="113" t="s">
        <v>185</v>
      </c>
      <c r="C150" s="113" t="s">
        <v>51</v>
      </c>
      <c r="D150" s="133" t="s">
        <v>158</v>
      </c>
      <c r="E150" s="133" t="s">
        <v>186</v>
      </c>
      <c r="F150" s="134" t="s">
        <v>11</v>
      </c>
      <c r="G150" s="111">
        <f t="shared" ref="G150:O152" si="26">G151</f>
        <v>3366.5</v>
      </c>
      <c r="H150" s="111">
        <f t="shared" si="26"/>
        <v>407.7</v>
      </c>
      <c r="I150" s="111">
        <f t="shared" si="26"/>
        <v>3774.2</v>
      </c>
      <c r="J150" s="114">
        <f t="shared" si="26"/>
        <v>0</v>
      </c>
      <c r="K150" s="111">
        <f>K151</f>
        <v>0</v>
      </c>
      <c r="L150" s="114">
        <f t="shared" si="26"/>
        <v>0</v>
      </c>
      <c r="M150" s="111">
        <f t="shared" si="26"/>
        <v>3366.5</v>
      </c>
      <c r="N150" s="111">
        <f t="shared" si="26"/>
        <v>407.7</v>
      </c>
      <c r="O150" s="111">
        <f t="shared" si="26"/>
        <v>3774.2</v>
      </c>
      <c r="P150" s="97"/>
      <c r="Q150" s="97"/>
    </row>
    <row r="151" spans="1:17" ht="47.25" x14ac:dyDescent="0.2">
      <c r="A151" s="40"/>
      <c r="B151" s="113" t="s">
        <v>187</v>
      </c>
      <c r="C151" s="113" t="s">
        <v>51</v>
      </c>
      <c r="D151" s="133" t="s">
        <v>158</v>
      </c>
      <c r="E151" s="133" t="s">
        <v>188</v>
      </c>
      <c r="F151" s="134" t="s">
        <v>11</v>
      </c>
      <c r="G151" s="111">
        <f t="shared" si="26"/>
        <v>3366.5</v>
      </c>
      <c r="H151" s="111">
        <f t="shared" si="26"/>
        <v>407.7</v>
      </c>
      <c r="I151" s="111">
        <f t="shared" si="26"/>
        <v>3774.2</v>
      </c>
      <c r="J151" s="114">
        <f t="shared" si="26"/>
        <v>0</v>
      </c>
      <c r="K151" s="111">
        <f>K152</f>
        <v>0</v>
      </c>
      <c r="L151" s="114">
        <f t="shared" si="26"/>
        <v>0</v>
      </c>
      <c r="M151" s="111">
        <f t="shared" si="26"/>
        <v>3366.5</v>
      </c>
      <c r="N151" s="111">
        <f t="shared" si="26"/>
        <v>407.7</v>
      </c>
      <c r="O151" s="111">
        <f t="shared" si="26"/>
        <v>3774.2</v>
      </c>
      <c r="P151" s="97"/>
      <c r="Q151" s="97"/>
    </row>
    <row r="152" spans="1:17" ht="41.45" customHeight="1" x14ac:dyDescent="0.2">
      <c r="A152" s="40"/>
      <c r="B152" s="113" t="s">
        <v>189</v>
      </c>
      <c r="C152" s="113" t="s">
        <v>51</v>
      </c>
      <c r="D152" s="133" t="s">
        <v>158</v>
      </c>
      <c r="E152" s="133" t="s">
        <v>190</v>
      </c>
      <c r="F152" s="134" t="s">
        <v>11</v>
      </c>
      <c r="G152" s="111">
        <f>G153</f>
        <v>3366.5</v>
      </c>
      <c r="H152" s="109">
        <v>407.7</v>
      </c>
      <c r="I152" s="111">
        <f>I153</f>
        <v>3774.2</v>
      </c>
      <c r="J152" s="114">
        <f t="shared" si="26"/>
        <v>0</v>
      </c>
      <c r="K152" s="111"/>
      <c r="L152" s="114">
        <f t="shared" si="26"/>
        <v>0</v>
      </c>
      <c r="M152" s="111">
        <f t="shared" si="26"/>
        <v>3366.5</v>
      </c>
      <c r="N152" s="111">
        <f t="shared" si="26"/>
        <v>407.7</v>
      </c>
      <c r="O152" s="111">
        <f t="shared" si="26"/>
        <v>3774.2</v>
      </c>
      <c r="P152" s="97"/>
      <c r="Q152" s="97"/>
    </row>
    <row r="153" spans="1:17" ht="15.75" x14ac:dyDescent="0.2">
      <c r="A153" s="40"/>
      <c r="B153" s="113" t="s">
        <v>47</v>
      </c>
      <c r="C153" s="113" t="s">
        <v>51</v>
      </c>
      <c r="D153" s="133" t="s">
        <v>158</v>
      </c>
      <c r="E153" s="133" t="s">
        <v>190</v>
      </c>
      <c r="F153" s="134" t="s">
        <v>48</v>
      </c>
      <c r="G153" s="111">
        <v>3366.5</v>
      </c>
      <c r="H153" s="109">
        <v>407.7</v>
      </c>
      <c r="I153" s="111">
        <f>3366.5+H153</f>
        <v>3774.2</v>
      </c>
      <c r="J153" s="115">
        <v>0</v>
      </c>
      <c r="K153" s="109"/>
      <c r="L153" s="115">
        <v>0</v>
      </c>
      <c r="M153" s="111">
        <v>3366.5</v>
      </c>
      <c r="N153" s="111">
        <f>SUM(H153)</f>
        <v>407.7</v>
      </c>
      <c r="O153" s="111">
        <f>3366.5+N153</f>
        <v>3774.2</v>
      </c>
      <c r="P153" s="97"/>
      <c r="Q153" s="97"/>
    </row>
    <row r="154" spans="1:17" ht="36.6" customHeight="1" x14ac:dyDescent="0.2">
      <c r="A154" s="33" t="s">
        <v>191</v>
      </c>
      <c r="B154" s="110" t="s">
        <v>192</v>
      </c>
      <c r="C154" s="110" t="s">
        <v>51</v>
      </c>
      <c r="D154" s="131" t="s">
        <v>193</v>
      </c>
      <c r="E154" s="131" t="s">
        <v>11</v>
      </c>
      <c r="F154" s="132" t="s">
        <v>11</v>
      </c>
      <c r="G154" s="109">
        <f>G155</f>
        <v>7267.3</v>
      </c>
      <c r="H154" s="109">
        <f>H155+H161+H165</f>
        <v>-90.699999999999989</v>
      </c>
      <c r="I154" s="109">
        <f>I155</f>
        <v>7176.6</v>
      </c>
      <c r="J154" s="112">
        <f>J155</f>
        <v>0</v>
      </c>
      <c r="K154" s="111">
        <f>K155+K161+K165</f>
        <v>0</v>
      </c>
      <c r="L154" s="112">
        <f>L155</f>
        <v>0</v>
      </c>
      <c r="M154" s="109">
        <f>M155</f>
        <v>7267.3</v>
      </c>
      <c r="N154" s="109">
        <f>N155</f>
        <v>-90.699999999999989</v>
      </c>
      <c r="O154" s="109">
        <f>O155</f>
        <v>7176.6</v>
      </c>
      <c r="P154" s="97"/>
      <c r="Q154" s="97"/>
    </row>
    <row r="155" spans="1:17" ht="31.5" x14ac:dyDescent="0.2">
      <c r="A155" s="40"/>
      <c r="B155" s="113" t="s">
        <v>159</v>
      </c>
      <c r="C155" s="113" t="s">
        <v>51</v>
      </c>
      <c r="D155" s="133" t="s">
        <v>193</v>
      </c>
      <c r="E155" s="133" t="s">
        <v>160</v>
      </c>
      <c r="F155" s="134" t="s">
        <v>11</v>
      </c>
      <c r="G155" s="111">
        <f>G156+G162+G166</f>
        <v>7267.3</v>
      </c>
      <c r="H155" s="111">
        <f>H156</f>
        <v>-567</v>
      </c>
      <c r="I155" s="111">
        <f>I156+I162+I166</f>
        <v>7176.6</v>
      </c>
      <c r="J155" s="114">
        <f>J156+J162+J166</f>
        <v>0</v>
      </c>
      <c r="K155" s="111">
        <f>K156</f>
        <v>0</v>
      </c>
      <c r="L155" s="114">
        <f>L156+L162+L166</f>
        <v>0</v>
      </c>
      <c r="M155" s="111">
        <f>M156+M162+M166</f>
        <v>7267.3</v>
      </c>
      <c r="N155" s="111">
        <f>N156+N162+N166</f>
        <v>-90.699999999999989</v>
      </c>
      <c r="O155" s="111">
        <f>O156+O162+O166</f>
        <v>7176.6</v>
      </c>
      <c r="P155" s="97"/>
      <c r="Q155" s="97"/>
    </row>
    <row r="156" spans="1:17" ht="31.5" x14ac:dyDescent="0.2">
      <c r="A156" s="40"/>
      <c r="B156" s="113" t="s">
        <v>194</v>
      </c>
      <c r="C156" s="113" t="s">
        <v>51</v>
      </c>
      <c r="D156" s="133" t="s">
        <v>193</v>
      </c>
      <c r="E156" s="133" t="s">
        <v>195</v>
      </c>
      <c r="F156" s="134" t="s">
        <v>11</v>
      </c>
      <c r="G156" s="111">
        <f>G157</f>
        <v>7152.3</v>
      </c>
      <c r="H156" s="111">
        <f>H157</f>
        <v>-567</v>
      </c>
      <c r="I156" s="111">
        <f>I157</f>
        <v>7061.6</v>
      </c>
      <c r="J156" s="114">
        <f>J157</f>
        <v>0</v>
      </c>
      <c r="K156" s="111">
        <f>K157+K159</f>
        <v>0</v>
      </c>
      <c r="L156" s="114">
        <f>L157</f>
        <v>0</v>
      </c>
      <c r="M156" s="111">
        <f>M157</f>
        <v>7152.3</v>
      </c>
      <c r="N156" s="111">
        <f>N157</f>
        <v>-90.699999999999989</v>
      </c>
      <c r="O156" s="111">
        <f>O157</f>
        <v>7061.6</v>
      </c>
      <c r="P156" s="97"/>
      <c r="Q156" s="97"/>
    </row>
    <row r="157" spans="1:17" ht="47.25" x14ac:dyDescent="0.2">
      <c r="A157" s="40"/>
      <c r="B157" s="113" t="s">
        <v>196</v>
      </c>
      <c r="C157" s="113" t="s">
        <v>51</v>
      </c>
      <c r="D157" s="133" t="s">
        <v>193</v>
      </c>
      <c r="E157" s="133" t="s">
        <v>197</v>
      </c>
      <c r="F157" s="134" t="s">
        <v>11</v>
      </c>
      <c r="G157" s="111">
        <f>G158+G160</f>
        <v>7152.3</v>
      </c>
      <c r="H157" s="111">
        <f>H158</f>
        <v>-567</v>
      </c>
      <c r="I157" s="111">
        <f>I158+I160</f>
        <v>7061.6</v>
      </c>
      <c r="J157" s="114">
        <f>J158+J160</f>
        <v>0</v>
      </c>
      <c r="K157" s="111">
        <f>K158</f>
        <v>0</v>
      </c>
      <c r="L157" s="114">
        <f>L158+L160</f>
        <v>0</v>
      </c>
      <c r="M157" s="111">
        <f>M158+M160</f>
        <v>7152.3</v>
      </c>
      <c r="N157" s="111">
        <f>N158+N160</f>
        <v>-90.699999999999989</v>
      </c>
      <c r="O157" s="111">
        <f>O158+O160</f>
        <v>7061.6</v>
      </c>
      <c r="P157" s="97"/>
      <c r="Q157" s="97"/>
    </row>
    <row r="158" spans="1:17" ht="31.5" x14ac:dyDescent="0.2">
      <c r="A158" s="40"/>
      <c r="B158" s="113" t="s">
        <v>198</v>
      </c>
      <c r="C158" s="113" t="s">
        <v>51</v>
      </c>
      <c r="D158" s="133" t="s">
        <v>193</v>
      </c>
      <c r="E158" s="133" t="s">
        <v>199</v>
      </c>
      <c r="F158" s="134" t="s">
        <v>11</v>
      </c>
      <c r="G158" s="111">
        <f>G159</f>
        <v>2087.5</v>
      </c>
      <c r="H158" s="111">
        <f>SUM(H159)</f>
        <v>-567</v>
      </c>
      <c r="I158" s="111">
        <f>I159</f>
        <v>1520.5</v>
      </c>
      <c r="J158" s="114">
        <f>J159</f>
        <v>0</v>
      </c>
      <c r="K158" s="111"/>
      <c r="L158" s="114">
        <f>L159</f>
        <v>0</v>
      </c>
      <c r="M158" s="111">
        <f>M159</f>
        <v>2087.5</v>
      </c>
      <c r="N158" s="111">
        <f>N159</f>
        <v>-567</v>
      </c>
      <c r="O158" s="111">
        <f>O159</f>
        <v>1520.5</v>
      </c>
      <c r="P158" s="97"/>
      <c r="Q158" s="97"/>
    </row>
    <row r="159" spans="1:17" ht="31.5" x14ac:dyDescent="0.2">
      <c r="A159" s="40"/>
      <c r="B159" s="113" t="s">
        <v>40</v>
      </c>
      <c r="C159" s="113" t="s">
        <v>51</v>
      </c>
      <c r="D159" s="133" t="s">
        <v>193</v>
      </c>
      <c r="E159" s="133" t="s">
        <v>199</v>
      </c>
      <c r="F159" s="134" t="s">
        <v>41</v>
      </c>
      <c r="G159" s="111">
        <v>2087.5</v>
      </c>
      <c r="H159" s="111">
        <v>-567</v>
      </c>
      <c r="I159" s="111">
        <f>SUM(G159)+H159</f>
        <v>1520.5</v>
      </c>
      <c r="J159" s="115">
        <v>0</v>
      </c>
      <c r="K159" s="111"/>
      <c r="L159" s="115">
        <v>0</v>
      </c>
      <c r="M159" s="111">
        <f>SUM(G159)</f>
        <v>2087.5</v>
      </c>
      <c r="N159" s="111">
        <f>SUM(H159)</f>
        <v>-567</v>
      </c>
      <c r="O159" s="111">
        <f>SUM(I159)</f>
        <v>1520.5</v>
      </c>
      <c r="P159" s="97"/>
      <c r="Q159" s="97"/>
    </row>
    <row r="160" spans="1:17" ht="63" x14ac:dyDescent="0.2">
      <c r="A160" s="40"/>
      <c r="B160" s="113" t="s">
        <v>200</v>
      </c>
      <c r="C160" s="113" t="s">
        <v>51</v>
      </c>
      <c r="D160" s="133" t="s">
        <v>193</v>
      </c>
      <c r="E160" s="133" t="s">
        <v>201</v>
      </c>
      <c r="F160" s="134" t="s">
        <v>11</v>
      </c>
      <c r="G160" s="111">
        <f>G161</f>
        <v>5064.8</v>
      </c>
      <c r="H160" s="111">
        <f>SUM(H161)</f>
        <v>476.3</v>
      </c>
      <c r="I160" s="111">
        <f>I161</f>
        <v>5541.1</v>
      </c>
      <c r="J160" s="114">
        <f>J161</f>
        <v>0</v>
      </c>
      <c r="K160" s="111"/>
      <c r="L160" s="114">
        <f>L161</f>
        <v>0</v>
      </c>
      <c r="M160" s="111">
        <f>M161</f>
        <v>5064.8</v>
      </c>
      <c r="N160" s="111">
        <f>N161</f>
        <v>476.3</v>
      </c>
      <c r="O160" s="111">
        <f>O161</f>
        <v>5541.1</v>
      </c>
      <c r="P160" s="97"/>
      <c r="Q160" s="97"/>
    </row>
    <row r="161" spans="1:17" ht="15.75" x14ac:dyDescent="0.2">
      <c r="A161" s="40"/>
      <c r="B161" s="113" t="s">
        <v>47</v>
      </c>
      <c r="C161" s="113" t="s">
        <v>51</v>
      </c>
      <c r="D161" s="133" t="s">
        <v>193</v>
      </c>
      <c r="E161" s="133" t="s">
        <v>201</v>
      </c>
      <c r="F161" s="134" t="s">
        <v>48</v>
      </c>
      <c r="G161" s="111">
        <v>5064.8</v>
      </c>
      <c r="H161" s="111">
        <v>476.3</v>
      </c>
      <c r="I161" s="111">
        <f>SUM(G161)+H161</f>
        <v>5541.1</v>
      </c>
      <c r="J161" s="115">
        <v>0</v>
      </c>
      <c r="K161" s="111"/>
      <c r="L161" s="115">
        <v>0</v>
      </c>
      <c r="M161" s="111">
        <f>SUM(G161)</f>
        <v>5064.8</v>
      </c>
      <c r="N161" s="111">
        <f>SUM(H161)</f>
        <v>476.3</v>
      </c>
      <c r="O161" s="111">
        <f>SUM(I161)</f>
        <v>5541.1</v>
      </c>
      <c r="P161" s="97"/>
      <c r="Q161" s="97"/>
    </row>
    <row r="162" spans="1:17" ht="15.75" x14ac:dyDescent="0.2">
      <c r="A162" s="40"/>
      <c r="B162" s="113" t="s">
        <v>202</v>
      </c>
      <c r="C162" s="113" t="s">
        <v>51</v>
      </c>
      <c r="D162" s="133" t="s">
        <v>193</v>
      </c>
      <c r="E162" s="133" t="s">
        <v>203</v>
      </c>
      <c r="F162" s="134" t="s">
        <v>11</v>
      </c>
      <c r="G162" s="111">
        <f t="shared" ref="G162:O164" si="27">G163</f>
        <v>20</v>
      </c>
      <c r="H162" s="111">
        <f t="shared" si="27"/>
        <v>0</v>
      </c>
      <c r="I162" s="111">
        <f t="shared" si="27"/>
        <v>20</v>
      </c>
      <c r="J162" s="114">
        <f t="shared" si="27"/>
        <v>0</v>
      </c>
      <c r="K162" s="111">
        <f>K163</f>
        <v>0</v>
      </c>
      <c r="L162" s="114">
        <f t="shared" si="27"/>
        <v>0</v>
      </c>
      <c r="M162" s="111">
        <f t="shared" si="27"/>
        <v>20</v>
      </c>
      <c r="N162" s="111">
        <f t="shared" si="27"/>
        <v>0</v>
      </c>
      <c r="O162" s="111">
        <f t="shared" si="27"/>
        <v>20</v>
      </c>
      <c r="P162" s="97"/>
      <c r="Q162" s="97"/>
    </row>
    <row r="163" spans="1:17" ht="34.9" customHeight="1" x14ac:dyDescent="0.2">
      <c r="A163" s="40"/>
      <c r="B163" s="113" t="s">
        <v>204</v>
      </c>
      <c r="C163" s="113" t="s">
        <v>51</v>
      </c>
      <c r="D163" s="133" t="s">
        <v>193</v>
      </c>
      <c r="E163" s="133" t="s">
        <v>205</v>
      </c>
      <c r="F163" s="134" t="s">
        <v>11</v>
      </c>
      <c r="G163" s="111">
        <f t="shared" si="27"/>
        <v>20</v>
      </c>
      <c r="H163" s="111">
        <f t="shared" si="27"/>
        <v>0</v>
      </c>
      <c r="I163" s="111">
        <f t="shared" si="27"/>
        <v>20</v>
      </c>
      <c r="J163" s="114">
        <f t="shared" si="27"/>
        <v>0</v>
      </c>
      <c r="K163" s="111">
        <f>K164</f>
        <v>0</v>
      </c>
      <c r="L163" s="114">
        <f t="shared" si="27"/>
        <v>0</v>
      </c>
      <c r="M163" s="111">
        <f t="shared" si="27"/>
        <v>20</v>
      </c>
      <c r="N163" s="111">
        <f t="shared" si="27"/>
        <v>0</v>
      </c>
      <c r="O163" s="111">
        <f t="shared" si="27"/>
        <v>20</v>
      </c>
      <c r="P163" s="97"/>
      <c r="Q163" s="97"/>
    </row>
    <row r="164" spans="1:17" ht="15.75" x14ac:dyDescent="0.2">
      <c r="A164" s="40"/>
      <c r="B164" s="113" t="s">
        <v>206</v>
      </c>
      <c r="C164" s="113" t="s">
        <v>51</v>
      </c>
      <c r="D164" s="133" t="s">
        <v>193</v>
      </c>
      <c r="E164" s="133" t="s">
        <v>207</v>
      </c>
      <c r="F164" s="134" t="s">
        <v>11</v>
      </c>
      <c r="G164" s="111">
        <f>G165</f>
        <v>20</v>
      </c>
      <c r="H164" s="111"/>
      <c r="I164" s="111">
        <f>I165</f>
        <v>20</v>
      </c>
      <c r="J164" s="114">
        <f t="shared" si="27"/>
        <v>0</v>
      </c>
      <c r="K164" s="111"/>
      <c r="L164" s="114">
        <f t="shared" si="27"/>
        <v>0</v>
      </c>
      <c r="M164" s="111">
        <f t="shared" si="27"/>
        <v>20</v>
      </c>
      <c r="N164" s="111">
        <f t="shared" si="27"/>
        <v>0</v>
      </c>
      <c r="O164" s="111">
        <f t="shared" si="27"/>
        <v>20</v>
      </c>
      <c r="P164" s="97"/>
      <c r="Q164" s="97"/>
    </row>
    <row r="165" spans="1:17" ht="31.5" x14ac:dyDescent="0.2">
      <c r="A165" s="40"/>
      <c r="B165" s="113" t="s">
        <v>40</v>
      </c>
      <c r="C165" s="113" t="s">
        <v>51</v>
      </c>
      <c r="D165" s="133" t="s">
        <v>193</v>
      </c>
      <c r="E165" s="133" t="s">
        <v>207</v>
      </c>
      <c r="F165" s="134" t="s">
        <v>41</v>
      </c>
      <c r="G165" s="111">
        <v>20</v>
      </c>
      <c r="H165" s="111"/>
      <c r="I165" s="111">
        <v>20</v>
      </c>
      <c r="J165" s="115">
        <v>0</v>
      </c>
      <c r="K165" s="111"/>
      <c r="L165" s="115">
        <v>0</v>
      </c>
      <c r="M165" s="111">
        <v>20</v>
      </c>
      <c r="N165" s="111"/>
      <c r="O165" s="111">
        <v>20</v>
      </c>
      <c r="P165" s="97"/>
      <c r="Q165" s="97"/>
    </row>
    <row r="166" spans="1:17" ht="31.5" x14ac:dyDescent="0.2">
      <c r="A166" s="40"/>
      <c r="B166" s="113" t="s">
        <v>185</v>
      </c>
      <c r="C166" s="113" t="s">
        <v>51</v>
      </c>
      <c r="D166" s="133" t="s">
        <v>193</v>
      </c>
      <c r="E166" s="133" t="s">
        <v>186</v>
      </c>
      <c r="F166" s="134" t="s">
        <v>11</v>
      </c>
      <c r="G166" s="111">
        <f t="shared" ref="G166:O168" si="28">G167</f>
        <v>95</v>
      </c>
      <c r="H166" s="111">
        <f t="shared" si="28"/>
        <v>0</v>
      </c>
      <c r="I166" s="111">
        <f t="shared" si="28"/>
        <v>95</v>
      </c>
      <c r="J166" s="114">
        <f t="shared" si="28"/>
        <v>0</v>
      </c>
      <c r="K166" s="111">
        <f>K167</f>
        <v>0</v>
      </c>
      <c r="L166" s="114">
        <f t="shared" si="28"/>
        <v>0</v>
      </c>
      <c r="M166" s="111">
        <f t="shared" si="28"/>
        <v>95</v>
      </c>
      <c r="N166" s="111">
        <f t="shared" si="28"/>
        <v>0</v>
      </c>
      <c r="O166" s="111">
        <f t="shared" si="28"/>
        <v>95</v>
      </c>
      <c r="P166" s="97"/>
      <c r="Q166" s="97"/>
    </row>
    <row r="167" spans="1:17" ht="52.15" customHeight="1" x14ac:dyDescent="0.2">
      <c r="A167" s="40"/>
      <c r="B167" s="113" t="s">
        <v>208</v>
      </c>
      <c r="C167" s="113" t="s">
        <v>51</v>
      </c>
      <c r="D167" s="133" t="s">
        <v>193</v>
      </c>
      <c r="E167" s="133" t="s">
        <v>209</v>
      </c>
      <c r="F167" s="134" t="s">
        <v>11</v>
      </c>
      <c r="G167" s="111">
        <f t="shared" si="28"/>
        <v>95</v>
      </c>
      <c r="H167" s="111">
        <f t="shared" si="28"/>
        <v>0</v>
      </c>
      <c r="I167" s="111">
        <f t="shared" si="28"/>
        <v>95</v>
      </c>
      <c r="J167" s="114">
        <f t="shared" si="28"/>
        <v>0</v>
      </c>
      <c r="K167" s="111">
        <f>K168</f>
        <v>0</v>
      </c>
      <c r="L167" s="114">
        <f t="shared" si="28"/>
        <v>0</v>
      </c>
      <c r="M167" s="111">
        <f t="shared" si="28"/>
        <v>95</v>
      </c>
      <c r="N167" s="111">
        <f t="shared" si="28"/>
        <v>0</v>
      </c>
      <c r="O167" s="111">
        <f t="shared" si="28"/>
        <v>95</v>
      </c>
      <c r="P167" s="97"/>
      <c r="Q167" s="97"/>
    </row>
    <row r="168" spans="1:17" ht="20.45" customHeight="1" x14ac:dyDescent="0.2">
      <c r="A168" s="40"/>
      <c r="B168" s="113" t="s">
        <v>210</v>
      </c>
      <c r="C168" s="113" t="s">
        <v>51</v>
      </c>
      <c r="D168" s="133" t="s">
        <v>193</v>
      </c>
      <c r="E168" s="133" t="s">
        <v>211</v>
      </c>
      <c r="F168" s="134" t="s">
        <v>11</v>
      </c>
      <c r="G168" s="111">
        <f>G169</f>
        <v>95</v>
      </c>
      <c r="H168" s="111"/>
      <c r="I168" s="111">
        <f>I169</f>
        <v>95</v>
      </c>
      <c r="J168" s="114">
        <f t="shared" si="28"/>
        <v>0</v>
      </c>
      <c r="K168" s="111"/>
      <c r="L168" s="114">
        <f t="shared" si="28"/>
        <v>0</v>
      </c>
      <c r="M168" s="111">
        <f t="shared" si="28"/>
        <v>95</v>
      </c>
      <c r="N168" s="111">
        <f t="shared" si="28"/>
        <v>0</v>
      </c>
      <c r="O168" s="111">
        <f t="shared" si="28"/>
        <v>95</v>
      </c>
      <c r="P168" s="97"/>
      <c r="Q168" s="97"/>
    </row>
    <row r="169" spans="1:17" ht="31.5" x14ac:dyDescent="0.2">
      <c r="A169" s="40"/>
      <c r="B169" s="113" t="s">
        <v>40</v>
      </c>
      <c r="C169" s="113" t="s">
        <v>51</v>
      </c>
      <c r="D169" s="133" t="s">
        <v>193</v>
      </c>
      <c r="E169" s="133" t="s">
        <v>211</v>
      </c>
      <c r="F169" s="134" t="s">
        <v>41</v>
      </c>
      <c r="G169" s="111">
        <v>95</v>
      </c>
      <c r="H169" s="106"/>
      <c r="I169" s="111">
        <v>95</v>
      </c>
      <c r="J169" s="115">
        <v>0</v>
      </c>
      <c r="K169" s="106"/>
      <c r="L169" s="115">
        <v>0</v>
      </c>
      <c r="M169" s="111">
        <v>95</v>
      </c>
      <c r="N169" s="111"/>
      <c r="O169" s="111">
        <v>95</v>
      </c>
      <c r="P169" s="97"/>
      <c r="Q169" s="97"/>
    </row>
    <row r="170" spans="1:17" ht="15.75" x14ac:dyDescent="0.2">
      <c r="A170" s="20" t="s">
        <v>212</v>
      </c>
      <c r="B170" s="107" t="s">
        <v>213</v>
      </c>
      <c r="C170" s="107" t="s">
        <v>51</v>
      </c>
      <c r="D170" s="129" t="s">
        <v>214</v>
      </c>
      <c r="E170" s="129" t="s">
        <v>11</v>
      </c>
      <c r="F170" s="130" t="s">
        <v>11</v>
      </c>
      <c r="G170" s="106">
        <f t="shared" ref="G170:O170" si="29">G171+G179+G202+G208</f>
        <v>78472.100000000006</v>
      </c>
      <c r="H170" s="106">
        <f t="shared" si="29"/>
        <v>8165.9</v>
      </c>
      <c r="I170" s="106">
        <f t="shared" si="29"/>
        <v>86638</v>
      </c>
      <c r="J170" s="108">
        <f t="shared" si="29"/>
        <v>205446.9</v>
      </c>
      <c r="K170" s="108">
        <f t="shared" si="29"/>
        <v>0</v>
      </c>
      <c r="L170" s="108">
        <f t="shared" si="29"/>
        <v>205446.9</v>
      </c>
      <c r="M170" s="106">
        <f t="shared" si="29"/>
        <v>283919</v>
      </c>
      <c r="N170" s="106">
        <f t="shared" si="29"/>
        <v>8165.9</v>
      </c>
      <c r="O170" s="106">
        <f t="shared" si="29"/>
        <v>292084.89999999997</v>
      </c>
      <c r="P170" s="97"/>
      <c r="Q170" s="97"/>
    </row>
    <row r="171" spans="1:17" ht="15.75" x14ac:dyDescent="0.2">
      <c r="A171" s="33" t="s">
        <v>215</v>
      </c>
      <c r="B171" s="110" t="s">
        <v>216</v>
      </c>
      <c r="C171" s="110" t="s">
        <v>51</v>
      </c>
      <c r="D171" s="131" t="s">
        <v>217</v>
      </c>
      <c r="E171" s="131" t="s">
        <v>11</v>
      </c>
      <c r="F171" s="132" t="s">
        <v>11</v>
      </c>
      <c r="G171" s="109">
        <f t="shared" ref="G171:O175" si="30">G172</f>
        <v>11222.4</v>
      </c>
      <c r="H171" s="111">
        <f t="shared" si="30"/>
        <v>0</v>
      </c>
      <c r="I171" s="109">
        <f t="shared" si="30"/>
        <v>11222.4</v>
      </c>
      <c r="J171" s="112">
        <f t="shared" si="30"/>
        <v>148194</v>
      </c>
      <c r="K171" s="111">
        <f>K172</f>
        <v>0</v>
      </c>
      <c r="L171" s="112">
        <f t="shared" si="30"/>
        <v>148194</v>
      </c>
      <c r="M171" s="109">
        <f>M172</f>
        <v>159416.4</v>
      </c>
      <c r="N171" s="109">
        <f t="shared" si="30"/>
        <v>0</v>
      </c>
      <c r="O171" s="109">
        <f t="shared" si="30"/>
        <v>159416.4</v>
      </c>
      <c r="P171" s="97"/>
      <c r="Q171" s="97"/>
    </row>
    <row r="172" spans="1:17" ht="31.5" x14ac:dyDescent="0.2">
      <c r="A172" s="40"/>
      <c r="B172" s="113" t="s">
        <v>218</v>
      </c>
      <c r="C172" s="113" t="s">
        <v>51</v>
      </c>
      <c r="D172" s="133" t="s">
        <v>217</v>
      </c>
      <c r="E172" s="133" t="s">
        <v>219</v>
      </c>
      <c r="F172" s="134" t="s">
        <v>11</v>
      </c>
      <c r="G172" s="111">
        <f t="shared" si="30"/>
        <v>11222.4</v>
      </c>
      <c r="H172" s="111">
        <f t="shared" si="30"/>
        <v>0</v>
      </c>
      <c r="I172" s="111">
        <f t="shared" si="30"/>
        <v>11222.4</v>
      </c>
      <c r="J172" s="114">
        <f t="shared" si="30"/>
        <v>148194</v>
      </c>
      <c r="K172" s="111">
        <f>K173</f>
        <v>0</v>
      </c>
      <c r="L172" s="114">
        <f t="shared" si="30"/>
        <v>148194</v>
      </c>
      <c r="M172" s="111">
        <f t="shared" si="30"/>
        <v>159416.4</v>
      </c>
      <c r="N172" s="111">
        <f t="shared" si="30"/>
        <v>0</v>
      </c>
      <c r="O172" s="111">
        <f t="shared" si="30"/>
        <v>159416.4</v>
      </c>
      <c r="P172" s="97"/>
      <c r="Q172" s="97"/>
    </row>
    <row r="173" spans="1:17" ht="31.5" x14ac:dyDescent="0.2">
      <c r="A173" s="40"/>
      <c r="B173" s="113" t="s">
        <v>185</v>
      </c>
      <c r="C173" s="113" t="s">
        <v>51</v>
      </c>
      <c r="D173" s="133" t="s">
        <v>217</v>
      </c>
      <c r="E173" s="133" t="s">
        <v>220</v>
      </c>
      <c r="F173" s="134" t="s">
        <v>11</v>
      </c>
      <c r="G173" s="111">
        <f t="shared" si="30"/>
        <v>11222.4</v>
      </c>
      <c r="H173" s="111">
        <f t="shared" si="30"/>
        <v>0</v>
      </c>
      <c r="I173" s="111">
        <f t="shared" si="30"/>
        <v>11222.4</v>
      </c>
      <c r="J173" s="114">
        <f t="shared" si="30"/>
        <v>148194</v>
      </c>
      <c r="K173" s="111">
        <f>K174</f>
        <v>0</v>
      </c>
      <c r="L173" s="114">
        <f t="shared" si="30"/>
        <v>148194</v>
      </c>
      <c r="M173" s="111">
        <f t="shared" si="30"/>
        <v>159416.4</v>
      </c>
      <c r="N173" s="111">
        <f t="shared" si="30"/>
        <v>0</v>
      </c>
      <c r="O173" s="111">
        <f t="shared" si="30"/>
        <v>159416.4</v>
      </c>
      <c r="P173" s="97"/>
      <c r="Q173" s="97"/>
    </row>
    <row r="174" spans="1:17" ht="31.5" x14ac:dyDescent="0.2">
      <c r="A174" s="40"/>
      <c r="B174" s="113" t="s">
        <v>221</v>
      </c>
      <c r="C174" s="113" t="s">
        <v>51</v>
      </c>
      <c r="D174" s="133" t="s">
        <v>217</v>
      </c>
      <c r="E174" s="133" t="s">
        <v>222</v>
      </c>
      <c r="F174" s="134" t="s">
        <v>11</v>
      </c>
      <c r="G174" s="111">
        <f>G175+G177</f>
        <v>11222.4</v>
      </c>
      <c r="H174" s="111">
        <f>H175+H177</f>
        <v>0</v>
      </c>
      <c r="I174" s="111">
        <f>I175+I177</f>
        <v>11222.4</v>
      </c>
      <c r="J174" s="114">
        <f t="shared" si="30"/>
        <v>148194</v>
      </c>
      <c r="K174" s="111">
        <f>K175</f>
        <v>0</v>
      </c>
      <c r="L174" s="114">
        <f t="shared" si="30"/>
        <v>148194</v>
      </c>
      <c r="M174" s="111">
        <f>SUM(G174+J174)</f>
        <v>159416.4</v>
      </c>
      <c r="N174" s="111">
        <f>N175+N177</f>
        <v>0</v>
      </c>
      <c r="O174" s="111">
        <f>SUM(I174+L174)</f>
        <v>159416.4</v>
      </c>
      <c r="P174" s="97"/>
      <c r="Q174" s="97"/>
    </row>
    <row r="175" spans="1:17" ht="84" customHeight="1" x14ac:dyDescent="0.2">
      <c r="A175" s="40"/>
      <c r="B175" s="113" t="s">
        <v>577</v>
      </c>
      <c r="C175" s="113" t="s">
        <v>51</v>
      </c>
      <c r="D175" s="133" t="s">
        <v>217</v>
      </c>
      <c r="E175" s="133" t="s">
        <v>224</v>
      </c>
      <c r="F175" s="134" t="s">
        <v>11</v>
      </c>
      <c r="G175" s="111">
        <f>G176</f>
        <v>7799.8</v>
      </c>
      <c r="H175" s="111"/>
      <c r="I175" s="111">
        <f>I176</f>
        <v>7799.8</v>
      </c>
      <c r="J175" s="114">
        <f t="shared" si="30"/>
        <v>148194</v>
      </c>
      <c r="K175" s="111">
        <f>SUM(K176)</f>
        <v>0</v>
      </c>
      <c r="L175" s="114">
        <f t="shared" si="30"/>
        <v>148194</v>
      </c>
      <c r="M175" s="111">
        <f t="shared" si="30"/>
        <v>155993.79999999999</v>
      </c>
      <c r="N175" s="111">
        <f>N176</f>
        <v>0</v>
      </c>
      <c r="O175" s="111">
        <f t="shared" si="30"/>
        <v>155993.79999999999</v>
      </c>
      <c r="P175" s="97"/>
      <c r="Q175" s="97"/>
    </row>
    <row r="176" spans="1:17" ht="31.5" x14ac:dyDescent="0.2">
      <c r="A176" s="40"/>
      <c r="B176" s="113" t="s">
        <v>225</v>
      </c>
      <c r="C176" s="113" t="s">
        <v>51</v>
      </c>
      <c r="D176" s="133" t="s">
        <v>217</v>
      </c>
      <c r="E176" s="133" t="s">
        <v>224</v>
      </c>
      <c r="F176" s="134" t="s">
        <v>226</v>
      </c>
      <c r="G176" s="111">
        <v>7799.8</v>
      </c>
      <c r="H176" s="109"/>
      <c r="I176" s="111">
        <f>487.6+7312.2</f>
        <v>7799.8</v>
      </c>
      <c r="J176" s="115">
        <v>148194</v>
      </c>
      <c r="K176" s="109"/>
      <c r="L176" s="115">
        <f>SUM(J176)</f>
        <v>148194</v>
      </c>
      <c r="M176" s="111">
        <f>SUM(G176+J176)</f>
        <v>155993.79999999999</v>
      </c>
      <c r="N176" s="111">
        <f>SUM(K176)+H176</f>
        <v>0</v>
      </c>
      <c r="O176" s="111">
        <f>SUM(N176)+M176</f>
        <v>155993.79999999999</v>
      </c>
      <c r="P176" s="97"/>
      <c r="Q176" s="97"/>
    </row>
    <row r="177" spans="1:17" ht="110.25" x14ac:dyDescent="0.2">
      <c r="A177" s="40"/>
      <c r="B177" s="140" t="s">
        <v>576</v>
      </c>
      <c r="C177" s="113">
        <v>992</v>
      </c>
      <c r="D177" s="133" t="s">
        <v>217</v>
      </c>
      <c r="E177" s="136" t="s">
        <v>562</v>
      </c>
      <c r="F177" s="134"/>
      <c r="G177" s="111">
        <f>SUM(G178)</f>
        <v>3422.6</v>
      </c>
      <c r="H177" s="111">
        <f>H178</f>
        <v>0</v>
      </c>
      <c r="I177" s="111">
        <f>SUM(G177:H177)</f>
        <v>3422.6</v>
      </c>
      <c r="J177" s="115"/>
      <c r="K177" s="109"/>
      <c r="L177" s="115"/>
      <c r="M177" s="111">
        <f>M178</f>
        <v>3422.6</v>
      </c>
      <c r="N177" s="111">
        <f t="shared" ref="M177:O178" si="31">SUM(H177)</f>
        <v>0</v>
      </c>
      <c r="O177" s="111">
        <f>SUM(I177)</f>
        <v>3422.6</v>
      </c>
      <c r="P177" s="97"/>
      <c r="Q177" s="97"/>
    </row>
    <row r="178" spans="1:17" ht="31.5" x14ac:dyDescent="0.2">
      <c r="A178" s="40"/>
      <c r="B178" s="113" t="s">
        <v>225</v>
      </c>
      <c r="C178" s="113">
        <v>992</v>
      </c>
      <c r="D178" s="133" t="s">
        <v>217</v>
      </c>
      <c r="E178" s="136" t="s">
        <v>562</v>
      </c>
      <c r="F178" s="134">
        <v>400</v>
      </c>
      <c r="G178" s="111">
        <v>3422.6</v>
      </c>
      <c r="H178" s="111"/>
      <c r="I178" s="111">
        <f>SUM(H178)+G178</f>
        <v>3422.6</v>
      </c>
      <c r="J178" s="115"/>
      <c r="K178" s="109"/>
      <c r="L178" s="115"/>
      <c r="M178" s="111">
        <f t="shared" si="31"/>
        <v>3422.6</v>
      </c>
      <c r="N178" s="111">
        <f t="shared" si="31"/>
        <v>0</v>
      </c>
      <c r="O178" s="111">
        <f t="shared" si="31"/>
        <v>3422.6</v>
      </c>
      <c r="P178" s="97"/>
      <c r="Q178" s="97"/>
    </row>
    <row r="179" spans="1:17" ht="15.75" x14ac:dyDescent="0.2">
      <c r="A179" s="33" t="s">
        <v>227</v>
      </c>
      <c r="B179" s="110" t="s">
        <v>228</v>
      </c>
      <c r="C179" s="110" t="s">
        <v>51</v>
      </c>
      <c r="D179" s="131" t="s">
        <v>229</v>
      </c>
      <c r="E179" s="131" t="s">
        <v>11</v>
      </c>
      <c r="F179" s="132" t="s">
        <v>11</v>
      </c>
      <c r="G179" s="109">
        <f>G180+G193+G199</f>
        <v>34379.9</v>
      </c>
      <c r="H179" s="111">
        <f>H180+H193+H200</f>
        <v>8000</v>
      </c>
      <c r="I179" s="109">
        <f>I180+I193+I199</f>
        <v>42379.9</v>
      </c>
      <c r="J179" s="112">
        <f>J180+J193</f>
        <v>43692.5</v>
      </c>
      <c r="K179" s="111">
        <f>K180</f>
        <v>0</v>
      </c>
      <c r="L179" s="112">
        <f>L180+L193</f>
        <v>43692.5</v>
      </c>
      <c r="M179" s="109">
        <f>M180+M193+M199</f>
        <v>78072.400000000009</v>
      </c>
      <c r="N179" s="111">
        <f>N180+N193+N200</f>
        <v>8000</v>
      </c>
      <c r="O179" s="109">
        <f>O180+O193+O199</f>
        <v>86072.400000000009</v>
      </c>
      <c r="P179" s="97"/>
      <c r="Q179" s="97"/>
    </row>
    <row r="180" spans="1:17" ht="47.25" x14ac:dyDescent="0.2">
      <c r="A180" s="40"/>
      <c r="B180" s="113" t="s">
        <v>230</v>
      </c>
      <c r="C180" s="113" t="s">
        <v>51</v>
      </c>
      <c r="D180" s="133" t="s">
        <v>229</v>
      </c>
      <c r="E180" s="133" t="s">
        <v>231</v>
      </c>
      <c r="F180" s="134" t="s">
        <v>11</v>
      </c>
      <c r="G180" s="111">
        <f>G181</f>
        <v>17303.3</v>
      </c>
      <c r="H180" s="111">
        <f>H181</f>
        <v>8000</v>
      </c>
      <c r="I180" s="111">
        <f>I181</f>
        <v>25303.3</v>
      </c>
      <c r="J180" s="114">
        <f>J181</f>
        <v>43692.5</v>
      </c>
      <c r="K180" s="111">
        <f>K181+K189</f>
        <v>0</v>
      </c>
      <c r="L180" s="114">
        <f>L181</f>
        <v>43692.5</v>
      </c>
      <c r="M180" s="111">
        <f>M181</f>
        <v>60995.8</v>
      </c>
      <c r="N180" s="111">
        <f>N181</f>
        <v>8000</v>
      </c>
      <c r="O180" s="111">
        <f>O181</f>
        <v>68995.8</v>
      </c>
      <c r="P180" s="97"/>
      <c r="Q180" s="97"/>
    </row>
    <row r="181" spans="1:17" ht="47.25" x14ac:dyDescent="0.2">
      <c r="A181" s="40"/>
      <c r="B181" s="113" t="s">
        <v>232</v>
      </c>
      <c r="C181" s="113" t="s">
        <v>51</v>
      </c>
      <c r="D181" s="133" t="s">
        <v>229</v>
      </c>
      <c r="E181" s="133" t="s">
        <v>233</v>
      </c>
      <c r="F181" s="134" t="s">
        <v>11</v>
      </c>
      <c r="G181" s="111">
        <f>G182+G190</f>
        <v>17303.3</v>
      </c>
      <c r="H181" s="111">
        <f>H182+H190</f>
        <v>8000</v>
      </c>
      <c r="I181" s="111">
        <f>I182+I190</f>
        <v>25303.3</v>
      </c>
      <c r="J181" s="114">
        <f>J182+J190</f>
        <v>43692.5</v>
      </c>
      <c r="K181" s="111">
        <f>K182</f>
        <v>0</v>
      </c>
      <c r="L181" s="114">
        <f>L182+L190</f>
        <v>43692.5</v>
      </c>
      <c r="M181" s="111">
        <f>M182+M190</f>
        <v>60995.8</v>
      </c>
      <c r="N181" s="111">
        <f>N182+N190</f>
        <v>8000</v>
      </c>
      <c r="O181" s="111">
        <f>O182+O190</f>
        <v>68995.8</v>
      </c>
      <c r="P181" s="97"/>
      <c r="Q181" s="97"/>
    </row>
    <row r="182" spans="1:17" ht="31.5" x14ac:dyDescent="0.2">
      <c r="A182" s="40"/>
      <c r="B182" s="113" t="s">
        <v>234</v>
      </c>
      <c r="C182" s="113" t="s">
        <v>51</v>
      </c>
      <c r="D182" s="133" t="s">
        <v>229</v>
      </c>
      <c r="E182" s="133" t="s">
        <v>235</v>
      </c>
      <c r="F182" s="134" t="s">
        <v>11</v>
      </c>
      <c r="G182" s="111">
        <f>G183+G188+G186</f>
        <v>10070.299999999999</v>
      </c>
      <c r="H182" s="111">
        <f t="shared" ref="H182:O182" si="32">H183+H188+H186</f>
        <v>8000</v>
      </c>
      <c r="I182" s="111">
        <f t="shared" si="32"/>
        <v>18070.3</v>
      </c>
      <c r="J182" s="111">
        <f t="shared" si="32"/>
        <v>43692.5</v>
      </c>
      <c r="K182" s="111">
        <f t="shared" si="32"/>
        <v>0</v>
      </c>
      <c r="L182" s="111">
        <f t="shared" si="32"/>
        <v>43692.5</v>
      </c>
      <c r="M182" s="111">
        <f t="shared" si="32"/>
        <v>53762.8</v>
      </c>
      <c r="N182" s="111">
        <f t="shared" si="32"/>
        <v>8000</v>
      </c>
      <c r="O182" s="111">
        <f t="shared" si="32"/>
        <v>61762.8</v>
      </c>
      <c r="P182" s="97"/>
      <c r="Q182" s="97"/>
    </row>
    <row r="183" spans="1:17" ht="63" x14ac:dyDescent="0.2">
      <c r="A183" s="40"/>
      <c r="B183" s="113" t="s">
        <v>236</v>
      </c>
      <c r="C183" s="113" t="s">
        <v>51</v>
      </c>
      <c r="D183" s="133" t="s">
        <v>229</v>
      </c>
      <c r="E183" s="133" t="s">
        <v>237</v>
      </c>
      <c r="F183" s="134" t="s">
        <v>11</v>
      </c>
      <c r="G183" s="111">
        <f>G184+G185</f>
        <v>10070.299999999999</v>
      </c>
      <c r="H183" s="111">
        <f>H184+H185</f>
        <v>8000</v>
      </c>
      <c r="I183" s="111">
        <f t="shared" ref="I183:O183" si="33">I184+I185</f>
        <v>18070.3</v>
      </c>
      <c r="J183" s="114">
        <f t="shared" si="33"/>
        <v>17036</v>
      </c>
      <c r="K183" s="114">
        <f t="shared" si="33"/>
        <v>0</v>
      </c>
      <c r="L183" s="114">
        <f t="shared" si="33"/>
        <v>17036</v>
      </c>
      <c r="M183" s="111">
        <f t="shared" si="33"/>
        <v>27106.3</v>
      </c>
      <c r="N183" s="111">
        <f t="shared" si="33"/>
        <v>8000</v>
      </c>
      <c r="O183" s="111">
        <f t="shared" si="33"/>
        <v>35106.300000000003</v>
      </c>
      <c r="P183" s="97"/>
      <c r="Q183" s="97"/>
    </row>
    <row r="184" spans="1:17" ht="31.5" x14ac:dyDescent="0.2">
      <c r="A184" s="40"/>
      <c r="B184" s="113" t="s">
        <v>40</v>
      </c>
      <c r="C184" s="113" t="s">
        <v>51</v>
      </c>
      <c r="D184" s="133" t="s">
        <v>229</v>
      </c>
      <c r="E184" s="133" t="s">
        <v>237</v>
      </c>
      <c r="F184" s="134" t="s">
        <v>41</v>
      </c>
      <c r="G184" s="111">
        <v>9590.2999999999993</v>
      </c>
      <c r="H184" s="111">
        <v>8000</v>
      </c>
      <c r="I184" s="111">
        <f>SUM(G184)+H184</f>
        <v>17590.3</v>
      </c>
      <c r="J184" s="115">
        <v>0</v>
      </c>
      <c r="K184" s="111">
        <f>26656.5-26656.5</f>
        <v>0</v>
      </c>
      <c r="L184" s="115">
        <f>SUM(K184)</f>
        <v>0</v>
      </c>
      <c r="M184" s="111">
        <f>SUM(G184)</f>
        <v>9590.2999999999993</v>
      </c>
      <c r="N184" s="111">
        <f>SUM(K184)+H184</f>
        <v>8000</v>
      </c>
      <c r="O184" s="111">
        <f>SUM(I184+L184)</f>
        <v>17590.3</v>
      </c>
      <c r="P184" s="97"/>
      <c r="Q184" s="97"/>
    </row>
    <row r="185" spans="1:17" ht="31.5" x14ac:dyDescent="0.2">
      <c r="A185" s="40"/>
      <c r="B185" s="113" t="s">
        <v>225</v>
      </c>
      <c r="C185" s="118">
        <v>992</v>
      </c>
      <c r="D185" s="136" t="s">
        <v>229</v>
      </c>
      <c r="E185" s="136" t="s">
        <v>237</v>
      </c>
      <c r="F185" s="141" t="s">
        <v>226</v>
      </c>
      <c r="G185" s="111">
        <v>480</v>
      </c>
      <c r="H185" s="111"/>
      <c r="I185" s="111">
        <f>SUM(G185)+H185</f>
        <v>480</v>
      </c>
      <c r="J185" s="115">
        <v>17036</v>
      </c>
      <c r="K185" s="111"/>
      <c r="L185" s="115">
        <f>SUM(J185)</f>
        <v>17036</v>
      </c>
      <c r="M185" s="111">
        <f>SUM(G185+J185)</f>
        <v>17516</v>
      </c>
      <c r="N185" s="111">
        <f>SUM(K185)+H185</f>
        <v>0</v>
      </c>
      <c r="O185" s="111">
        <f>SUM(M185)+N185</f>
        <v>17516</v>
      </c>
      <c r="P185" s="97"/>
      <c r="Q185" s="97"/>
    </row>
    <row r="186" spans="1:17" ht="110.25" x14ac:dyDescent="0.2">
      <c r="A186" s="40"/>
      <c r="B186" s="135" t="s">
        <v>238</v>
      </c>
      <c r="C186" s="118">
        <v>992</v>
      </c>
      <c r="D186" s="136" t="s">
        <v>229</v>
      </c>
      <c r="E186" s="136" t="s">
        <v>239</v>
      </c>
      <c r="F186" s="141"/>
      <c r="G186" s="111">
        <f t="shared" ref="G186:O186" si="34">G187</f>
        <v>0</v>
      </c>
      <c r="H186" s="111">
        <f t="shared" si="34"/>
        <v>0</v>
      </c>
      <c r="I186" s="111">
        <f t="shared" si="34"/>
        <v>0</v>
      </c>
      <c r="J186" s="115">
        <f t="shared" si="34"/>
        <v>26656.5</v>
      </c>
      <c r="K186" s="111">
        <f t="shared" si="34"/>
        <v>0</v>
      </c>
      <c r="L186" s="115">
        <f t="shared" si="34"/>
        <v>26656.5</v>
      </c>
      <c r="M186" s="111">
        <f t="shared" si="34"/>
        <v>26656.5</v>
      </c>
      <c r="N186" s="111">
        <f t="shared" si="34"/>
        <v>0</v>
      </c>
      <c r="O186" s="111">
        <f t="shared" si="34"/>
        <v>26656.5</v>
      </c>
      <c r="P186" s="97"/>
      <c r="Q186" s="97"/>
    </row>
    <row r="187" spans="1:17" ht="31.5" x14ac:dyDescent="0.2">
      <c r="A187" s="40"/>
      <c r="B187" s="135" t="s">
        <v>40</v>
      </c>
      <c r="C187" s="118">
        <v>992</v>
      </c>
      <c r="D187" s="136" t="s">
        <v>229</v>
      </c>
      <c r="E187" s="136" t="s">
        <v>239</v>
      </c>
      <c r="F187" s="141" t="s">
        <v>41</v>
      </c>
      <c r="G187" s="111"/>
      <c r="H187" s="111"/>
      <c r="I187" s="111">
        <f>SUM(G187:H187)</f>
        <v>0</v>
      </c>
      <c r="J187" s="115">
        <v>26656.5</v>
      </c>
      <c r="K187" s="111"/>
      <c r="L187" s="115">
        <f>SUM(J187:K187)</f>
        <v>26656.5</v>
      </c>
      <c r="M187" s="111">
        <f>SUM(J187)</f>
        <v>26656.5</v>
      </c>
      <c r="N187" s="111">
        <f>H187+K187</f>
        <v>0</v>
      </c>
      <c r="O187" s="111">
        <f>I187+L187</f>
        <v>26656.5</v>
      </c>
      <c r="P187" s="97"/>
      <c r="Q187" s="97"/>
    </row>
    <row r="188" spans="1:17" ht="78.75" x14ac:dyDescent="0.2">
      <c r="A188" s="40"/>
      <c r="B188" s="113" t="s">
        <v>240</v>
      </c>
      <c r="C188" s="113" t="s">
        <v>51</v>
      </c>
      <c r="D188" s="133" t="s">
        <v>229</v>
      </c>
      <c r="E188" s="133" t="s">
        <v>241</v>
      </c>
      <c r="F188" s="134" t="s">
        <v>11</v>
      </c>
      <c r="G188" s="111">
        <f>G189</f>
        <v>0</v>
      </c>
      <c r="H188" s="111">
        <f>SUM(H189)</f>
        <v>0</v>
      </c>
      <c r="I188" s="111">
        <f>I189</f>
        <v>0</v>
      </c>
      <c r="J188" s="114">
        <f>J189</f>
        <v>0</v>
      </c>
      <c r="K188" s="111"/>
      <c r="L188" s="114">
        <f>L189</f>
        <v>0</v>
      </c>
      <c r="M188" s="111">
        <f>M189</f>
        <v>0</v>
      </c>
      <c r="N188" s="111">
        <f>N189</f>
        <v>0</v>
      </c>
      <c r="O188" s="111">
        <f>O189</f>
        <v>0</v>
      </c>
      <c r="P188" s="97"/>
      <c r="Q188" s="97"/>
    </row>
    <row r="189" spans="1:17" ht="31.5" x14ac:dyDescent="0.2">
      <c r="A189" s="40"/>
      <c r="B189" s="113" t="s">
        <v>40</v>
      </c>
      <c r="C189" s="113" t="s">
        <v>51</v>
      </c>
      <c r="D189" s="133" t="s">
        <v>229</v>
      </c>
      <c r="E189" s="133" t="s">
        <v>241</v>
      </c>
      <c r="F189" s="134" t="s">
        <v>41</v>
      </c>
      <c r="G189" s="111">
        <v>0</v>
      </c>
      <c r="H189" s="111"/>
      <c r="I189" s="111"/>
      <c r="J189" s="115">
        <v>0</v>
      </c>
      <c r="K189" s="111">
        <f t="shared" ref="G189:O191" si="35">K190</f>
        <v>0</v>
      </c>
      <c r="L189" s="115">
        <v>0</v>
      </c>
      <c r="M189" s="111"/>
      <c r="N189" s="111">
        <f>SUM(H189)</f>
        <v>0</v>
      </c>
      <c r="O189" s="111"/>
      <c r="P189" s="97"/>
      <c r="Q189" s="97"/>
    </row>
    <row r="190" spans="1:17" ht="31.5" x14ac:dyDescent="0.2">
      <c r="A190" s="40"/>
      <c r="B190" s="113" t="s">
        <v>242</v>
      </c>
      <c r="C190" s="113" t="s">
        <v>51</v>
      </c>
      <c r="D190" s="133" t="s">
        <v>229</v>
      </c>
      <c r="E190" s="133" t="s">
        <v>243</v>
      </c>
      <c r="F190" s="134" t="s">
        <v>11</v>
      </c>
      <c r="G190" s="111">
        <f t="shared" si="35"/>
        <v>7233</v>
      </c>
      <c r="H190" s="111">
        <f t="shared" si="35"/>
        <v>0</v>
      </c>
      <c r="I190" s="111">
        <f t="shared" si="35"/>
        <v>7233</v>
      </c>
      <c r="J190" s="114">
        <f t="shared" si="35"/>
        <v>0</v>
      </c>
      <c r="K190" s="111">
        <f t="shared" si="35"/>
        <v>0</v>
      </c>
      <c r="L190" s="114">
        <f t="shared" si="35"/>
        <v>0</v>
      </c>
      <c r="M190" s="111">
        <f t="shared" si="35"/>
        <v>7233</v>
      </c>
      <c r="N190" s="111">
        <f t="shared" si="35"/>
        <v>0</v>
      </c>
      <c r="O190" s="111">
        <f t="shared" si="35"/>
        <v>7233</v>
      </c>
      <c r="P190" s="97"/>
      <c r="Q190" s="97"/>
    </row>
    <row r="191" spans="1:17" ht="78.75" x14ac:dyDescent="0.2">
      <c r="A191" s="40"/>
      <c r="B191" s="113" t="s">
        <v>240</v>
      </c>
      <c r="C191" s="113" t="s">
        <v>51</v>
      </c>
      <c r="D191" s="133" t="s">
        <v>229</v>
      </c>
      <c r="E191" s="133" t="s">
        <v>244</v>
      </c>
      <c r="F191" s="134" t="s">
        <v>11</v>
      </c>
      <c r="G191" s="111">
        <f t="shared" si="35"/>
        <v>7233</v>
      </c>
      <c r="H191" s="111">
        <f>SUM(H192)</f>
        <v>0</v>
      </c>
      <c r="I191" s="111">
        <f t="shared" si="35"/>
        <v>7233</v>
      </c>
      <c r="J191" s="114">
        <f t="shared" si="35"/>
        <v>0</v>
      </c>
      <c r="K191" s="111"/>
      <c r="L191" s="114">
        <f t="shared" si="35"/>
        <v>0</v>
      </c>
      <c r="M191" s="111">
        <f t="shared" si="35"/>
        <v>7233</v>
      </c>
      <c r="N191" s="111">
        <f t="shared" si="35"/>
        <v>0</v>
      </c>
      <c r="O191" s="111">
        <f t="shared" si="35"/>
        <v>7233</v>
      </c>
      <c r="P191" s="97"/>
      <c r="Q191" s="97"/>
    </row>
    <row r="192" spans="1:17" ht="31.5" x14ac:dyDescent="0.2">
      <c r="A192" s="40"/>
      <c r="B192" s="113" t="s">
        <v>40</v>
      </c>
      <c r="C192" s="113" t="s">
        <v>51</v>
      </c>
      <c r="D192" s="133" t="s">
        <v>229</v>
      </c>
      <c r="E192" s="133" t="s">
        <v>244</v>
      </c>
      <c r="F192" s="134" t="s">
        <v>41</v>
      </c>
      <c r="G192" s="111">
        <v>7233</v>
      </c>
      <c r="H192" s="111"/>
      <c r="I192" s="111">
        <f>SUM(G192)+H192</f>
        <v>7233</v>
      </c>
      <c r="J192" s="115">
        <v>0</v>
      </c>
      <c r="K192" s="111"/>
      <c r="L192" s="115">
        <v>0</v>
      </c>
      <c r="M192" s="111">
        <f>SUM(G192)</f>
        <v>7233</v>
      </c>
      <c r="N192" s="111">
        <f>SUM(H192)</f>
        <v>0</v>
      </c>
      <c r="O192" s="111">
        <f>SUM(I192)</f>
        <v>7233</v>
      </c>
      <c r="P192" s="97"/>
      <c r="Q192" s="97"/>
    </row>
    <row r="193" spans="1:17" ht="31.5" x14ac:dyDescent="0.2">
      <c r="A193" s="40"/>
      <c r="B193" s="113" t="s">
        <v>245</v>
      </c>
      <c r="C193" s="113" t="s">
        <v>51</v>
      </c>
      <c r="D193" s="133" t="s">
        <v>229</v>
      </c>
      <c r="E193" s="133" t="s">
        <v>246</v>
      </c>
      <c r="F193" s="134" t="s">
        <v>11</v>
      </c>
      <c r="G193" s="111">
        <f t="shared" ref="G193:O196" si="36">G194</f>
        <v>15743</v>
      </c>
      <c r="H193" s="111">
        <f t="shared" si="36"/>
        <v>0</v>
      </c>
      <c r="I193" s="111">
        <f t="shared" si="36"/>
        <v>15743</v>
      </c>
      <c r="J193" s="114">
        <f t="shared" si="36"/>
        <v>0</v>
      </c>
      <c r="K193" s="111">
        <f>K194</f>
        <v>0</v>
      </c>
      <c r="L193" s="114">
        <f t="shared" si="36"/>
        <v>0</v>
      </c>
      <c r="M193" s="111">
        <f t="shared" si="36"/>
        <v>15743</v>
      </c>
      <c r="N193" s="111">
        <f t="shared" si="36"/>
        <v>0</v>
      </c>
      <c r="O193" s="111">
        <f t="shared" si="36"/>
        <v>15743</v>
      </c>
      <c r="P193" s="97"/>
      <c r="Q193" s="97"/>
    </row>
    <row r="194" spans="1:17" ht="15.75" x14ac:dyDescent="0.2">
      <c r="A194" s="40"/>
      <c r="B194" s="113" t="s">
        <v>247</v>
      </c>
      <c r="C194" s="113" t="s">
        <v>51</v>
      </c>
      <c r="D194" s="133" t="s">
        <v>229</v>
      </c>
      <c r="E194" s="133" t="s">
        <v>248</v>
      </c>
      <c r="F194" s="134" t="s">
        <v>11</v>
      </c>
      <c r="G194" s="111">
        <f t="shared" si="36"/>
        <v>15743</v>
      </c>
      <c r="H194" s="111">
        <f t="shared" si="36"/>
        <v>0</v>
      </c>
      <c r="I194" s="111">
        <f t="shared" si="36"/>
        <v>15743</v>
      </c>
      <c r="J194" s="114">
        <f t="shared" si="36"/>
        <v>0</v>
      </c>
      <c r="K194" s="111">
        <f>K195</f>
        <v>0</v>
      </c>
      <c r="L194" s="114">
        <f t="shared" si="36"/>
        <v>0</v>
      </c>
      <c r="M194" s="111">
        <f t="shared" si="36"/>
        <v>15743</v>
      </c>
      <c r="N194" s="111">
        <f t="shared" si="36"/>
        <v>0</v>
      </c>
      <c r="O194" s="111">
        <f t="shared" si="36"/>
        <v>15743</v>
      </c>
      <c r="P194" s="97"/>
      <c r="Q194" s="97"/>
    </row>
    <row r="195" spans="1:17" ht="47.25" x14ac:dyDescent="0.2">
      <c r="A195" s="40"/>
      <c r="B195" s="113" t="s">
        <v>249</v>
      </c>
      <c r="C195" s="113" t="s">
        <v>51</v>
      </c>
      <c r="D195" s="133" t="s">
        <v>229</v>
      </c>
      <c r="E195" s="133" t="s">
        <v>250</v>
      </c>
      <c r="F195" s="134" t="s">
        <v>11</v>
      </c>
      <c r="G195" s="111">
        <f t="shared" si="36"/>
        <v>15743</v>
      </c>
      <c r="H195" s="111">
        <f>SUM(H196)</f>
        <v>0</v>
      </c>
      <c r="I195" s="111">
        <f t="shared" si="36"/>
        <v>15743</v>
      </c>
      <c r="J195" s="114">
        <f t="shared" si="36"/>
        <v>0</v>
      </c>
      <c r="K195" s="111">
        <f>K196</f>
        <v>0</v>
      </c>
      <c r="L195" s="114">
        <f t="shared" si="36"/>
        <v>0</v>
      </c>
      <c r="M195" s="111">
        <f t="shared" si="36"/>
        <v>15743</v>
      </c>
      <c r="N195" s="111">
        <f>SUM(H195)</f>
        <v>0</v>
      </c>
      <c r="O195" s="111">
        <f t="shared" si="36"/>
        <v>15743</v>
      </c>
      <c r="P195" s="97"/>
      <c r="Q195" s="97"/>
    </row>
    <row r="196" spans="1:17" ht="31.5" x14ac:dyDescent="0.2">
      <c r="A196" s="40"/>
      <c r="B196" s="113" t="s">
        <v>134</v>
      </c>
      <c r="C196" s="113" t="s">
        <v>51</v>
      </c>
      <c r="D196" s="133" t="s">
        <v>229</v>
      </c>
      <c r="E196" s="133" t="s">
        <v>251</v>
      </c>
      <c r="F196" s="134" t="s">
        <v>11</v>
      </c>
      <c r="G196" s="111">
        <f>G197</f>
        <v>15743</v>
      </c>
      <c r="H196" s="111">
        <f>SUM(H197)</f>
        <v>0</v>
      </c>
      <c r="I196" s="111">
        <f>I197</f>
        <v>15743</v>
      </c>
      <c r="J196" s="114">
        <f t="shared" si="36"/>
        <v>0</v>
      </c>
      <c r="K196" s="111"/>
      <c r="L196" s="114">
        <f t="shared" si="36"/>
        <v>0</v>
      </c>
      <c r="M196" s="111">
        <f t="shared" si="36"/>
        <v>15743</v>
      </c>
      <c r="N196" s="111">
        <f t="shared" si="36"/>
        <v>0</v>
      </c>
      <c r="O196" s="111">
        <f t="shared" si="36"/>
        <v>15743</v>
      </c>
      <c r="P196" s="97"/>
      <c r="Q196" s="97"/>
    </row>
    <row r="197" spans="1:17" ht="34.9" customHeight="1" x14ac:dyDescent="0.2">
      <c r="A197" s="40"/>
      <c r="B197" s="113" t="s">
        <v>95</v>
      </c>
      <c r="C197" s="113" t="s">
        <v>51</v>
      </c>
      <c r="D197" s="133" t="s">
        <v>229</v>
      </c>
      <c r="E197" s="133" t="s">
        <v>251</v>
      </c>
      <c r="F197" s="134" t="s">
        <v>96</v>
      </c>
      <c r="G197" s="111">
        <v>15743</v>
      </c>
      <c r="H197" s="117"/>
      <c r="I197" s="111">
        <f>SUM(G197)+H197</f>
        <v>15743</v>
      </c>
      <c r="J197" s="115">
        <v>0</v>
      </c>
      <c r="K197" s="109"/>
      <c r="L197" s="115">
        <v>0</v>
      </c>
      <c r="M197" s="111">
        <f>SUM(G197)</f>
        <v>15743</v>
      </c>
      <c r="N197" s="111">
        <f>SUM(H197)</f>
        <v>0</v>
      </c>
      <c r="O197" s="111">
        <f>SUM(M197)+N197</f>
        <v>15743</v>
      </c>
      <c r="P197" s="97"/>
      <c r="Q197" s="97"/>
    </row>
    <row r="198" spans="1:17" ht="21" customHeight="1" x14ac:dyDescent="0.2">
      <c r="A198" s="40"/>
      <c r="B198" s="118" t="s">
        <v>583</v>
      </c>
      <c r="C198" s="118" t="s">
        <v>51</v>
      </c>
      <c r="D198" s="136" t="s">
        <v>229</v>
      </c>
      <c r="E198" s="136" t="s">
        <v>460</v>
      </c>
      <c r="F198" s="134"/>
      <c r="G198" s="111"/>
      <c r="H198" s="117"/>
      <c r="I198" s="111"/>
      <c r="J198" s="115"/>
      <c r="K198" s="109"/>
      <c r="L198" s="115"/>
      <c r="M198" s="111"/>
      <c r="N198" s="111"/>
      <c r="O198" s="111"/>
      <c r="P198" s="97"/>
      <c r="Q198" s="97"/>
    </row>
    <row r="199" spans="1:17" ht="34.9" customHeight="1" x14ac:dyDescent="0.2">
      <c r="A199" s="40"/>
      <c r="B199" s="135" t="s">
        <v>461</v>
      </c>
      <c r="C199" s="113">
        <v>992</v>
      </c>
      <c r="D199" s="133" t="s">
        <v>229</v>
      </c>
      <c r="E199" s="136" t="s">
        <v>462</v>
      </c>
      <c r="F199" s="134"/>
      <c r="G199" s="117">
        <f t="shared" ref="G199:I200" si="37">SUM(G200)</f>
        <v>1333.6</v>
      </c>
      <c r="H199" s="117">
        <f t="shared" si="37"/>
        <v>0</v>
      </c>
      <c r="I199" s="117">
        <f t="shared" si="37"/>
        <v>1333.6</v>
      </c>
      <c r="J199" s="115"/>
      <c r="K199" s="109"/>
      <c r="L199" s="115"/>
      <c r="M199" s="111">
        <f>SUM(G199)</f>
        <v>1333.6</v>
      </c>
      <c r="N199" s="111">
        <f t="shared" ref="N199:O201" si="38">SUM(H199)</f>
        <v>0</v>
      </c>
      <c r="O199" s="111">
        <f t="shared" si="38"/>
        <v>1333.6</v>
      </c>
      <c r="P199" s="97"/>
      <c r="Q199" s="97"/>
    </row>
    <row r="200" spans="1:17" ht="37.15" customHeight="1" x14ac:dyDescent="0.2">
      <c r="A200" s="40"/>
      <c r="B200" s="135" t="s">
        <v>463</v>
      </c>
      <c r="C200" s="113">
        <v>992</v>
      </c>
      <c r="D200" s="133" t="s">
        <v>229</v>
      </c>
      <c r="E200" s="133">
        <v>1300122640</v>
      </c>
      <c r="F200" s="134"/>
      <c r="G200" s="117">
        <f t="shared" si="37"/>
        <v>1333.6</v>
      </c>
      <c r="H200" s="117">
        <f t="shared" si="37"/>
        <v>0</v>
      </c>
      <c r="I200" s="117">
        <f t="shared" si="37"/>
        <v>1333.6</v>
      </c>
      <c r="J200" s="115"/>
      <c r="K200" s="109"/>
      <c r="L200" s="115"/>
      <c r="M200" s="111">
        <f>SUM(G200)</f>
        <v>1333.6</v>
      </c>
      <c r="N200" s="111">
        <f t="shared" si="38"/>
        <v>0</v>
      </c>
      <c r="O200" s="111">
        <f t="shared" si="38"/>
        <v>1333.6</v>
      </c>
      <c r="P200" s="97"/>
      <c r="Q200" s="97"/>
    </row>
    <row r="201" spans="1:17" ht="34.5" customHeight="1" x14ac:dyDescent="0.2">
      <c r="A201" s="40"/>
      <c r="B201" s="113" t="s">
        <v>95</v>
      </c>
      <c r="C201" s="113">
        <v>992</v>
      </c>
      <c r="D201" s="133" t="s">
        <v>229</v>
      </c>
      <c r="E201" s="133">
        <v>1300122640</v>
      </c>
      <c r="F201" s="134">
        <v>200</v>
      </c>
      <c r="G201" s="111">
        <v>1333.6</v>
      </c>
      <c r="H201" s="117"/>
      <c r="I201" s="117">
        <f>SUM(G201)+H201</f>
        <v>1333.6</v>
      </c>
      <c r="J201" s="115"/>
      <c r="K201" s="109"/>
      <c r="L201" s="115"/>
      <c r="M201" s="111">
        <f>SUM(G201)</f>
        <v>1333.6</v>
      </c>
      <c r="N201" s="111">
        <f t="shared" si="38"/>
        <v>0</v>
      </c>
      <c r="O201" s="111">
        <f t="shared" si="38"/>
        <v>1333.6</v>
      </c>
      <c r="P201" s="97"/>
      <c r="Q201" s="97"/>
    </row>
    <row r="202" spans="1:17" ht="23.25" customHeight="1" x14ac:dyDescent="0.2">
      <c r="A202" s="33" t="s">
        <v>252</v>
      </c>
      <c r="B202" s="110" t="s">
        <v>253</v>
      </c>
      <c r="C202" s="110" t="s">
        <v>51</v>
      </c>
      <c r="D202" s="131" t="s">
        <v>254</v>
      </c>
      <c r="E202" s="131" t="s">
        <v>11</v>
      </c>
      <c r="F202" s="132" t="s">
        <v>11</v>
      </c>
      <c r="G202" s="109">
        <f t="shared" ref="G202:O206" si="39">G203</f>
        <v>2086</v>
      </c>
      <c r="H202" s="111">
        <f t="shared" si="39"/>
        <v>0</v>
      </c>
      <c r="I202" s="109">
        <f t="shared" si="39"/>
        <v>2086</v>
      </c>
      <c r="J202" s="112">
        <f t="shared" si="39"/>
        <v>0</v>
      </c>
      <c r="K202" s="111">
        <f>K203</f>
        <v>0</v>
      </c>
      <c r="L202" s="112">
        <f t="shared" si="39"/>
        <v>0</v>
      </c>
      <c r="M202" s="109">
        <f t="shared" si="39"/>
        <v>2086</v>
      </c>
      <c r="N202" s="109">
        <f t="shared" si="39"/>
        <v>0</v>
      </c>
      <c r="O202" s="109">
        <f t="shared" si="39"/>
        <v>2086</v>
      </c>
      <c r="P202" s="97"/>
      <c r="Q202" s="97"/>
    </row>
    <row r="203" spans="1:17" ht="31.5" x14ac:dyDescent="0.2">
      <c r="A203" s="40"/>
      <c r="B203" s="113" t="s">
        <v>97</v>
      </c>
      <c r="C203" s="113" t="s">
        <v>51</v>
      </c>
      <c r="D203" s="133" t="s">
        <v>254</v>
      </c>
      <c r="E203" s="133" t="s">
        <v>98</v>
      </c>
      <c r="F203" s="134" t="s">
        <v>11</v>
      </c>
      <c r="G203" s="111">
        <f t="shared" si="39"/>
        <v>2086</v>
      </c>
      <c r="H203" s="111">
        <f t="shared" si="39"/>
        <v>0</v>
      </c>
      <c r="I203" s="111">
        <f t="shared" si="39"/>
        <v>2086</v>
      </c>
      <c r="J203" s="114">
        <f t="shared" si="39"/>
        <v>0</v>
      </c>
      <c r="K203" s="111">
        <f>K204</f>
        <v>0</v>
      </c>
      <c r="L203" s="114">
        <f t="shared" si="39"/>
        <v>0</v>
      </c>
      <c r="M203" s="111">
        <f t="shared" si="39"/>
        <v>2086</v>
      </c>
      <c r="N203" s="111">
        <f t="shared" si="39"/>
        <v>0</v>
      </c>
      <c r="O203" s="111">
        <f t="shared" si="39"/>
        <v>2086</v>
      </c>
      <c r="P203" s="97"/>
      <c r="Q203" s="97"/>
    </row>
    <row r="204" spans="1:17" ht="15.75" x14ac:dyDescent="0.2">
      <c r="A204" s="40"/>
      <c r="B204" s="113" t="s">
        <v>255</v>
      </c>
      <c r="C204" s="113" t="s">
        <v>51</v>
      </c>
      <c r="D204" s="133" t="s">
        <v>254</v>
      </c>
      <c r="E204" s="133" t="s">
        <v>256</v>
      </c>
      <c r="F204" s="134" t="s">
        <v>11</v>
      </c>
      <c r="G204" s="111">
        <f t="shared" si="39"/>
        <v>2086</v>
      </c>
      <c r="H204" s="111">
        <f t="shared" si="39"/>
        <v>0</v>
      </c>
      <c r="I204" s="111">
        <f t="shared" si="39"/>
        <v>2086</v>
      </c>
      <c r="J204" s="114">
        <f t="shared" si="39"/>
        <v>0</v>
      </c>
      <c r="K204" s="111">
        <f>K205</f>
        <v>0</v>
      </c>
      <c r="L204" s="114">
        <f t="shared" si="39"/>
        <v>0</v>
      </c>
      <c r="M204" s="111">
        <f t="shared" si="39"/>
        <v>2086</v>
      </c>
      <c r="N204" s="111">
        <f t="shared" si="39"/>
        <v>0</v>
      </c>
      <c r="O204" s="111">
        <f t="shared" si="39"/>
        <v>2086</v>
      </c>
      <c r="P204" s="97"/>
      <c r="Q204" s="97"/>
    </row>
    <row r="205" spans="1:17" ht="31.5" x14ac:dyDescent="0.2">
      <c r="A205" s="40"/>
      <c r="B205" s="113" t="s">
        <v>257</v>
      </c>
      <c r="C205" s="113" t="s">
        <v>51</v>
      </c>
      <c r="D205" s="133" t="s">
        <v>254</v>
      </c>
      <c r="E205" s="133" t="s">
        <v>258</v>
      </c>
      <c r="F205" s="134" t="s">
        <v>11</v>
      </c>
      <c r="G205" s="111">
        <f t="shared" si="39"/>
        <v>2086</v>
      </c>
      <c r="H205" s="111">
        <f t="shared" si="39"/>
        <v>0</v>
      </c>
      <c r="I205" s="111">
        <f t="shared" si="39"/>
        <v>2086</v>
      </c>
      <c r="J205" s="114">
        <f t="shared" si="39"/>
        <v>0</v>
      </c>
      <c r="K205" s="111">
        <f>K206</f>
        <v>0</v>
      </c>
      <c r="L205" s="114">
        <f t="shared" si="39"/>
        <v>0</v>
      </c>
      <c r="M205" s="111">
        <f t="shared" si="39"/>
        <v>2086</v>
      </c>
      <c r="N205" s="111">
        <f t="shared" si="39"/>
        <v>0</v>
      </c>
      <c r="O205" s="111">
        <f t="shared" si="39"/>
        <v>2086</v>
      </c>
      <c r="P205" s="97"/>
      <c r="Q205" s="97"/>
    </row>
    <row r="206" spans="1:17" ht="32.450000000000003" customHeight="1" x14ac:dyDescent="0.2">
      <c r="A206" s="40"/>
      <c r="B206" s="113" t="s">
        <v>103</v>
      </c>
      <c r="C206" s="113" t="s">
        <v>51</v>
      </c>
      <c r="D206" s="133" t="s">
        <v>254</v>
      </c>
      <c r="E206" s="133" t="s">
        <v>259</v>
      </c>
      <c r="F206" s="134" t="s">
        <v>11</v>
      </c>
      <c r="G206" s="111">
        <f>G207</f>
        <v>2086</v>
      </c>
      <c r="H206" s="109">
        <f>SUM(H207)</f>
        <v>0</v>
      </c>
      <c r="I206" s="111">
        <f>I207</f>
        <v>2086</v>
      </c>
      <c r="J206" s="114">
        <f t="shared" si="39"/>
        <v>0</v>
      </c>
      <c r="K206" s="111"/>
      <c r="L206" s="114">
        <f t="shared" si="39"/>
        <v>0</v>
      </c>
      <c r="M206" s="111">
        <f t="shared" si="39"/>
        <v>2086</v>
      </c>
      <c r="N206" s="111">
        <f t="shared" si="39"/>
        <v>0</v>
      </c>
      <c r="O206" s="111">
        <f t="shared" si="39"/>
        <v>2086</v>
      </c>
      <c r="P206" s="97"/>
      <c r="Q206" s="97"/>
    </row>
    <row r="207" spans="1:17" ht="31.5" x14ac:dyDescent="0.2">
      <c r="A207" s="40"/>
      <c r="B207" s="113" t="s">
        <v>40</v>
      </c>
      <c r="C207" s="113" t="s">
        <v>51</v>
      </c>
      <c r="D207" s="133" t="s">
        <v>254</v>
      </c>
      <c r="E207" s="133" t="s">
        <v>259</v>
      </c>
      <c r="F207" s="134" t="s">
        <v>41</v>
      </c>
      <c r="G207" s="111">
        <v>2086</v>
      </c>
      <c r="H207" s="109"/>
      <c r="I207" s="111">
        <f>SUM(G207)+H207</f>
        <v>2086</v>
      </c>
      <c r="J207" s="115">
        <v>0</v>
      </c>
      <c r="K207" s="109"/>
      <c r="L207" s="115">
        <v>0</v>
      </c>
      <c r="M207" s="111">
        <f>SUM(G207)</f>
        <v>2086</v>
      </c>
      <c r="N207" s="111">
        <f>SUM(H207)</f>
        <v>0</v>
      </c>
      <c r="O207" s="111">
        <f>SUM(I207)</f>
        <v>2086</v>
      </c>
      <c r="P207" s="97"/>
      <c r="Q207" s="97"/>
    </row>
    <row r="208" spans="1:17" ht="24" customHeight="1" x14ac:dyDescent="0.2">
      <c r="A208" s="33" t="s">
        <v>260</v>
      </c>
      <c r="B208" s="110" t="s">
        <v>261</v>
      </c>
      <c r="C208" s="110" t="s">
        <v>51</v>
      </c>
      <c r="D208" s="131" t="s">
        <v>262</v>
      </c>
      <c r="E208" s="131" t="s">
        <v>11</v>
      </c>
      <c r="F208" s="132" t="s">
        <v>11</v>
      </c>
      <c r="G208" s="109">
        <f>G209+G237+G232</f>
        <v>30783.8</v>
      </c>
      <c r="H208" s="111">
        <f>H209+H250+H248+H233+H243</f>
        <v>165.9</v>
      </c>
      <c r="I208" s="109">
        <f>I209+I237+I232</f>
        <v>30949.7</v>
      </c>
      <c r="J208" s="112">
        <f>J209+J237</f>
        <v>13560.400000000001</v>
      </c>
      <c r="K208" s="111">
        <f>K209</f>
        <v>0</v>
      </c>
      <c r="L208" s="112">
        <f>L209+L237</f>
        <v>13560.400000000001</v>
      </c>
      <c r="M208" s="109">
        <f>M209+M232+M237</f>
        <v>44344.2</v>
      </c>
      <c r="N208" s="111">
        <f>N209+N250+N248+N233+N243</f>
        <v>165.9</v>
      </c>
      <c r="O208" s="109">
        <f>O209+O232+O237</f>
        <v>44510.1</v>
      </c>
      <c r="P208" s="97"/>
      <c r="Q208" s="97"/>
    </row>
    <row r="209" spans="1:17" ht="47.25" x14ac:dyDescent="0.2">
      <c r="A209" s="40"/>
      <c r="B209" s="113" t="s">
        <v>230</v>
      </c>
      <c r="C209" s="113" t="s">
        <v>51</v>
      </c>
      <c r="D209" s="133" t="s">
        <v>262</v>
      </c>
      <c r="E209" s="133" t="s">
        <v>231</v>
      </c>
      <c r="F209" s="134" t="s">
        <v>11</v>
      </c>
      <c r="G209" s="111">
        <f>G210+G220</f>
        <v>19001</v>
      </c>
      <c r="H209" s="111">
        <f>H210+H220</f>
        <v>165.9</v>
      </c>
      <c r="I209" s="111">
        <f>I210+I220</f>
        <v>19166.900000000001</v>
      </c>
      <c r="J209" s="114">
        <f>J210+J220</f>
        <v>13560.400000000001</v>
      </c>
      <c r="K209" s="111">
        <f>K210</f>
        <v>0</v>
      </c>
      <c r="L209" s="114">
        <f>L210+L220</f>
        <v>13560.400000000001</v>
      </c>
      <c r="M209" s="111">
        <f>M210+M220</f>
        <v>32561.4</v>
      </c>
      <c r="N209" s="111">
        <f>N210+N220</f>
        <v>165.9</v>
      </c>
      <c r="O209" s="111">
        <f>O210+O220</f>
        <v>32727.300000000003</v>
      </c>
      <c r="P209" s="97"/>
      <c r="Q209" s="97"/>
    </row>
    <row r="210" spans="1:17" ht="36" customHeight="1" x14ac:dyDescent="0.2">
      <c r="A210" s="40"/>
      <c r="B210" s="113" t="s">
        <v>263</v>
      </c>
      <c r="C210" s="113" t="s">
        <v>51</v>
      </c>
      <c r="D210" s="133" t="s">
        <v>262</v>
      </c>
      <c r="E210" s="133" t="s">
        <v>264</v>
      </c>
      <c r="F210" s="134" t="s">
        <v>11</v>
      </c>
      <c r="G210" s="111">
        <f>G211</f>
        <v>1449.1000000000001</v>
      </c>
      <c r="H210" s="111">
        <f>H211</f>
        <v>0</v>
      </c>
      <c r="I210" s="111">
        <f>I211</f>
        <v>1449.1000000000001</v>
      </c>
      <c r="J210" s="114">
        <f>J211</f>
        <v>13560.400000000001</v>
      </c>
      <c r="K210" s="111">
        <f>K211</f>
        <v>0</v>
      </c>
      <c r="L210" s="114">
        <f>L211</f>
        <v>13560.400000000001</v>
      </c>
      <c r="M210" s="111">
        <f>M211</f>
        <v>15009.500000000002</v>
      </c>
      <c r="N210" s="111">
        <f>N211</f>
        <v>0</v>
      </c>
      <c r="O210" s="111">
        <f>O211</f>
        <v>15009.500000000002</v>
      </c>
      <c r="P210" s="97"/>
      <c r="Q210" s="97"/>
    </row>
    <row r="211" spans="1:17" ht="47.25" x14ac:dyDescent="0.2">
      <c r="A211" s="40"/>
      <c r="B211" s="113" t="s">
        <v>265</v>
      </c>
      <c r="C211" s="113" t="s">
        <v>51</v>
      </c>
      <c r="D211" s="133" t="s">
        <v>262</v>
      </c>
      <c r="E211" s="133" t="s">
        <v>266</v>
      </c>
      <c r="F211" s="134" t="s">
        <v>11</v>
      </c>
      <c r="G211" s="111">
        <f>G218+G212+G214+G216</f>
        <v>1449.1000000000001</v>
      </c>
      <c r="H211" s="111">
        <f>H218+H212+H214+H216</f>
        <v>0</v>
      </c>
      <c r="I211" s="111">
        <f>I218+I212+I214+I216</f>
        <v>1449.1000000000001</v>
      </c>
      <c r="J211" s="114">
        <f>SUM(J218)+J214+J216</f>
        <v>13560.400000000001</v>
      </c>
      <c r="K211" s="111">
        <f>K218+K212+K214+K216</f>
        <v>0</v>
      </c>
      <c r="L211" s="114">
        <f>SUM(L218)+L214+L216</f>
        <v>13560.400000000001</v>
      </c>
      <c r="M211" s="111">
        <f>SUM(G210+J210)</f>
        <v>15009.500000000002</v>
      </c>
      <c r="N211" s="111">
        <f>SUM(H211+K211)</f>
        <v>0</v>
      </c>
      <c r="O211" s="111">
        <f>SUM(I210+L210)</f>
        <v>15009.500000000002</v>
      </c>
      <c r="P211" s="97"/>
      <c r="Q211" s="97"/>
    </row>
    <row r="212" spans="1:17" ht="31.5" x14ac:dyDescent="0.2">
      <c r="A212" s="40"/>
      <c r="B212" s="140" t="s">
        <v>267</v>
      </c>
      <c r="C212" s="113">
        <v>992</v>
      </c>
      <c r="D212" s="133" t="s">
        <v>262</v>
      </c>
      <c r="E212" s="136" t="s">
        <v>268</v>
      </c>
      <c r="F212" s="134"/>
      <c r="G212" s="111">
        <v>735.3</v>
      </c>
      <c r="H212" s="111">
        <f>SUM(H213)</f>
        <v>0</v>
      </c>
      <c r="I212" s="111">
        <f>SUM(G212)</f>
        <v>735.3</v>
      </c>
      <c r="J212" s="114"/>
      <c r="K212" s="111"/>
      <c r="L212" s="114"/>
      <c r="M212" s="111">
        <f>SUM(G212)</f>
        <v>735.3</v>
      </c>
      <c r="N212" s="111">
        <f>SUM(N213)</f>
        <v>0</v>
      </c>
      <c r="O212" s="111">
        <f>SUM(M212)</f>
        <v>735.3</v>
      </c>
      <c r="P212" s="97"/>
      <c r="Q212" s="97"/>
    </row>
    <row r="213" spans="1:17" ht="31.5" x14ac:dyDescent="0.2">
      <c r="A213" s="40"/>
      <c r="B213" s="113" t="s">
        <v>40</v>
      </c>
      <c r="C213" s="113">
        <v>992</v>
      </c>
      <c r="D213" s="133" t="s">
        <v>262</v>
      </c>
      <c r="E213" s="136" t="s">
        <v>268</v>
      </c>
      <c r="F213" s="134">
        <v>200</v>
      </c>
      <c r="G213" s="111">
        <v>735.3</v>
      </c>
      <c r="H213" s="111"/>
      <c r="I213" s="111">
        <f>SUM(G213)</f>
        <v>735.3</v>
      </c>
      <c r="J213" s="114"/>
      <c r="K213" s="111"/>
      <c r="L213" s="114"/>
      <c r="M213" s="111">
        <f>SUM(G213)</f>
        <v>735.3</v>
      </c>
      <c r="N213" s="111">
        <f>SUM(H213)</f>
        <v>0</v>
      </c>
      <c r="O213" s="111">
        <f>SUM(M213)</f>
        <v>735.3</v>
      </c>
      <c r="P213" s="97"/>
      <c r="Q213" s="97"/>
    </row>
    <row r="214" spans="1:17" ht="30.75" customHeight="1" x14ac:dyDescent="0.2">
      <c r="A214" s="40"/>
      <c r="B214" s="113" t="s">
        <v>548</v>
      </c>
      <c r="C214" s="113">
        <v>992</v>
      </c>
      <c r="D214" s="133" t="s">
        <v>262</v>
      </c>
      <c r="E214" s="133" t="s">
        <v>547</v>
      </c>
      <c r="F214" s="134"/>
      <c r="G214" s="111">
        <v>0</v>
      </c>
      <c r="H214" s="111"/>
      <c r="I214" s="111">
        <f>SUM(G215)+H214</f>
        <v>0</v>
      </c>
      <c r="J214" s="114">
        <f>SUM(J215)</f>
        <v>0</v>
      </c>
      <c r="K214" s="111"/>
      <c r="L214" s="114">
        <f>SUM(J214)+K214</f>
        <v>0</v>
      </c>
      <c r="M214" s="111">
        <f t="shared" ref="M214:O215" si="40">SUM(G214+J214)</f>
        <v>0</v>
      </c>
      <c r="N214" s="111">
        <f t="shared" si="40"/>
        <v>0</v>
      </c>
      <c r="O214" s="111">
        <f t="shared" si="40"/>
        <v>0</v>
      </c>
      <c r="P214" s="97"/>
      <c r="Q214" s="97"/>
    </row>
    <row r="215" spans="1:17" ht="30.75" customHeight="1" x14ac:dyDescent="0.2">
      <c r="A215" s="40"/>
      <c r="B215" s="113" t="s">
        <v>40</v>
      </c>
      <c r="C215" s="113">
        <v>992</v>
      </c>
      <c r="D215" s="133" t="s">
        <v>262</v>
      </c>
      <c r="E215" s="133" t="s">
        <v>547</v>
      </c>
      <c r="F215" s="134">
        <v>200</v>
      </c>
      <c r="G215" s="111">
        <v>0</v>
      </c>
      <c r="H215" s="111"/>
      <c r="I215" s="111">
        <v>0</v>
      </c>
      <c r="J215" s="114">
        <v>0</v>
      </c>
      <c r="K215" s="111"/>
      <c r="L215" s="114">
        <f>SUM(J215)+K215</f>
        <v>0</v>
      </c>
      <c r="M215" s="111">
        <f t="shared" si="40"/>
        <v>0</v>
      </c>
      <c r="N215" s="111">
        <f t="shared" si="40"/>
        <v>0</v>
      </c>
      <c r="O215" s="111">
        <f t="shared" si="40"/>
        <v>0</v>
      </c>
      <c r="P215" s="97"/>
      <c r="Q215" s="97"/>
    </row>
    <row r="216" spans="1:17" ht="30.75" customHeight="1" x14ac:dyDescent="0.2">
      <c r="A216" s="40"/>
      <c r="B216" s="113" t="s">
        <v>548</v>
      </c>
      <c r="C216" s="113">
        <v>992</v>
      </c>
      <c r="D216" s="133" t="s">
        <v>262</v>
      </c>
      <c r="E216" s="133" t="s">
        <v>561</v>
      </c>
      <c r="F216" s="134"/>
      <c r="G216" s="111">
        <v>294.2</v>
      </c>
      <c r="H216" s="111"/>
      <c r="I216" s="111">
        <f>SUM(G216)</f>
        <v>294.2</v>
      </c>
      <c r="J216" s="114">
        <v>5589.3</v>
      </c>
      <c r="K216" s="111"/>
      <c r="L216" s="114">
        <f>SUM(J216)</f>
        <v>5589.3</v>
      </c>
      <c r="M216" s="111">
        <f t="shared" ref="M216:O217" si="41">SUM(G216)+J216</f>
        <v>5883.5</v>
      </c>
      <c r="N216" s="111">
        <f t="shared" si="41"/>
        <v>0</v>
      </c>
      <c r="O216" s="111">
        <f t="shared" si="41"/>
        <v>5883.5</v>
      </c>
      <c r="P216" s="97"/>
      <c r="Q216" s="97"/>
    </row>
    <row r="217" spans="1:17" ht="30.75" customHeight="1" x14ac:dyDescent="0.2">
      <c r="A217" s="40"/>
      <c r="B217" s="113" t="s">
        <v>40</v>
      </c>
      <c r="C217" s="113">
        <v>992</v>
      </c>
      <c r="D217" s="133" t="s">
        <v>262</v>
      </c>
      <c r="E217" s="133" t="s">
        <v>561</v>
      </c>
      <c r="F217" s="134">
        <v>200</v>
      </c>
      <c r="G217" s="111">
        <v>294.2</v>
      </c>
      <c r="H217" s="111"/>
      <c r="I217" s="111">
        <f>SUM(G217)</f>
        <v>294.2</v>
      </c>
      <c r="J217" s="114">
        <v>5589.3</v>
      </c>
      <c r="K217" s="111"/>
      <c r="L217" s="114">
        <f>SUM(J217)</f>
        <v>5589.3</v>
      </c>
      <c r="M217" s="111">
        <f t="shared" si="41"/>
        <v>5883.5</v>
      </c>
      <c r="N217" s="111">
        <f t="shared" si="41"/>
        <v>0</v>
      </c>
      <c r="O217" s="111">
        <f t="shared" si="41"/>
        <v>5883.5</v>
      </c>
      <c r="P217" s="97"/>
      <c r="Q217" s="97"/>
    </row>
    <row r="218" spans="1:17" ht="47.25" x14ac:dyDescent="0.2">
      <c r="A218" s="40"/>
      <c r="B218" s="113" t="s">
        <v>269</v>
      </c>
      <c r="C218" s="113" t="s">
        <v>51</v>
      </c>
      <c r="D218" s="133" t="s">
        <v>262</v>
      </c>
      <c r="E218" s="133" t="s">
        <v>270</v>
      </c>
      <c r="F218" s="134" t="s">
        <v>11</v>
      </c>
      <c r="G218" s="111">
        <f>G219</f>
        <v>419.6</v>
      </c>
      <c r="H218" s="111">
        <f>SUM(H219)</f>
        <v>0</v>
      </c>
      <c r="I218" s="111">
        <f>I219</f>
        <v>419.6</v>
      </c>
      <c r="J218" s="114">
        <f>J219</f>
        <v>7971.1</v>
      </c>
      <c r="K218" s="111">
        <f>SUM(K219)</f>
        <v>0</v>
      </c>
      <c r="L218" s="114">
        <f>L219</f>
        <v>7971.1</v>
      </c>
      <c r="M218" s="111">
        <f>M219</f>
        <v>8390.7000000000007</v>
      </c>
      <c r="N218" s="111">
        <f>N219</f>
        <v>0</v>
      </c>
      <c r="O218" s="111">
        <f>O219</f>
        <v>8390.7000000000007</v>
      </c>
      <c r="P218" s="97"/>
      <c r="Q218" s="97"/>
    </row>
    <row r="219" spans="1:17" ht="31.5" x14ac:dyDescent="0.2">
      <c r="A219" s="40"/>
      <c r="B219" s="113" t="s">
        <v>40</v>
      </c>
      <c r="C219" s="113" t="s">
        <v>51</v>
      </c>
      <c r="D219" s="133" t="s">
        <v>262</v>
      </c>
      <c r="E219" s="133" t="s">
        <v>270</v>
      </c>
      <c r="F219" s="134" t="s">
        <v>41</v>
      </c>
      <c r="G219" s="111">
        <v>419.6</v>
      </c>
      <c r="H219" s="111"/>
      <c r="I219" s="111">
        <f>419.6+H219</f>
        <v>419.6</v>
      </c>
      <c r="J219" s="115">
        <v>7971.1</v>
      </c>
      <c r="K219" s="111"/>
      <c r="L219" s="115">
        <f>7971.1+K219</f>
        <v>7971.1</v>
      </c>
      <c r="M219" s="111">
        <f>419.6+J219</f>
        <v>8390.7000000000007</v>
      </c>
      <c r="N219" s="111">
        <f>SUM(H219+K219)</f>
        <v>0</v>
      </c>
      <c r="O219" s="111">
        <f>SUM(I219+L219)</f>
        <v>8390.7000000000007</v>
      </c>
      <c r="P219" s="97"/>
      <c r="Q219" s="97"/>
    </row>
    <row r="220" spans="1:17" ht="31.5" x14ac:dyDescent="0.2">
      <c r="A220" s="40"/>
      <c r="B220" s="113" t="s">
        <v>185</v>
      </c>
      <c r="C220" s="113" t="s">
        <v>51</v>
      </c>
      <c r="D220" s="133" t="s">
        <v>262</v>
      </c>
      <c r="E220" s="133" t="s">
        <v>271</v>
      </c>
      <c r="F220" s="134" t="s">
        <v>11</v>
      </c>
      <c r="G220" s="111">
        <f>G221+G228+G225</f>
        <v>17551.900000000001</v>
      </c>
      <c r="H220" s="111">
        <f>H221+H225+H228</f>
        <v>165.9</v>
      </c>
      <c r="I220" s="111">
        <f>I221+I228+I225</f>
        <v>17717.800000000003</v>
      </c>
      <c r="J220" s="114">
        <f>J221+J228</f>
        <v>0</v>
      </c>
      <c r="K220" s="111">
        <f>K221</f>
        <v>0</v>
      </c>
      <c r="L220" s="114">
        <f>L221+L228</f>
        <v>0</v>
      </c>
      <c r="M220" s="111">
        <f>M221+M228+M225</f>
        <v>17551.900000000001</v>
      </c>
      <c r="N220" s="111">
        <f>SUM(H220)</f>
        <v>165.9</v>
      </c>
      <c r="O220" s="111">
        <f>O221+O228+O225</f>
        <v>17717.800000000003</v>
      </c>
      <c r="P220" s="97"/>
      <c r="Q220" s="97"/>
    </row>
    <row r="221" spans="1:17" ht="51.6" customHeight="1" x14ac:dyDescent="0.2">
      <c r="A221" s="40"/>
      <c r="B221" s="113" t="s">
        <v>272</v>
      </c>
      <c r="C221" s="113" t="s">
        <v>51</v>
      </c>
      <c r="D221" s="133" t="s">
        <v>262</v>
      </c>
      <c r="E221" s="133" t="s">
        <v>273</v>
      </c>
      <c r="F221" s="134" t="s">
        <v>11</v>
      </c>
      <c r="G221" s="111">
        <f>G222</f>
        <v>9124.6</v>
      </c>
      <c r="H221" s="111">
        <f>H222+H223</f>
        <v>165.9</v>
      </c>
      <c r="I221" s="111">
        <f>I222</f>
        <v>9290.5</v>
      </c>
      <c r="J221" s="114">
        <f>J222</f>
        <v>0</v>
      </c>
      <c r="K221" s="111">
        <f>K222+K223</f>
        <v>0</v>
      </c>
      <c r="L221" s="114">
        <f>L222</f>
        <v>0</v>
      </c>
      <c r="M221" s="111">
        <f>M222</f>
        <v>9124.6</v>
      </c>
      <c r="N221" s="111">
        <f>N222</f>
        <v>165.9</v>
      </c>
      <c r="O221" s="111">
        <f>O222</f>
        <v>9290.5</v>
      </c>
      <c r="P221" s="97"/>
      <c r="Q221" s="97"/>
    </row>
    <row r="222" spans="1:17" ht="31.5" x14ac:dyDescent="0.2">
      <c r="A222" s="40"/>
      <c r="B222" s="113" t="s">
        <v>134</v>
      </c>
      <c r="C222" s="113" t="s">
        <v>51</v>
      </c>
      <c r="D222" s="133" t="s">
        <v>262</v>
      </c>
      <c r="E222" s="133" t="s">
        <v>274</v>
      </c>
      <c r="F222" s="134" t="s">
        <v>11</v>
      </c>
      <c r="G222" s="111">
        <f>G223+G224</f>
        <v>9124.6</v>
      </c>
      <c r="H222" s="111">
        <f>SUM(H224)</f>
        <v>165.9</v>
      </c>
      <c r="I222" s="111">
        <f>I223+I224</f>
        <v>9290.5</v>
      </c>
      <c r="J222" s="114">
        <f>J223+J224</f>
        <v>0</v>
      </c>
      <c r="K222" s="111"/>
      <c r="L222" s="114">
        <f>L223+L224</f>
        <v>0</v>
      </c>
      <c r="M222" s="111">
        <f>M223+M224</f>
        <v>9124.6</v>
      </c>
      <c r="N222" s="111">
        <f>N223+N224</f>
        <v>165.9</v>
      </c>
      <c r="O222" s="111">
        <f>O223+O224</f>
        <v>9290.5</v>
      </c>
      <c r="P222" s="97"/>
      <c r="Q222" s="97"/>
    </row>
    <row r="223" spans="1:17" ht="25.9" customHeight="1" x14ac:dyDescent="0.2">
      <c r="A223" s="40"/>
      <c r="B223" s="113" t="s">
        <v>61</v>
      </c>
      <c r="C223" s="113" t="s">
        <v>51</v>
      </c>
      <c r="D223" s="133" t="s">
        <v>262</v>
      </c>
      <c r="E223" s="133" t="s">
        <v>274</v>
      </c>
      <c r="F223" s="134" t="s">
        <v>62</v>
      </c>
      <c r="G223" s="111">
        <v>8871.2000000000007</v>
      </c>
      <c r="H223" s="111"/>
      <c r="I223" s="111">
        <f>SUM(G223)</f>
        <v>8871.2000000000007</v>
      </c>
      <c r="J223" s="115">
        <v>0</v>
      </c>
      <c r="K223" s="111"/>
      <c r="L223" s="115">
        <v>0</v>
      </c>
      <c r="M223" s="111">
        <f>SUM(G223)</f>
        <v>8871.2000000000007</v>
      </c>
      <c r="N223" s="111">
        <f>SUM(H223)</f>
        <v>0</v>
      </c>
      <c r="O223" s="111">
        <f>SUM(M223)</f>
        <v>8871.2000000000007</v>
      </c>
      <c r="P223" s="97"/>
      <c r="Q223" s="97"/>
    </row>
    <row r="224" spans="1:17" ht="31.5" x14ac:dyDescent="0.2">
      <c r="A224" s="40"/>
      <c r="B224" s="113" t="s">
        <v>40</v>
      </c>
      <c r="C224" s="113" t="s">
        <v>51</v>
      </c>
      <c r="D224" s="133" t="s">
        <v>262</v>
      </c>
      <c r="E224" s="133" t="s">
        <v>274</v>
      </c>
      <c r="F224" s="134" t="s">
        <v>41</v>
      </c>
      <c r="G224" s="111">
        <v>253.4</v>
      </c>
      <c r="H224" s="111">
        <v>165.9</v>
      </c>
      <c r="I224" s="111">
        <f>SUM(G224)+H224</f>
        <v>419.3</v>
      </c>
      <c r="J224" s="115">
        <v>0</v>
      </c>
      <c r="K224" s="111"/>
      <c r="L224" s="115">
        <v>0</v>
      </c>
      <c r="M224" s="111">
        <f t="shared" ref="M224:N227" si="42">SUM(G224)</f>
        <v>253.4</v>
      </c>
      <c r="N224" s="111">
        <f t="shared" si="42"/>
        <v>165.9</v>
      </c>
      <c r="O224" s="111">
        <f>SUM(M224)+N224</f>
        <v>419.3</v>
      </c>
      <c r="P224" s="97"/>
      <c r="Q224" s="97"/>
    </row>
    <row r="225" spans="1:17" ht="15.75" x14ac:dyDescent="0.2">
      <c r="A225" s="40"/>
      <c r="B225" s="113" t="s">
        <v>275</v>
      </c>
      <c r="C225" s="113">
        <v>992</v>
      </c>
      <c r="D225" s="133" t="s">
        <v>262</v>
      </c>
      <c r="E225" s="136" t="s">
        <v>276</v>
      </c>
      <c r="F225" s="134"/>
      <c r="G225" s="111">
        <f>SUM(G227)</f>
        <v>896.4</v>
      </c>
      <c r="H225" s="111">
        <f>SUM(H227)</f>
        <v>0</v>
      </c>
      <c r="I225" s="111">
        <f>SUM(H225)+G225</f>
        <v>896.4</v>
      </c>
      <c r="J225" s="115"/>
      <c r="K225" s="111"/>
      <c r="L225" s="115"/>
      <c r="M225" s="111">
        <f t="shared" si="42"/>
        <v>896.4</v>
      </c>
      <c r="N225" s="111">
        <f t="shared" si="42"/>
        <v>0</v>
      </c>
      <c r="O225" s="111">
        <f>SUM(I225)</f>
        <v>896.4</v>
      </c>
      <c r="P225" s="97"/>
      <c r="Q225" s="97"/>
    </row>
    <row r="226" spans="1:17" ht="15.75" x14ac:dyDescent="0.2">
      <c r="A226" s="40"/>
      <c r="B226" s="113" t="s">
        <v>277</v>
      </c>
      <c r="C226" s="113">
        <v>992</v>
      </c>
      <c r="D226" s="133" t="s">
        <v>262</v>
      </c>
      <c r="E226" s="136" t="s">
        <v>276</v>
      </c>
      <c r="F226" s="134"/>
      <c r="G226" s="111">
        <f>SUM(F226)+G227</f>
        <v>896.4</v>
      </c>
      <c r="H226" s="111"/>
      <c r="I226" s="111">
        <f>SUM(H226)+G226</f>
        <v>896.4</v>
      </c>
      <c r="J226" s="115"/>
      <c r="K226" s="111"/>
      <c r="L226" s="115"/>
      <c r="M226" s="111">
        <f t="shared" si="42"/>
        <v>896.4</v>
      </c>
      <c r="N226" s="111">
        <f t="shared" si="42"/>
        <v>0</v>
      </c>
      <c r="O226" s="111">
        <f>SUM(I226)</f>
        <v>896.4</v>
      </c>
      <c r="P226" s="97"/>
      <c r="Q226" s="97"/>
    </row>
    <row r="227" spans="1:17" ht="31.5" x14ac:dyDescent="0.2">
      <c r="A227" s="40"/>
      <c r="B227" s="113" t="s">
        <v>40</v>
      </c>
      <c r="C227" s="113">
        <v>992</v>
      </c>
      <c r="D227" s="133" t="s">
        <v>262</v>
      </c>
      <c r="E227" s="136" t="s">
        <v>278</v>
      </c>
      <c r="F227" s="134">
        <v>200</v>
      </c>
      <c r="G227" s="111">
        <v>896.4</v>
      </c>
      <c r="H227" s="111"/>
      <c r="I227" s="111">
        <f>SUM(H227)+G227</f>
        <v>896.4</v>
      </c>
      <c r="J227" s="115"/>
      <c r="K227" s="111"/>
      <c r="L227" s="115"/>
      <c r="M227" s="111">
        <f t="shared" si="42"/>
        <v>896.4</v>
      </c>
      <c r="N227" s="111">
        <f t="shared" si="42"/>
        <v>0</v>
      </c>
      <c r="O227" s="111">
        <f>SUM(I227)</f>
        <v>896.4</v>
      </c>
      <c r="P227" s="97"/>
      <c r="Q227" s="97"/>
    </row>
    <row r="228" spans="1:17" ht="52.15" customHeight="1" x14ac:dyDescent="0.2">
      <c r="A228" s="40"/>
      <c r="B228" s="113" t="s">
        <v>279</v>
      </c>
      <c r="C228" s="113" t="s">
        <v>51</v>
      </c>
      <c r="D228" s="133" t="s">
        <v>262</v>
      </c>
      <c r="E228" s="133" t="s">
        <v>280</v>
      </c>
      <c r="F228" s="134" t="s">
        <v>11</v>
      </c>
      <c r="G228" s="111">
        <f t="shared" ref="G228:O229" si="43">G229</f>
        <v>7530.9</v>
      </c>
      <c r="H228" s="111">
        <f t="shared" si="43"/>
        <v>0</v>
      </c>
      <c r="I228" s="111">
        <f t="shared" si="43"/>
        <v>7530.9</v>
      </c>
      <c r="J228" s="114">
        <f t="shared" si="43"/>
        <v>0</v>
      </c>
      <c r="K228" s="111">
        <f t="shared" si="43"/>
        <v>0</v>
      </c>
      <c r="L228" s="114">
        <f t="shared" si="43"/>
        <v>0</v>
      </c>
      <c r="M228" s="111">
        <f t="shared" si="43"/>
        <v>7530.9</v>
      </c>
      <c r="N228" s="111">
        <f t="shared" si="43"/>
        <v>0</v>
      </c>
      <c r="O228" s="111">
        <f t="shared" si="43"/>
        <v>7530.9</v>
      </c>
      <c r="P228" s="97"/>
      <c r="Q228" s="97"/>
    </row>
    <row r="229" spans="1:17" ht="31.5" x14ac:dyDescent="0.2">
      <c r="A229" s="40"/>
      <c r="B229" s="113" t="s">
        <v>134</v>
      </c>
      <c r="C229" s="113" t="s">
        <v>51</v>
      </c>
      <c r="D229" s="133" t="s">
        <v>262</v>
      </c>
      <c r="E229" s="133" t="s">
        <v>281</v>
      </c>
      <c r="F229" s="134" t="s">
        <v>11</v>
      </c>
      <c r="G229" s="111">
        <f t="shared" si="43"/>
        <v>7530.9</v>
      </c>
      <c r="H229" s="111">
        <f>SUM(H230)</f>
        <v>0</v>
      </c>
      <c r="I229" s="111">
        <f t="shared" si="43"/>
        <v>7530.9</v>
      </c>
      <c r="J229" s="114">
        <f t="shared" si="43"/>
        <v>0</v>
      </c>
      <c r="K229" s="111"/>
      <c r="L229" s="114">
        <f t="shared" si="43"/>
        <v>0</v>
      </c>
      <c r="M229" s="111">
        <f t="shared" si="43"/>
        <v>7530.9</v>
      </c>
      <c r="N229" s="111">
        <f t="shared" si="43"/>
        <v>0</v>
      </c>
      <c r="O229" s="111">
        <f t="shared" si="43"/>
        <v>7530.9</v>
      </c>
      <c r="P229" s="97"/>
      <c r="Q229" s="97"/>
    </row>
    <row r="230" spans="1:17" ht="37.9" customHeight="1" x14ac:dyDescent="0.2">
      <c r="A230" s="40"/>
      <c r="B230" s="113" t="s">
        <v>95</v>
      </c>
      <c r="C230" s="113" t="s">
        <v>51</v>
      </c>
      <c r="D230" s="133" t="s">
        <v>262</v>
      </c>
      <c r="E230" s="133" t="s">
        <v>281</v>
      </c>
      <c r="F230" s="134" t="s">
        <v>96</v>
      </c>
      <c r="G230" s="111">
        <v>7530.9</v>
      </c>
      <c r="H230" s="111"/>
      <c r="I230" s="111">
        <f>SUM(G230)</f>
        <v>7530.9</v>
      </c>
      <c r="J230" s="115">
        <v>0</v>
      </c>
      <c r="K230" s="111"/>
      <c r="L230" s="115">
        <v>0</v>
      </c>
      <c r="M230" s="111">
        <f>SUM(G230)</f>
        <v>7530.9</v>
      </c>
      <c r="N230" s="111">
        <f>SUM(H230)</f>
        <v>0</v>
      </c>
      <c r="O230" s="111">
        <f>SUM(M230)</f>
        <v>7530.9</v>
      </c>
      <c r="P230" s="97"/>
      <c r="Q230" s="97"/>
    </row>
    <row r="231" spans="1:17" ht="37.9" customHeight="1" x14ac:dyDescent="0.2">
      <c r="A231" s="40"/>
      <c r="B231" s="118" t="s">
        <v>245</v>
      </c>
      <c r="C231" s="118">
        <v>992</v>
      </c>
      <c r="D231" s="136" t="s">
        <v>262</v>
      </c>
      <c r="E231" s="136" t="s">
        <v>246</v>
      </c>
      <c r="F231" s="141"/>
      <c r="G231" s="111">
        <f t="shared" ref="G231:O231" si="44">G232</f>
        <v>6256.7</v>
      </c>
      <c r="H231" s="111">
        <f t="shared" si="44"/>
        <v>0</v>
      </c>
      <c r="I231" s="111">
        <f t="shared" si="44"/>
        <v>6256.7</v>
      </c>
      <c r="J231" s="115">
        <f t="shared" si="44"/>
        <v>0</v>
      </c>
      <c r="K231" s="111">
        <f t="shared" si="44"/>
        <v>0</v>
      </c>
      <c r="L231" s="115">
        <f t="shared" si="44"/>
        <v>0</v>
      </c>
      <c r="M231" s="111">
        <f t="shared" si="44"/>
        <v>6256.7</v>
      </c>
      <c r="N231" s="111">
        <f t="shared" si="44"/>
        <v>0</v>
      </c>
      <c r="O231" s="111">
        <f t="shared" si="44"/>
        <v>6256.7</v>
      </c>
      <c r="P231" s="97"/>
      <c r="Q231" s="97"/>
    </row>
    <row r="232" spans="1:17" ht="37.9" customHeight="1" x14ac:dyDescent="0.2">
      <c r="A232" s="40"/>
      <c r="B232" s="96" t="s">
        <v>282</v>
      </c>
      <c r="C232" s="113">
        <v>992</v>
      </c>
      <c r="D232" s="133" t="s">
        <v>262</v>
      </c>
      <c r="E232" s="136" t="s">
        <v>248</v>
      </c>
      <c r="F232" s="134"/>
      <c r="G232" s="111">
        <f>SUM(G235)+G233</f>
        <v>6256.7</v>
      </c>
      <c r="H232" s="111">
        <f>SUM(H235)+H233</f>
        <v>0</v>
      </c>
      <c r="I232" s="111">
        <f>SUM(G232)+H232</f>
        <v>6256.7</v>
      </c>
      <c r="J232" s="115"/>
      <c r="K232" s="111"/>
      <c r="L232" s="115"/>
      <c r="M232" s="111">
        <f>SUM(G232)</f>
        <v>6256.7</v>
      </c>
      <c r="N232" s="111">
        <f t="shared" ref="N232:O236" si="45">SUM(H232)</f>
        <v>0</v>
      </c>
      <c r="O232" s="111">
        <f t="shared" si="45"/>
        <v>6256.7</v>
      </c>
      <c r="P232" s="97"/>
      <c r="Q232" s="97"/>
    </row>
    <row r="233" spans="1:17" ht="43.5" customHeight="1" x14ac:dyDescent="0.2">
      <c r="A233" s="40"/>
      <c r="B233" s="135" t="s">
        <v>134</v>
      </c>
      <c r="C233" s="113">
        <v>992</v>
      </c>
      <c r="D233" s="133" t="s">
        <v>262</v>
      </c>
      <c r="E233" s="136" t="s">
        <v>251</v>
      </c>
      <c r="F233" s="134"/>
      <c r="G233" s="111">
        <f>SUM(G234)</f>
        <v>5097.7</v>
      </c>
      <c r="H233" s="111">
        <f>SUM(H234)</f>
        <v>0</v>
      </c>
      <c r="I233" s="111">
        <f>SUM(I234)</f>
        <v>5097.7</v>
      </c>
      <c r="J233" s="115"/>
      <c r="K233" s="111"/>
      <c r="L233" s="115"/>
      <c r="M233" s="111">
        <f>SUM(G233)</f>
        <v>5097.7</v>
      </c>
      <c r="N233" s="111">
        <f>SUM(H233)</f>
        <v>0</v>
      </c>
      <c r="O233" s="111">
        <f>SUM(I233)</f>
        <v>5097.7</v>
      </c>
      <c r="P233" s="97"/>
      <c r="Q233" s="97"/>
    </row>
    <row r="234" spans="1:17" ht="46.5" customHeight="1" x14ac:dyDescent="0.2">
      <c r="A234" s="40"/>
      <c r="B234" s="113" t="s">
        <v>95</v>
      </c>
      <c r="C234" s="113">
        <v>992</v>
      </c>
      <c r="D234" s="133" t="s">
        <v>262</v>
      </c>
      <c r="E234" s="136" t="s">
        <v>251</v>
      </c>
      <c r="F234" s="134">
        <v>600</v>
      </c>
      <c r="G234" s="111">
        <v>5097.7</v>
      </c>
      <c r="H234" s="111"/>
      <c r="I234" s="111">
        <v>5097.7</v>
      </c>
      <c r="J234" s="115"/>
      <c r="K234" s="111"/>
      <c r="L234" s="115"/>
      <c r="M234" s="111">
        <f>SUM(G234)</f>
        <v>5097.7</v>
      </c>
      <c r="N234" s="111">
        <f>SUM(H234)</f>
        <v>0</v>
      </c>
      <c r="O234" s="111">
        <f>SUM(I234)</f>
        <v>5097.7</v>
      </c>
      <c r="P234" s="97"/>
      <c r="Q234" s="97"/>
    </row>
    <row r="235" spans="1:17" ht="54" customHeight="1" x14ac:dyDescent="0.2">
      <c r="A235" s="40"/>
      <c r="B235" s="142" t="s">
        <v>283</v>
      </c>
      <c r="C235" s="113">
        <v>992</v>
      </c>
      <c r="D235" s="133" t="s">
        <v>262</v>
      </c>
      <c r="E235" s="136" t="s">
        <v>284</v>
      </c>
      <c r="F235" s="134"/>
      <c r="G235" s="111">
        <f>SUM(G236)</f>
        <v>1159</v>
      </c>
      <c r="H235" s="111">
        <f>SUM(H236)</f>
        <v>0</v>
      </c>
      <c r="I235" s="111">
        <f>SUM(G235)+H235</f>
        <v>1159</v>
      </c>
      <c r="J235" s="115"/>
      <c r="K235" s="111"/>
      <c r="L235" s="115"/>
      <c r="M235" s="111">
        <f>SUM(G236)</f>
        <v>1159</v>
      </c>
      <c r="N235" s="111">
        <f t="shared" si="45"/>
        <v>0</v>
      </c>
      <c r="O235" s="111">
        <f t="shared" si="45"/>
        <v>1159</v>
      </c>
      <c r="P235" s="97"/>
      <c r="Q235" s="97"/>
    </row>
    <row r="236" spans="1:17" ht="37.9" customHeight="1" x14ac:dyDescent="0.2">
      <c r="A236" s="40"/>
      <c r="B236" s="113" t="s">
        <v>95</v>
      </c>
      <c r="C236" s="113">
        <v>992</v>
      </c>
      <c r="D236" s="133" t="s">
        <v>262</v>
      </c>
      <c r="E236" s="136" t="s">
        <v>284</v>
      </c>
      <c r="F236" s="134">
        <v>600</v>
      </c>
      <c r="G236" s="111">
        <v>1159</v>
      </c>
      <c r="H236" s="111"/>
      <c r="I236" s="111">
        <f>SUM(G236)+H236</f>
        <v>1159</v>
      </c>
      <c r="J236" s="115"/>
      <c r="K236" s="111"/>
      <c r="L236" s="115"/>
      <c r="M236" s="111">
        <f>SUM(G236)</f>
        <v>1159</v>
      </c>
      <c r="N236" s="111">
        <f t="shared" si="45"/>
        <v>0</v>
      </c>
      <c r="O236" s="111">
        <f t="shared" si="45"/>
        <v>1159</v>
      </c>
      <c r="P236" s="97"/>
      <c r="Q236" s="97"/>
    </row>
    <row r="237" spans="1:17" ht="31.5" x14ac:dyDescent="0.2">
      <c r="A237" s="40"/>
      <c r="B237" s="113" t="s">
        <v>218</v>
      </c>
      <c r="C237" s="113" t="s">
        <v>51</v>
      </c>
      <c r="D237" s="133" t="s">
        <v>262</v>
      </c>
      <c r="E237" s="133" t="s">
        <v>219</v>
      </c>
      <c r="F237" s="134" t="s">
        <v>11</v>
      </c>
      <c r="G237" s="111">
        <f>G238+G243+G250</f>
        <v>5526.1</v>
      </c>
      <c r="H237" s="111">
        <f>H238+H243</f>
        <v>0</v>
      </c>
      <c r="I237" s="111">
        <f>I238+I243+I250</f>
        <v>5526.1</v>
      </c>
      <c r="J237" s="114">
        <f>J238+J243+J250</f>
        <v>0</v>
      </c>
      <c r="K237" s="111">
        <f>K238</f>
        <v>0</v>
      </c>
      <c r="L237" s="114">
        <f>L238+L243+L250</f>
        <v>0</v>
      </c>
      <c r="M237" s="111">
        <f>M238+M243+M250</f>
        <v>5526.1</v>
      </c>
      <c r="N237" s="111">
        <f>N238+N243+N250</f>
        <v>0</v>
      </c>
      <c r="O237" s="111">
        <f>O238+O243+O250</f>
        <v>5526.1</v>
      </c>
      <c r="P237" s="97"/>
      <c r="Q237" s="97"/>
    </row>
    <row r="238" spans="1:17" ht="31.5" x14ac:dyDescent="0.2">
      <c r="A238" s="40"/>
      <c r="B238" s="113" t="s">
        <v>285</v>
      </c>
      <c r="C238" s="113" t="s">
        <v>51</v>
      </c>
      <c r="D238" s="133" t="s">
        <v>262</v>
      </c>
      <c r="E238" s="133" t="s">
        <v>286</v>
      </c>
      <c r="F238" s="134" t="s">
        <v>11</v>
      </c>
      <c r="G238" s="111">
        <f>G239</f>
        <v>330</v>
      </c>
      <c r="H238" s="111">
        <f>H239</f>
        <v>0</v>
      </c>
      <c r="I238" s="111">
        <f>I239</f>
        <v>330</v>
      </c>
      <c r="J238" s="114">
        <f t="shared" ref="J238:O239" si="46">J239</f>
        <v>0</v>
      </c>
      <c r="K238" s="111">
        <f>K239</f>
        <v>0</v>
      </c>
      <c r="L238" s="114">
        <f t="shared" si="46"/>
        <v>0</v>
      </c>
      <c r="M238" s="111">
        <f t="shared" si="46"/>
        <v>330</v>
      </c>
      <c r="N238" s="111">
        <f t="shared" si="46"/>
        <v>0</v>
      </c>
      <c r="O238" s="111">
        <f t="shared" si="46"/>
        <v>330</v>
      </c>
      <c r="P238" s="97"/>
      <c r="Q238" s="97"/>
    </row>
    <row r="239" spans="1:17" ht="31.5" x14ac:dyDescent="0.2">
      <c r="A239" s="40"/>
      <c r="B239" s="113" t="s">
        <v>287</v>
      </c>
      <c r="C239" s="113" t="s">
        <v>51</v>
      </c>
      <c r="D239" s="133" t="s">
        <v>262</v>
      </c>
      <c r="E239" s="133" t="s">
        <v>288</v>
      </c>
      <c r="F239" s="134" t="s">
        <v>11</v>
      </c>
      <c r="G239" s="111">
        <f>G240</f>
        <v>330</v>
      </c>
      <c r="H239" s="111">
        <f>H241+H240</f>
        <v>0</v>
      </c>
      <c r="I239" s="111">
        <f>I240</f>
        <v>330</v>
      </c>
      <c r="J239" s="114">
        <f t="shared" si="46"/>
        <v>0</v>
      </c>
      <c r="K239" s="111">
        <f>K241+K240</f>
        <v>0</v>
      </c>
      <c r="L239" s="114">
        <f t="shared" si="46"/>
        <v>0</v>
      </c>
      <c r="M239" s="111">
        <f t="shared" si="46"/>
        <v>330</v>
      </c>
      <c r="N239" s="111">
        <f t="shared" si="46"/>
        <v>0</v>
      </c>
      <c r="O239" s="111">
        <f t="shared" si="46"/>
        <v>330</v>
      </c>
      <c r="P239" s="97"/>
      <c r="Q239" s="97"/>
    </row>
    <row r="240" spans="1:17" ht="31.5" x14ac:dyDescent="0.2">
      <c r="A240" s="40"/>
      <c r="B240" s="113" t="s">
        <v>285</v>
      </c>
      <c r="C240" s="113" t="s">
        <v>51</v>
      </c>
      <c r="D240" s="133" t="s">
        <v>262</v>
      </c>
      <c r="E240" s="133" t="s">
        <v>289</v>
      </c>
      <c r="F240" s="134" t="s">
        <v>11</v>
      </c>
      <c r="G240" s="111">
        <f>G242+G241</f>
        <v>330</v>
      </c>
      <c r="H240" s="111"/>
      <c r="I240" s="111">
        <f>I242+I241</f>
        <v>330</v>
      </c>
      <c r="J240" s="114">
        <f>J242+J241</f>
        <v>0</v>
      </c>
      <c r="K240" s="111"/>
      <c r="L240" s="114">
        <f>L242+L241</f>
        <v>0</v>
      </c>
      <c r="M240" s="111">
        <f>M242+M241</f>
        <v>330</v>
      </c>
      <c r="N240" s="111">
        <f>N242+N241</f>
        <v>0</v>
      </c>
      <c r="O240" s="111">
        <f>O242+O241</f>
        <v>330</v>
      </c>
      <c r="P240" s="97"/>
      <c r="Q240" s="97"/>
    </row>
    <row r="241" spans="1:17" ht="31.5" x14ac:dyDescent="0.2">
      <c r="A241" s="40"/>
      <c r="B241" s="113" t="s">
        <v>40</v>
      </c>
      <c r="C241" s="113" t="s">
        <v>51</v>
      </c>
      <c r="D241" s="133" t="s">
        <v>262</v>
      </c>
      <c r="E241" s="133" t="s">
        <v>289</v>
      </c>
      <c r="F241" s="134">
        <v>200</v>
      </c>
      <c r="G241" s="111">
        <v>200</v>
      </c>
      <c r="H241" s="111"/>
      <c r="I241" s="111">
        <v>200</v>
      </c>
      <c r="J241" s="114">
        <v>0</v>
      </c>
      <c r="K241" s="111"/>
      <c r="L241" s="114">
        <v>0</v>
      </c>
      <c r="M241" s="111">
        <v>200</v>
      </c>
      <c r="N241" s="111"/>
      <c r="O241" s="111">
        <v>200</v>
      </c>
      <c r="P241" s="97"/>
      <c r="Q241" s="97"/>
    </row>
    <row r="242" spans="1:17" ht="15.75" x14ac:dyDescent="0.2">
      <c r="A242" s="40"/>
      <c r="B242" s="113" t="s">
        <v>70</v>
      </c>
      <c r="C242" s="113" t="s">
        <v>51</v>
      </c>
      <c r="D242" s="133" t="s">
        <v>262</v>
      </c>
      <c r="E242" s="133" t="s">
        <v>289</v>
      </c>
      <c r="F242" s="134" t="s">
        <v>71</v>
      </c>
      <c r="G242" s="111">
        <v>130</v>
      </c>
      <c r="H242" s="111"/>
      <c r="I242" s="111">
        <v>130</v>
      </c>
      <c r="J242" s="115">
        <v>0</v>
      </c>
      <c r="K242" s="111"/>
      <c r="L242" s="115">
        <v>0</v>
      </c>
      <c r="M242" s="111">
        <v>130</v>
      </c>
      <c r="N242" s="111"/>
      <c r="O242" s="111">
        <v>130</v>
      </c>
      <c r="P242" s="97"/>
      <c r="Q242" s="97"/>
    </row>
    <row r="243" spans="1:17" ht="31.5" x14ac:dyDescent="0.2">
      <c r="A243" s="40"/>
      <c r="B243" s="113" t="s">
        <v>290</v>
      </c>
      <c r="C243" s="113" t="s">
        <v>51</v>
      </c>
      <c r="D243" s="133" t="s">
        <v>262</v>
      </c>
      <c r="E243" s="133" t="s">
        <v>291</v>
      </c>
      <c r="F243" s="134" t="s">
        <v>11</v>
      </c>
      <c r="G243" s="111">
        <f t="shared" ref="G243:O244" si="47">G244</f>
        <v>4396.1000000000004</v>
      </c>
      <c r="H243" s="111">
        <f t="shared" si="47"/>
        <v>0</v>
      </c>
      <c r="I243" s="111">
        <f t="shared" si="47"/>
        <v>4396.1000000000004</v>
      </c>
      <c r="J243" s="114">
        <f t="shared" si="47"/>
        <v>0</v>
      </c>
      <c r="K243" s="111">
        <f t="shared" si="47"/>
        <v>0</v>
      </c>
      <c r="L243" s="114">
        <f t="shared" si="47"/>
        <v>0</v>
      </c>
      <c r="M243" s="111">
        <f t="shared" si="47"/>
        <v>4396.1000000000004</v>
      </c>
      <c r="N243" s="111">
        <f t="shared" si="47"/>
        <v>0</v>
      </c>
      <c r="O243" s="111">
        <f t="shared" si="47"/>
        <v>4396.1000000000004</v>
      </c>
      <c r="P243" s="97"/>
      <c r="Q243" s="97"/>
    </row>
    <row r="244" spans="1:17" ht="47.25" x14ac:dyDescent="0.2">
      <c r="A244" s="40"/>
      <c r="B244" s="113" t="s">
        <v>292</v>
      </c>
      <c r="C244" s="113" t="s">
        <v>51</v>
      </c>
      <c r="D244" s="133" t="s">
        <v>262</v>
      </c>
      <c r="E244" s="133" t="s">
        <v>293</v>
      </c>
      <c r="F244" s="134" t="s">
        <v>11</v>
      </c>
      <c r="G244" s="111">
        <f t="shared" si="47"/>
        <v>4396.1000000000004</v>
      </c>
      <c r="H244" s="111">
        <f t="shared" si="47"/>
        <v>0</v>
      </c>
      <c r="I244" s="111">
        <f t="shared" si="47"/>
        <v>4396.1000000000004</v>
      </c>
      <c r="J244" s="114">
        <f t="shared" si="47"/>
        <v>0</v>
      </c>
      <c r="K244" s="111">
        <f>K245+K246</f>
        <v>0</v>
      </c>
      <c r="L244" s="114">
        <f t="shared" si="47"/>
        <v>0</v>
      </c>
      <c r="M244" s="111">
        <f t="shared" si="47"/>
        <v>4396.1000000000004</v>
      </c>
      <c r="N244" s="111">
        <f>SUM(H244)</f>
        <v>0</v>
      </c>
      <c r="O244" s="111">
        <f t="shared" si="47"/>
        <v>4396.1000000000004</v>
      </c>
      <c r="P244" s="97"/>
      <c r="Q244" s="97"/>
    </row>
    <row r="245" spans="1:17" ht="31.5" x14ac:dyDescent="0.2">
      <c r="A245" s="40"/>
      <c r="B245" s="113" t="s">
        <v>134</v>
      </c>
      <c r="C245" s="113" t="s">
        <v>51</v>
      </c>
      <c r="D245" s="133" t="s">
        <v>262</v>
      </c>
      <c r="E245" s="133" t="s">
        <v>294</v>
      </c>
      <c r="F245" s="134" t="s">
        <v>11</v>
      </c>
      <c r="G245" s="111">
        <f>G246+G247</f>
        <v>4396.1000000000004</v>
      </c>
      <c r="H245" s="111"/>
      <c r="I245" s="111">
        <f>I246+I247</f>
        <v>4396.1000000000004</v>
      </c>
      <c r="J245" s="114">
        <f>J246+J247</f>
        <v>0</v>
      </c>
      <c r="K245" s="111"/>
      <c r="L245" s="114">
        <f>L246+L247</f>
        <v>0</v>
      </c>
      <c r="M245" s="111">
        <f>M246+M247</f>
        <v>4396.1000000000004</v>
      </c>
      <c r="N245" s="111">
        <f>N246+N247</f>
        <v>0</v>
      </c>
      <c r="O245" s="111">
        <f>O246+O247</f>
        <v>4396.1000000000004</v>
      </c>
      <c r="P245" s="97"/>
      <c r="Q245" s="97"/>
    </row>
    <row r="246" spans="1:17" ht="31.9" customHeight="1" x14ac:dyDescent="0.2">
      <c r="A246" s="40"/>
      <c r="B246" s="113" t="s">
        <v>61</v>
      </c>
      <c r="C246" s="113" t="s">
        <v>51</v>
      </c>
      <c r="D246" s="133" t="s">
        <v>262</v>
      </c>
      <c r="E246" s="133" t="s">
        <v>294</v>
      </c>
      <c r="F246" s="134" t="s">
        <v>62</v>
      </c>
      <c r="G246" s="111">
        <v>4250.6000000000004</v>
      </c>
      <c r="H246" s="111"/>
      <c r="I246" s="111">
        <f>SUM(G246)</f>
        <v>4250.6000000000004</v>
      </c>
      <c r="J246" s="115">
        <v>0</v>
      </c>
      <c r="K246" s="111"/>
      <c r="L246" s="115">
        <v>0</v>
      </c>
      <c r="M246" s="111">
        <f>SUM(G246)</f>
        <v>4250.6000000000004</v>
      </c>
      <c r="N246" s="111">
        <f>SUM(H246)</f>
        <v>0</v>
      </c>
      <c r="O246" s="111">
        <f>SUM(I246)</f>
        <v>4250.6000000000004</v>
      </c>
      <c r="P246" s="97"/>
      <c r="Q246" s="97"/>
    </row>
    <row r="247" spans="1:17" ht="31.5" x14ac:dyDescent="0.2">
      <c r="A247" s="40"/>
      <c r="B247" s="113" t="s">
        <v>40</v>
      </c>
      <c r="C247" s="113" t="s">
        <v>51</v>
      </c>
      <c r="D247" s="133" t="s">
        <v>262</v>
      </c>
      <c r="E247" s="133" t="s">
        <v>294</v>
      </c>
      <c r="F247" s="134" t="s">
        <v>41</v>
      </c>
      <c r="G247" s="111">
        <v>145.5</v>
      </c>
      <c r="H247" s="111"/>
      <c r="I247" s="111">
        <v>145.5</v>
      </c>
      <c r="J247" s="115">
        <v>0</v>
      </c>
      <c r="K247" s="111"/>
      <c r="L247" s="115">
        <v>0</v>
      </c>
      <c r="M247" s="111">
        <v>145.5</v>
      </c>
      <c r="N247" s="111"/>
      <c r="O247" s="111">
        <v>145.5</v>
      </c>
      <c r="P247" s="97"/>
      <c r="Q247" s="97"/>
    </row>
    <row r="248" spans="1:17" ht="63" hidden="1" x14ac:dyDescent="0.2">
      <c r="A248" s="40"/>
      <c r="B248" s="135" t="s">
        <v>560</v>
      </c>
      <c r="C248" s="113">
        <v>992</v>
      </c>
      <c r="D248" s="133" t="s">
        <v>262</v>
      </c>
      <c r="E248" s="133" t="s">
        <v>559</v>
      </c>
      <c r="F248" s="134"/>
      <c r="G248" s="111"/>
      <c r="H248" s="111"/>
      <c r="I248" s="111">
        <f>SUM(H248)</f>
        <v>0</v>
      </c>
      <c r="J248" s="115"/>
      <c r="K248" s="111"/>
      <c r="L248" s="115"/>
      <c r="M248" s="111"/>
      <c r="N248" s="111">
        <f>SUM(H248)</f>
        <v>0</v>
      </c>
      <c r="O248" s="111">
        <f>SUM(H248)</f>
        <v>0</v>
      </c>
      <c r="P248" s="97"/>
      <c r="Q248" s="97"/>
    </row>
    <row r="249" spans="1:17" ht="15.75" hidden="1" x14ac:dyDescent="0.2">
      <c r="A249" s="40"/>
      <c r="B249" s="113" t="s">
        <v>47</v>
      </c>
      <c r="C249" s="113">
        <v>992</v>
      </c>
      <c r="D249" s="133" t="s">
        <v>262</v>
      </c>
      <c r="E249" s="133" t="s">
        <v>559</v>
      </c>
      <c r="F249" s="134">
        <v>500</v>
      </c>
      <c r="G249" s="111"/>
      <c r="H249" s="111"/>
      <c r="I249" s="111">
        <f>SUM(H249)</f>
        <v>0</v>
      </c>
      <c r="J249" s="115"/>
      <c r="K249" s="111"/>
      <c r="L249" s="115"/>
      <c r="M249" s="111"/>
      <c r="N249" s="111">
        <f>SUM(H249)</f>
        <v>0</v>
      </c>
      <c r="O249" s="111">
        <f>SUM(H249)</f>
        <v>0</v>
      </c>
      <c r="P249" s="97"/>
      <c r="Q249" s="97"/>
    </row>
    <row r="250" spans="1:17" ht="63" x14ac:dyDescent="0.2">
      <c r="A250" s="40"/>
      <c r="B250" s="113" t="s">
        <v>295</v>
      </c>
      <c r="C250" s="113" t="s">
        <v>51</v>
      </c>
      <c r="D250" s="133" t="s">
        <v>262</v>
      </c>
      <c r="E250" s="133" t="s">
        <v>296</v>
      </c>
      <c r="F250" s="134" t="s">
        <v>11</v>
      </c>
      <c r="G250" s="111">
        <f t="shared" ref="G250:O252" si="48">G251</f>
        <v>800</v>
      </c>
      <c r="H250" s="111">
        <f t="shared" si="48"/>
        <v>0</v>
      </c>
      <c r="I250" s="111">
        <f t="shared" si="48"/>
        <v>800</v>
      </c>
      <c r="J250" s="114">
        <f t="shared" si="48"/>
        <v>0</v>
      </c>
      <c r="K250" s="111">
        <f>K251</f>
        <v>0</v>
      </c>
      <c r="L250" s="114">
        <f t="shared" si="48"/>
        <v>0</v>
      </c>
      <c r="M250" s="111">
        <f t="shared" si="48"/>
        <v>800</v>
      </c>
      <c r="N250" s="111">
        <f t="shared" si="48"/>
        <v>0</v>
      </c>
      <c r="O250" s="111">
        <f t="shared" si="48"/>
        <v>800</v>
      </c>
      <c r="P250" s="97"/>
      <c r="Q250" s="97"/>
    </row>
    <row r="251" spans="1:17" ht="47.25" x14ac:dyDescent="0.2">
      <c r="A251" s="40"/>
      <c r="B251" s="113" t="s">
        <v>297</v>
      </c>
      <c r="C251" s="113" t="s">
        <v>51</v>
      </c>
      <c r="D251" s="133" t="s">
        <v>262</v>
      </c>
      <c r="E251" s="133" t="s">
        <v>298</v>
      </c>
      <c r="F251" s="134" t="s">
        <v>11</v>
      </c>
      <c r="G251" s="111">
        <f t="shared" si="48"/>
        <v>800</v>
      </c>
      <c r="H251" s="111">
        <f>H252</f>
        <v>0</v>
      </c>
      <c r="I251" s="111">
        <f t="shared" si="48"/>
        <v>800</v>
      </c>
      <c r="J251" s="114">
        <f t="shared" si="48"/>
        <v>0</v>
      </c>
      <c r="K251" s="111">
        <f>K252</f>
        <v>0</v>
      </c>
      <c r="L251" s="114">
        <f t="shared" si="48"/>
        <v>0</v>
      </c>
      <c r="M251" s="111">
        <f t="shared" si="48"/>
        <v>800</v>
      </c>
      <c r="N251" s="111">
        <f t="shared" si="48"/>
        <v>0</v>
      </c>
      <c r="O251" s="111">
        <f t="shared" si="48"/>
        <v>800</v>
      </c>
      <c r="P251" s="97"/>
      <c r="Q251" s="97"/>
    </row>
    <row r="252" spans="1:17" ht="31.5" x14ac:dyDescent="0.2">
      <c r="A252" s="40"/>
      <c r="B252" s="113" t="s">
        <v>299</v>
      </c>
      <c r="C252" s="113" t="s">
        <v>51</v>
      </c>
      <c r="D252" s="133" t="s">
        <v>262</v>
      </c>
      <c r="E252" s="133" t="s">
        <v>300</v>
      </c>
      <c r="F252" s="134" t="s">
        <v>11</v>
      </c>
      <c r="G252" s="111">
        <f>G253</f>
        <v>800</v>
      </c>
      <c r="H252" s="106"/>
      <c r="I252" s="111">
        <f>I253</f>
        <v>800</v>
      </c>
      <c r="J252" s="114">
        <f t="shared" si="48"/>
        <v>0</v>
      </c>
      <c r="K252" s="111"/>
      <c r="L252" s="114">
        <f t="shared" si="48"/>
        <v>0</v>
      </c>
      <c r="M252" s="111">
        <f t="shared" si="48"/>
        <v>800</v>
      </c>
      <c r="N252" s="111">
        <f t="shared" si="48"/>
        <v>0</v>
      </c>
      <c r="O252" s="111">
        <f t="shared" si="48"/>
        <v>800</v>
      </c>
      <c r="P252" s="97"/>
      <c r="Q252" s="97"/>
    </row>
    <row r="253" spans="1:17" ht="31.5" x14ac:dyDescent="0.2">
      <c r="A253" s="40"/>
      <c r="B253" s="113" t="s">
        <v>40</v>
      </c>
      <c r="C253" s="113" t="s">
        <v>51</v>
      </c>
      <c r="D253" s="133" t="s">
        <v>262</v>
      </c>
      <c r="E253" s="133" t="s">
        <v>300</v>
      </c>
      <c r="F253" s="134" t="s">
        <v>41</v>
      </c>
      <c r="G253" s="111">
        <v>800</v>
      </c>
      <c r="H253" s="106"/>
      <c r="I253" s="111">
        <f>SUM(G253)</f>
        <v>800</v>
      </c>
      <c r="J253" s="115"/>
      <c r="K253" s="106"/>
      <c r="L253" s="115"/>
      <c r="M253" s="111">
        <f>SUM(G253)</f>
        <v>800</v>
      </c>
      <c r="N253" s="111">
        <f>SUM(H253)</f>
        <v>0</v>
      </c>
      <c r="O253" s="111">
        <f>SUM(I253)</f>
        <v>800</v>
      </c>
      <c r="P253" s="97"/>
      <c r="Q253" s="97"/>
    </row>
    <row r="254" spans="1:17" ht="15.75" x14ac:dyDescent="0.2">
      <c r="A254" s="20" t="s">
        <v>301</v>
      </c>
      <c r="B254" s="107" t="s">
        <v>302</v>
      </c>
      <c r="C254" s="107" t="s">
        <v>51</v>
      </c>
      <c r="D254" s="129" t="s">
        <v>303</v>
      </c>
      <c r="E254" s="129" t="s">
        <v>11</v>
      </c>
      <c r="F254" s="134" t="s">
        <v>11</v>
      </c>
      <c r="G254" s="106">
        <f>G255+G281+G319+G380</f>
        <v>245688.40000000002</v>
      </c>
      <c r="H254" s="106">
        <f>H255+H281+H319+H380</f>
        <v>-6058.8</v>
      </c>
      <c r="I254" s="106">
        <f>I255+I281+I319+I380</f>
        <v>239629.60000000003</v>
      </c>
      <c r="J254" s="108">
        <f>J255+J281+J319+J380</f>
        <v>2442527.3000000003</v>
      </c>
      <c r="K254" s="109">
        <f>K255+K281+K319</f>
        <v>-744760.79999999993</v>
      </c>
      <c r="L254" s="108">
        <f>L255+L281+L319+L380</f>
        <v>1697766.5</v>
      </c>
      <c r="M254" s="106">
        <f>M255+M281+M319+M380</f>
        <v>2688215.6999999997</v>
      </c>
      <c r="N254" s="106">
        <f>N255+N281+N319+N380</f>
        <v>-750819.6</v>
      </c>
      <c r="O254" s="106">
        <f>O255+O281+O319+O380</f>
        <v>1937396.1000000003</v>
      </c>
      <c r="P254" s="97"/>
      <c r="Q254" s="97"/>
    </row>
    <row r="255" spans="1:17" ht="15.75" x14ac:dyDescent="0.2">
      <c r="A255" s="33" t="s">
        <v>304</v>
      </c>
      <c r="B255" s="110" t="s">
        <v>305</v>
      </c>
      <c r="C255" s="110" t="s">
        <v>51</v>
      </c>
      <c r="D255" s="131" t="s">
        <v>306</v>
      </c>
      <c r="E255" s="137" t="s">
        <v>231</v>
      </c>
      <c r="F255" s="134" t="s">
        <v>11</v>
      </c>
      <c r="G255" s="109">
        <f>G270+G261</f>
        <v>7373.4000000000005</v>
      </c>
      <c r="H255" s="109">
        <f>H270+H261+H266+H256</f>
        <v>0</v>
      </c>
      <c r="I255" s="109">
        <f>I270+I261</f>
        <v>7373.4000000000005</v>
      </c>
      <c r="J255" s="112">
        <f>J270</f>
        <v>0</v>
      </c>
      <c r="K255" s="111">
        <f>K270</f>
        <v>0</v>
      </c>
      <c r="L255" s="112">
        <f>L270</f>
        <v>0</v>
      </c>
      <c r="M255" s="109">
        <f>M270+M261</f>
        <v>7373.4000000000005</v>
      </c>
      <c r="N255" s="111">
        <f>SUM(H255)</f>
        <v>0</v>
      </c>
      <c r="O255" s="109">
        <f>O270+O261</f>
        <v>7373.4000000000005</v>
      </c>
      <c r="P255" s="97"/>
      <c r="Q255" s="97"/>
    </row>
    <row r="256" spans="1:17" ht="30.75" customHeight="1" x14ac:dyDescent="0.2">
      <c r="A256" s="33"/>
      <c r="B256" s="113" t="s">
        <v>185</v>
      </c>
      <c r="C256" s="118">
        <v>992</v>
      </c>
      <c r="D256" s="136" t="s">
        <v>306</v>
      </c>
      <c r="E256" s="136" t="s">
        <v>271</v>
      </c>
      <c r="F256" s="134"/>
      <c r="G256" s="111">
        <f>G261</f>
        <v>451.3</v>
      </c>
      <c r="H256" s="111">
        <f>H261+H257</f>
        <v>0</v>
      </c>
      <c r="I256" s="111">
        <f>I261+H256</f>
        <v>451.3</v>
      </c>
      <c r="J256" s="112"/>
      <c r="K256" s="111"/>
      <c r="L256" s="112"/>
      <c r="M256" s="111">
        <f>M261</f>
        <v>451.3</v>
      </c>
      <c r="N256" s="111">
        <f>SUM(N258)</f>
        <v>0</v>
      </c>
      <c r="O256" s="111">
        <f>O261+N256</f>
        <v>451.3</v>
      </c>
      <c r="P256" s="97"/>
      <c r="Q256" s="97"/>
    </row>
    <row r="257" spans="1:17" ht="47.25" hidden="1" x14ac:dyDescent="0.2">
      <c r="A257" s="33"/>
      <c r="B257" s="113" t="s">
        <v>591</v>
      </c>
      <c r="C257" s="118" t="s">
        <v>51</v>
      </c>
      <c r="D257" s="136" t="s">
        <v>306</v>
      </c>
      <c r="E257" s="136" t="s">
        <v>276</v>
      </c>
      <c r="F257" s="134"/>
      <c r="G257" s="111"/>
      <c r="H257" s="111"/>
      <c r="I257" s="111">
        <f>SUM(H257)</f>
        <v>0</v>
      </c>
      <c r="J257" s="112"/>
      <c r="K257" s="111"/>
      <c r="L257" s="112"/>
      <c r="M257" s="111"/>
      <c r="N257" s="111">
        <f t="shared" ref="N257:O259" si="49">SUM(H257)</f>
        <v>0</v>
      </c>
      <c r="O257" s="111">
        <f t="shared" si="49"/>
        <v>0</v>
      </c>
      <c r="P257" s="97"/>
      <c r="Q257" s="97"/>
    </row>
    <row r="258" spans="1:17" ht="31.5" hidden="1" x14ac:dyDescent="0.2">
      <c r="A258" s="33"/>
      <c r="B258" s="113" t="s">
        <v>592</v>
      </c>
      <c r="C258" s="118" t="s">
        <v>51</v>
      </c>
      <c r="D258" s="136" t="s">
        <v>306</v>
      </c>
      <c r="E258" s="136" t="s">
        <v>590</v>
      </c>
      <c r="F258" s="134"/>
      <c r="G258" s="111"/>
      <c r="H258" s="111"/>
      <c r="I258" s="111">
        <f>SUM(H258)</f>
        <v>0</v>
      </c>
      <c r="J258" s="112"/>
      <c r="K258" s="111"/>
      <c r="L258" s="112"/>
      <c r="M258" s="111"/>
      <c r="N258" s="111">
        <f t="shared" si="49"/>
        <v>0</v>
      </c>
      <c r="O258" s="111">
        <f t="shared" si="49"/>
        <v>0</v>
      </c>
      <c r="P258" s="97"/>
      <c r="Q258" s="97"/>
    </row>
    <row r="259" spans="1:17" ht="31.5" hidden="1" x14ac:dyDescent="0.2">
      <c r="A259" s="33"/>
      <c r="B259" s="113" t="s">
        <v>225</v>
      </c>
      <c r="C259" s="118" t="s">
        <v>51</v>
      </c>
      <c r="D259" s="136" t="s">
        <v>306</v>
      </c>
      <c r="E259" s="136" t="s">
        <v>590</v>
      </c>
      <c r="F259" s="134">
        <v>400</v>
      </c>
      <c r="G259" s="111"/>
      <c r="H259" s="111"/>
      <c r="I259" s="111">
        <f>SUM(H259)</f>
        <v>0</v>
      </c>
      <c r="J259" s="112"/>
      <c r="K259" s="111"/>
      <c r="L259" s="112"/>
      <c r="M259" s="111"/>
      <c r="N259" s="111">
        <f t="shared" si="49"/>
        <v>0</v>
      </c>
      <c r="O259" s="111">
        <f t="shared" si="49"/>
        <v>0</v>
      </c>
      <c r="P259" s="97"/>
      <c r="Q259" s="97"/>
    </row>
    <row r="260" spans="1:17" ht="0.75" customHeight="1" x14ac:dyDescent="0.2">
      <c r="A260" s="33"/>
      <c r="B260" s="113"/>
      <c r="C260" s="118"/>
      <c r="D260" s="136"/>
      <c r="E260" s="136"/>
      <c r="F260" s="134"/>
      <c r="G260" s="111"/>
      <c r="H260" s="111"/>
      <c r="I260" s="111"/>
      <c r="J260" s="112"/>
      <c r="K260" s="111"/>
      <c r="L260" s="112"/>
      <c r="M260" s="111"/>
      <c r="N260" s="111"/>
      <c r="O260" s="111"/>
      <c r="P260" s="97"/>
      <c r="Q260" s="97"/>
    </row>
    <row r="261" spans="1:17" ht="31.5" x14ac:dyDescent="0.2">
      <c r="A261" s="33"/>
      <c r="B261" s="113" t="s">
        <v>307</v>
      </c>
      <c r="C261" s="113">
        <v>992</v>
      </c>
      <c r="D261" s="133" t="s">
        <v>306</v>
      </c>
      <c r="E261" s="136" t="s">
        <v>308</v>
      </c>
      <c r="F261" s="134"/>
      <c r="G261" s="111">
        <f>SUM(G262)</f>
        <v>451.3</v>
      </c>
      <c r="H261" s="111">
        <f>SUM(H262)</f>
        <v>0</v>
      </c>
      <c r="I261" s="111">
        <f>SUM(G261:H261)</f>
        <v>451.3</v>
      </c>
      <c r="J261" s="112"/>
      <c r="K261" s="111"/>
      <c r="L261" s="112"/>
      <c r="M261" s="111">
        <f t="shared" ref="M261:O264" si="50">SUM(G261)</f>
        <v>451.3</v>
      </c>
      <c r="N261" s="111">
        <f t="shared" si="50"/>
        <v>0</v>
      </c>
      <c r="O261" s="111">
        <f t="shared" si="50"/>
        <v>451.3</v>
      </c>
      <c r="P261" s="97"/>
      <c r="Q261" s="97"/>
    </row>
    <row r="262" spans="1:17" ht="31.5" x14ac:dyDescent="0.2">
      <c r="A262" s="33"/>
      <c r="B262" s="135" t="s">
        <v>309</v>
      </c>
      <c r="C262" s="113">
        <v>992</v>
      </c>
      <c r="D262" s="133" t="s">
        <v>306</v>
      </c>
      <c r="E262" s="136" t="s">
        <v>310</v>
      </c>
      <c r="F262" s="134"/>
      <c r="G262" s="111">
        <f>SUM(G264)+G263</f>
        <v>451.3</v>
      </c>
      <c r="H262" s="111">
        <f>SUM(H264)+H263</f>
        <v>0</v>
      </c>
      <c r="I262" s="111">
        <f>SUM(G262:H262)</f>
        <v>451.3</v>
      </c>
      <c r="J262" s="112"/>
      <c r="K262" s="111"/>
      <c r="L262" s="112"/>
      <c r="M262" s="111">
        <f>SUM(G262)</f>
        <v>451.3</v>
      </c>
      <c r="N262" s="111">
        <f t="shared" si="50"/>
        <v>0</v>
      </c>
      <c r="O262" s="111">
        <f>SUM(I262)</f>
        <v>451.3</v>
      </c>
      <c r="P262" s="97"/>
      <c r="Q262" s="97"/>
    </row>
    <row r="263" spans="1:17" ht="31.5" x14ac:dyDescent="0.2">
      <c r="A263" s="33"/>
      <c r="B263" s="113" t="s">
        <v>40</v>
      </c>
      <c r="C263" s="113">
        <v>992</v>
      </c>
      <c r="D263" s="133" t="s">
        <v>306</v>
      </c>
      <c r="E263" s="136" t="s">
        <v>310</v>
      </c>
      <c r="F263" s="134">
        <v>200</v>
      </c>
      <c r="G263" s="111">
        <v>451.3</v>
      </c>
      <c r="H263" s="111"/>
      <c r="I263" s="111">
        <f>SUM(G263)+H263</f>
        <v>451.3</v>
      </c>
      <c r="J263" s="112"/>
      <c r="K263" s="111"/>
      <c r="L263" s="112"/>
      <c r="M263" s="111">
        <f>SUM(G263)</f>
        <v>451.3</v>
      </c>
      <c r="N263" s="111">
        <f>SUM(H263)</f>
        <v>0</v>
      </c>
      <c r="O263" s="111">
        <f t="shared" si="50"/>
        <v>451.3</v>
      </c>
      <c r="P263" s="97"/>
      <c r="Q263" s="97"/>
    </row>
    <row r="264" spans="1:17" ht="28.5" customHeight="1" x14ac:dyDescent="0.2">
      <c r="A264" s="33"/>
      <c r="B264" s="113" t="s">
        <v>225</v>
      </c>
      <c r="C264" s="113">
        <v>992</v>
      </c>
      <c r="D264" s="133" t="s">
        <v>306</v>
      </c>
      <c r="E264" s="136" t="s">
        <v>310</v>
      </c>
      <c r="F264" s="134">
        <v>400</v>
      </c>
      <c r="G264" s="111">
        <v>0</v>
      </c>
      <c r="H264" s="111"/>
      <c r="I264" s="111">
        <f>SUM(G264)+H264</f>
        <v>0</v>
      </c>
      <c r="J264" s="112"/>
      <c r="K264" s="111"/>
      <c r="L264" s="112"/>
      <c r="M264" s="111">
        <f>SUM(G264)</f>
        <v>0</v>
      </c>
      <c r="N264" s="111">
        <f t="shared" si="50"/>
        <v>0</v>
      </c>
      <c r="O264" s="111">
        <f t="shared" si="50"/>
        <v>0</v>
      </c>
      <c r="P264" s="97"/>
      <c r="Q264" s="97"/>
    </row>
    <row r="265" spans="1:17" ht="15.75" hidden="1" x14ac:dyDescent="0.2">
      <c r="A265" s="33"/>
      <c r="B265" s="110"/>
      <c r="C265" s="110"/>
      <c r="D265" s="131"/>
      <c r="E265" s="131"/>
      <c r="F265" s="132"/>
      <c r="G265" s="111"/>
      <c r="H265" s="111"/>
      <c r="I265" s="111"/>
      <c r="J265" s="112"/>
      <c r="K265" s="111"/>
      <c r="L265" s="112"/>
      <c r="M265" s="109"/>
      <c r="N265" s="109"/>
      <c r="O265" s="109"/>
      <c r="P265" s="97"/>
      <c r="Q265" s="97"/>
    </row>
    <row r="266" spans="1:17" ht="15.75" hidden="1" x14ac:dyDescent="0.2">
      <c r="A266" s="33"/>
      <c r="B266" s="110"/>
      <c r="C266" s="152">
        <v>992</v>
      </c>
      <c r="D266" s="133" t="s">
        <v>306</v>
      </c>
      <c r="E266" s="131"/>
      <c r="F266" s="132"/>
      <c r="G266" s="111"/>
      <c r="H266" s="111"/>
      <c r="I266" s="111">
        <f>SUM(H266)</f>
        <v>0</v>
      </c>
      <c r="J266" s="112"/>
      <c r="K266" s="111"/>
      <c r="L266" s="112"/>
      <c r="M266" s="109"/>
      <c r="N266" s="109"/>
      <c r="O266" s="109">
        <f>SUM(I266)</f>
        <v>0</v>
      </c>
      <c r="P266" s="97"/>
      <c r="Q266" s="97"/>
    </row>
    <row r="267" spans="1:17" ht="15.75" hidden="1" x14ac:dyDescent="0.2">
      <c r="A267" s="33"/>
      <c r="B267" s="110"/>
      <c r="C267" s="110"/>
      <c r="D267" s="131"/>
      <c r="E267" s="131"/>
      <c r="F267" s="132"/>
      <c r="G267" s="111"/>
      <c r="H267" s="111"/>
      <c r="I267" s="111">
        <f>SUM(H267)</f>
        <v>0</v>
      </c>
      <c r="J267" s="112"/>
      <c r="K267" s="111"/>
      <c r="L267" s="112"/>
      <c r="M267" s="109"/>
      <c r="N267" s="109"/>
      <c r="O267" s="109">
        <f>SUM(I267)</f>
        <v>0</v>
      </c>
      <c r="P267" s="97"/>
      <c r="Q267" s="97"/>
    </row>
    <row r="268" spans="1:17" ht="15.75" hidden="1" x14ac:dyDescent="0.2">
      <c r="A268" s="33"/>
      <c r="B268" s="110"/>
      <c r="C268" s="110"/>
      <c r="D268" s="131"/>
      <c r="E268" s="131"/>
      <c r="F268" s="132"/>
      <c r="G268" s="111"/>
      <c r="H268" s="111"/>
      <c r="I268" s="111">
        <f>SUM(H268)</f>
        <v>0</v>
      </c>
      <c r="J268" s="112"/>
      <c r="K268" s="111"/>
      <c r="L268" s="112"/>
      <c r="M268" s="109"/>
      <c r="N268" s="109">
        <f>SUM(H268)</f>
        <v>0</v>
      </c>
      <c r="O268" s="109">
        <f>SUM(I268)</f>
        <v>0</v>
      </c>
      <c r="P268" s="97"/>
      <c r="Q268" s="97"/>
    </row>
    <row r="269" spans="1:17" ht="31.5" hidden="1" x14ac:dyDescent="0.2">
      <c r="A269" s="33"/>
      <c r="B269" s="113" t="s">
        <v>225</v>
      </c>
      <c r="C269" s="110"/>
      <c r="D269" s="131"/>
      <c r="E269" s="131"/>
      <c r="F269" s="132">
        <v>400</v>
      </c>
      <c r="G269" s="111"/>
      <c r="H269" s="111"/>
      <c r="I269" s="111">
        <f>SUM(H269)</f>
        <v>0</v>
      </c>
      <c r="J269" s="112"/>
      <c r="K269" s="111"/>
      <c r="L269" s="112"/>
      <c r="M269" s="109"/>
      <c r="N269" s="109">
        <f>SUM(H269)</f>
        <v>0</v>
      </c>
      <c r="O269" s="109">
        <f>SUM(I269)</f>
        <v>0</v>
      </c>
      <c r="P269" s="97"/>
      <c r="Q269" s="97"/>
    </row>
    <row r="270" spans="1:17" ht="31.5" x14ac:dyDescent="0.2">
      <c r="A270" s="40"/>
      <c r="B270" s="113" t="s">
        <v>245</v>
      </c>
      <c r="C270" s="113" t="s">
        <v>51</v>
      </c>
      <c r="D270" s="133" t="s">
        <v>306</v>
      </c>
      <c r="E270" s="133" t="s">
        <v>246</v>
      </c>
      <c r="F270" s="134" t="s">
        <v>11</v>
      </c>
      <c r="G270" s="111">
        <f>G275</f>
        <v>6922.1</v>
      </c>
      <c r="H270" s="111">
        <f>H275+H271</f>
        <v>0</v>
      </c>
      <c r="I270" s="111">
        <f>I275+I271</f>
        <v>6922.1</v>
      </c>
      <c r="J270" s="114">
        <f>J275</f>
        <v>0</v>
      </c>
      <c r="K270" s="111">
        <f>K275</f>
        <v>0</v>
      </c>
      <c r="L270" s="114">
        <f>L275</f>
        <v>0</v>
      </c>
      <c r="M270" s="111">
        <f>M275</f>
        <v>6922.1</v>
      </c>
      <c r="N270" s="111">
        <f>N275+N271</f>
        <v>0</v>
      </c>
      <c r="O270" s="111">
        <f>O275+O271</f>
        <v>6922.1</v>
      </c>
      <c r="P270" s="97"/>
      <c r="Q270" s="97"/>
    </row>
    <row r="271" spans="1:17" ht="31.5" x14ac:dyDescent="0.2">
      <c r="A271" s="40"/>
      <c r="B271" s="113" t="s">
        <v>595</v>
      </c>
      <c r="C271" s="113">
        <v>992</v>
      </c>
      <c r="D271" s="133" t="s">
        <v>306</v>
      </c>
      <c r="E271" s="136" t="s">
        <v>439</v>
      </c>
      <c r="F271" s="134"/>
      <c r="G271" s="111"/>
      <c r="H271" s="111">
        <f>SUM(H272)</f>
        <v>0</v>
      </c>
      <c r="I271" s="111">
        <f>SUM(H271)</f>
        <v>0</v>
      </c>
      <c r="J271" s="114"/>
      <c r="K271" s="111"/>
      <c r="L271" s="114"/>
      <c r="M271" s="111"/>
      <c r="N271" s="111">
        <f t="shared" ref="N271:O274" si="51">SUM(H271)</f>
        <v>0</v>
      </c>
      <c r="O271" s="111">
        <f t="shared" si="51"/>
        <v>0</v>
      </c>
      <c r="P271" s="97"/>
      <c r="Q271" s="97"/>
    </row>
    <row r="272" spans="1:17" ht="15.75" x14ac:dyDescent="0.2">
      <c r="A272" s="40"/>
      <c r="B272" s="113" t="s">
        <v>596</v>
      </c>
      <c r="C272" s="113">
        <v>992</v>
      </c>
      <c r="D272" s="133" t="s">
        <v>306</v>
      </c>
      <c r="E272" s="136" t="s">
        <v>593</v>
      </c>
      <c r="F272" s="134"/>
      <c r="G272" s="111"/>
      <c r="H272" s="111">
        <f>SUM(H273)</f>
        <v>0</v>
      </c>
      <c r="I272" s="111">
        <f>SUM(H272)</f>
        <v>0</v>
      </c>
      <c r="J272" s="114"/>
      <c r="K272" s="111"/>
      <c r="L272" s="114"/>
      <c r="M272" s="111"/>
      <c r="N272" s="111">
        <f t="shared" si="51"/>
        <v>0</v>
      </c>
      <c r="O272" s="111">
        <f t="shared" si="51"/>
        <v>0</v>
      </c>
      <c r="P272" s="97"/>
      <c r="Q272" s="97"/>
    </row>
    <row r="273" spans="1:17" ht="47.25" x14ac:dyDescent="0.2">
      <c r="A273" s="40"/>
      <c r="B273" s="113" t="s">
        <v>597</v>
      </c>
      <c r="C273" s="113">
        <v>992</v>
      </c>
      <c r="D273" s="133" t="s">
        <v>306</v>
      </c>
      <c r="E273" s="136" t="s">
        <v>594</v>
      </c>
      <c r="F273" s="134"/>
      <c r="G273" s="111"/>
      <c r="H273" s="111">
        <f>SUM(H274)</f>
        <v>0</v>
      </c>
      <c r="I273" s="111">
        <f>SUM(H273)</f>
        <v>0</v>
      </c>
      <c r="J273" s="114"/>
      <c r="K273" s="111"/>
      <c r="L273" s="114"/>
      <c r="M273" s="111"/>
      <c r="N273" s="111">
        <f t="shared" si="51"/>
        <v>0</v>
      </c>
      <c r="O273" s="111">
        <f t="shared" si="51"/>
        <v>0</v>
      </c>
      <c r="P273" s="97"/>
      <c r="Q273" s="97"/>
    </row>
    <row r="274" spans="1:17" ht="31.5" x14ac:dyDescent="0.2">
      <c r="A274" s="40"/>
      <c r="B274" s="113" t="s">
        <v>225</v>
      </c>
      <c r="C274" s="113">
        <v>992</v>
      </c>
      <c r="D274" s="133" t="s">
        <v>306</v>
      </c>
      <c r="E274" s="136" t="s">
        <v>594</v>
      </c>
      <c r="F274" s="134">
        <v>400</v>
      </c>
      <c r="G274" s="111"/>
      <c r="H274" s="111"/>
      <c r="I274" s="111">
        <f>SUM(H274)</f>
        <v>0</v>
      </c>
      <c r="J274" s="114"/>
      <c r="K274" s="111"/>
      <c r="L274" s="114"/>
      <c r="M274" s="111"/>
      <c r="N274" s="111">
        <f t="shared" si="51"/>
        <v>0</v>
      </c>
      <c r="O274" s="111">
        <f t="shared" si="51"/>
        <v>0</v>
      </c>
      <c r="P274" s="97"/>
      <c r="Q274" s="97"/>
    </row>
    <row r="275" spans="1:17" ht="31.5" x14ac:dyDescent="0.2">
      <c r="A275" s="40"/>
      <c r="B275" s="113" t="s">
        <v>311</v>
      </c>
      <c r="C275" s="113" t="s">
        <v>51</v>
      </c>
      <c r="D275" s="133" t="s">
        <v>306</v>
      </c>
      <c r="E275" s="133" t="s">
        <v>312</v>
      </c>
      <c r="F275" s="134" t="s">
        <v>11</v>
      </c>
      <c r="G275" s="111">
        <f>G276</f>
        <v>6922.1</v>
      </c>
      <c r="H275" s="111">
        <f>H276+H278</f>
        <v>0</v>
      </c>
      <c r="I275" s="111">
        <f>I276</f>
        <v>6922.1</v>
      </c>
      <c r="J275" s="114">
        <f t="shared" ref="J275:O275" si="52">J276</f>
        <v>0</v>
      </c>
      <c r="K275" s="111">
        <f>K276+K278</f>
        <v>0</v>
      </c>
      <c r="L275" s="114">
        <f t="shared" si="52"/>
        <v>0</v>
      </c>
      <c r="M275" s="111">
        <f t="shared" si="52"/>
        <v>6922.1</v>
      </c>
      <c r="N275" s="111">
        <f t="shared" si="52"/>
        <v>0</v>
      </c>
      <c r="O275" s="111">
        <f t="shared" si="52"/>
        <v>6922.1</v>
      </c>
      <c r="P275" s="97"/>
      <c r="Q275" s="97"/>
    </row>
    <row r="276" spans="1:17" ht="31.5" x14ac:dyDescent="0.2">
      <c r="A276" s="40"/>
      <c r="B276" s="113" t="s">
        <v>313</v>
      </c>
      <c r="C276" s="113" t="s">
        <v>51</v>
      </c>
      <c r="D276" s="133" t="s">
        <v>306</v>
      </c>
      <c r="E276" s="133" t="s">
        <v>314</v>
      </c>
      <c r="F276" s="134" t="s">
        <v>11</v>
      </c>
      <c r="G276" s="111">
        <f>G277+G279</f>
        <v>6922.1</v>
      </c>
      <c r="H276" s="111">
        <f>H277+H279</f>
        <v>0</v>
      </c>
      <c r="I276" s="111">
        <f>I277+I279</f>
        <v>6922.1</v>
      </c>
      <c r="J276" s="114">
        <f>J277+J279</f>
        <v>0</v>
      </c>
      <c r="K276" s="111">
        <f>K277</f>
        <v>0</v>
      </c>
      <c r="L276" s="114">
        <f>L277+L279</f>
        <v>0</v>
      </c>
      <c r="M276" s="111">
        <f>M277+M279</f>
        <v>6922.1</v>
      </c>
      <c r="N276" s="111">
        <f>N277+N279</f>
        <v>0</v>
      </c>
      <c r="O276" s="111">
        <f>O277+O279</f>
        <v>6922.1</v>
      </c>
      <c r="P276" s="97"/>
      <c r="Q276" s="97"/>
    </row>
    <row r="277" spans="1:17" ht="47.25" x14ac:dyDescent="0.2">
      <c r="A277" s="40"/>
      <c r="B277" s="113" t="s">
        <v>315</v>
      </c>
      <c r="C277" s="113" t="s">
        <v>51</v>
      </c>
      <c r="D277" s="133" t="s">
        <v>306</v>
      </c>
      <c r="E277" s="133" t="s">
        <v>316</v>
      </c>
      <c r="F277" s="134" t="s">
        <v>11</v>
      </c>
      <c r="G277" s="111">
        <f>G278</f>
        <v>2400</v>
      </c>
      <c r="H277" s="111"/>
      <c r="I277" s="111">
        <f>I278</f>
        <v>2400</v>
      </c>
      <c r="J277" s="114">
        <f>J278</f>
        <v>0</v>
      </c>
      <c r="K277" s="111"/>
      <c r="L277" s="114">
        <f>L278</f>
        <v>0</v>
      </c>
      <c r="M277" s="111">
        <f>M278</f>
        <v>2400</v>
      </c>
      <c r="N277" s="111">
        <f>N278</f>
        <v>0</v>
      </c>
      <c r="O277" s="111">
        <f>O278</f>
        <v>2400</v>
      </c>
      <c r="P277" s="97"/>
      <c r="Q277" s="97"/>
    </row>
    <row r="278" spans="1:17" ht="31.5" x14ac:dyDescent="0.2">
      <c r="A278" s="40"/>
      <c r="B278" s="113" t="s">
        <v>40</v>
      </c>
      <c r="C278" s="113" t="s">
        <v>51</v>
      </c>
      <c r="D278" s="133" t="s">
        <v>306</v>
      </c>
      <c r="E278" s="133" t="s">
        <v>316</v>
      </c>
      <c r="F278" s="134" t="s">
        <v>41</v>
      </c>
      <c r="G278" s="111">
        <v>2400</v>
      </c>
      <c r="H278" s="111"/>
      <c r="I278" s="111">
        <v>2400</v>
      </c>
      <c r="J278" s="115"/>
      <c r="K278" s="111"/>
      <c r="L278" s="115"/>
      <c r="M278" s="111">
        <v>2400</v>
      </c>
      <c r="N278" s="111"/>
      <c r="O278" s="111">
        <v>2400</v>
      </c>
      <c r="P278" s="97"/>
      <c r="Q278" s="97"/>
    </row>
    <row r="279" spans="1:17" ht="47.25" x14ac:dyDescent="0.2">
      <c r="A279" s="40"/>
      <c r="B279" s="113" t="s">
        <v>317</v>
      </c>
      <c r="C279" s="113" t="s">
        <v>51</v>
      </c>
      <c r="D279" s="133" t="s">
        <v>306</v>
      </c>
      <c r="E279" s="133" t="s">
        <v>318</v>
      </c>
      <c r="F279" s="134" t="s">
        <v>11</v>
      </c>
      <c r="G279" s="111">
        <f>G280</f>
        <v>4522.1000000000004</v>
      </c>
      <c r="H279" s="111">
        <f>H280</f>
        <v>0</v>
      </c>
      <c r="I279" s="111">
        <f>I280</f>
        <v>4522.1000000000004</v>
      </c>
      <c r="J279" s="114">
        <f>J280</f>
        <v>0</v>
      </c>
      <c r="K279" s="111"/>
      <c r="L279" s="114">
        <f>L280</f>
        <v>0</v>
      </c>
      <c r="M279" s="111">
        <f>M280</f>
        <v>4522.1000000000004</v>
      </c>
      <c r="N279" s="111">
        <f>N280</f>
        <v>0</v>
      </c>
      <c r="O279" s="111">
        <f>O280</f>
        <v>4522.1000000000004</v>
      </c>
      <c r="P279" s="97"/>
      <c r="Q279" s="97"/>
    </row>
    <row r="280" spans="1:17" ht="31.5" x14ac:dyDescent="0.2">
      <c r="A280" s="40"/>
      <c r="B280" s="113" t="s">
        <v>40</v>
      </c>
      <c r="C280" s="113" t="s">
        <v>51</v>
      </c>
      <c r="D280" s="133" t="s">
        <v>306</v>
      </c>
      <c r="E280" s="133" t="s">
        <v>318</v>
      </c>
      <c r="F280" s="134" t="s">
        <v>41</v>
      </c>
      <c r="G280" s="111">
        <v>4522.1000000000004</v>
      </c>
      <c r="H280" s="117"/>
      <c r="I280" s="111">
        <f>SUM(G280)+H280</f>
        <v>4522.1000000000004</v>
      </c>
      <c r="J280" s="115"/>
      <c r="K280" s="109"/>
      <c r="L280" s="115"/>
      <c r="M280" s="111">
        <f>SUM(G280)</f>
        <v>4522.1000000000004</v>
      </c>
      <c r="N280" s="111">
        <f>SUM(H280)</f>
        <v>0</v>
      </c>
      <c r="O280" s="111">
        <f>SUM(M280)+N280</f>
        <v>4522.1000000000004</v>
      </c>
      <c r="P280" s="97"/>
      <c r="Q280" s="97"/>
    </row>
    <row r="281" spans="1:17" ht="15.75" x14ac:dyDescent="0.2">
      <c r="A281" s="33" t="s">
        <v>319</v>
      </c>
      <c r="B281" s="110" t="s">
        <v>320</v>
      </c>
      <c r="C281" s="110" t="s">
        <v>51</v>
      </c>
      <c r="D281" s="131" t="s">
        <v>321</v>
      </c>
      <c r="E281" s="131" t="s">
        <v>11</v>
      </c>
      <c r="F281" s="132" t="s">
        <v>11</v>
      </c>
      <c r="G281" s="109">
        <f t="shared" ref="G281:O281" si="53">G282+G299</f>
        <v>64902.100000000006</v>
      </c>
      <c r="H281" s="111">
        <f t="shared" si="53"/>
        <v>-6643.5</v>
      </c>
      <c r="I281" s="109">
        <f t="shared" si="53"/>
        <v>58258.600000000006</v>
      </c>
      <c r="J281" s="112">
        <f t="shared" si="53"/>
        <v>2427470.1</v>
      </c>
      <c r="K281" s="111">
        <f t="shared" si="53"/>
        <v>-744760.79999999993</v>
      </c>
      <c r="L281" s="112">
        <f t="shared" si="53"/>
        <v>1682709.3</v>
      </c>
      <c r="M281" s="109">
        <f t="shared" si="53"/>
        <v>2492372.1999999997</v>
      </c>
      <c r="N281" s="111">
        <f t="shared" si="53"/>
        <v>-751404.29999999993</v>
      </c>
      <c r="O281" s="109">
        <f t="shared" si="53"/>
        <v>1740967.9000000004</v>
      </c>
      <c r="P281" s="97"/>
      <c r="Q281" s="97"/>
    </row>
    <row r="282" spans="1:17" ht="31.5" x14ac:dyDescent="0.2">
      <c r="A282" s="40"/>
      <c r="B282" s="113" t="s">
        <v>245</v>
      </c>
      <c r="C282" s="113" t="s">
        <v>51</v>
      </c>
      <c r="D282" s="133" t="s">
        <v>321</v>
      </c>
      <c r="E282" s="133" t="s">
        <v>246</v>
      </c>
      <c r="F282" s="134" t="s">
        <v>11</v>
      </c>
      <c r="G282" s="111">
        <f>G283+G296</f>
        <v>19537.8</v>
      </c>
      <c r="H282" s="111">
        <f>H283+H296</f>
        <v>-3650</v>
      </c>
      <c r="I282" s="111">
        <f>I283+I296</f>
        <v>15887.8</v>
      </c>
      <c r="J282" s="114">
        <f t="shared" ref="G282:O283" si="54">J283</f>
        <v>2303079.5</v>
      </c>
      <c r="K282" s="111">
        <f t="shared" si="54"/>
        <v>-726371.7</v>
      </c>
      <c r="L282" s="114">
        <f t="shared" si="54"/>
        <v>1576707.8</v>
      </c>
      <c r="M282" s="111">
        <f>M283+M296</f>
        <v>2322617.2999999998</v>
      </c>
      <c r="N282" s="111">
        <f>SUM(N296)+N283</f>
        <v>-730021.7</v>
      </c>
      <c r="O282" s="111">
        <f>O283+O296</f>
        <v>1592595.6000000003</v>
      </c>
      <c r="P282" s="97"/>
      <c r="Q282" s="97"/>
    </row>
    <row r="283" spans="1:17" ht="31.5" x14ac:dyDescent="0.2">
      <c r="A283" s="40"/>
      <c r="B283" s="113" t="s">
        <v>322</v>
      </c>
      <c r="C283" s="113" t="s">
        <v>51</v>
      </c>
      <c r="D283" s="133" t="s">
        <v>321</v>
      </c>
      <c r="E283" s="133" t="s">
        <v>323</v>
      </c>
      <c r="F283" s="134" t="s">
        <v>11</v>
      </c>
      <c r="G283" s="111">
        <f t="shared" si="54"/>
        <v>12621</v>
      </c>
      <c r="H283" s="111">
        <f>SUM(H284)</f>
        <v>-3650</v>
      </c>
      <c r="I283" s="111">
        <f t="shared" si="54"/>
        <v>8971</v>
      </c>
      <c r="J283" s="114">
        <f t="shared" si="54"/>
        <v>2303079.5</v>
      </c>
      <c r="K283" s="111">
        <f>SUM(K284)</f>
        <v>-726371.7</v>
      </c>
      <c r="L283" s="114">
        <f t="shared" si="54"/>
        <v>1576707.8</v>
      </c>
      <c r="M283" s="111">
        <f t="shared" si="54"/>
        <v>2315700.5</v>
      </c>
      <c r="N283" s="111">
        <f t="shared" si="54"/>
        <v>-730021.7</v>
      </c>
      <c r="O283" s="111">
        <f t="shared" si="54"/>
        <v>1585678.8000000003</v>
      </c>
      <c r="P283" s="97"/>
      <c r="Q283" s="97"/>
    </row>
    <row r="284" spans="1:17" ht="47.25" x14ac:dyDescent="0.2">
      <c r="A284" s="40"/>
      <c r="B284" s="113" t="s">
        <v>324</v>
      </c>
      <c r="C284" s="113" t="s">
        <v>51</v>
      </c>
      <c r="D284" s="133" t="s">
        <v>321</v>
      </c>
      <c r="E284" s="133" t="s">
        <v>325</v>
      </c>
      <c r="F284" s="134" t="s">
        <v>11</v>
      </c>
      <c r="G284" s="111">
        <f>G285+G288+G290+G292</f>
        <v>12621</v>
      </c>
      <c r="H284" s="111">
        <f>H285+H290+H292+H288</f>
        <v>-3650</v>
      </c>
      <c r="I284" s="111">
        <f>I285+I288+I290+I292</f>
        <v>8971</v>
      </c>
      <c r="J284" s="114">
        <f>J285+J288+J290+J292</f>
        <v>2303079.5</v>
      </c>
      <c r="K284" s="111">
        <f>K285+K288+K292</f>
        <v>-726371.7</v>
      </c>
      <c r="L284" s="114">
        <f>L285+L288+L290+L292</f>
        <v>1576707.8</v>
      </c>
      <c r="M284" s="111">
        <f>M285+M288+M290+M292</f>
        <v>2315700.5</v>
      </c>
      <c r="N284" s="111">
        <f>N285+N288+N290+N292</f>
        <v>-730021.7</v>
      </c>
      <c r="O284" s="111">
        <f>O285+O288+O290+O292</f>
        <v>1585678.8000000003</v>
      </c>
      <c r="P284" s="97"/>
      <c r="Q284" s="97"/>
    </row>
    <row r="285" spans="1:17" ht="15.75" x14ac:dyDescent="0.2">
      <c r="A285" s="40"/>
      <c r="B285" s="113" t="s">
        <v>326</v>
      </c>
      <c r="C285" s="113" t="s">
        <v>51</v>
      </c>
      <c r="D285" s="133" t="s">
        <v>321</v>
      </c>
      <c r="E285" s="133" t="s">
        <v>327</v>
      </c>
      <c r="F285" s="134" t="s">
        <v>11</v>
      </c>
      <c r="G285" s="111">
        <f>G286+G287</f>
        <v>30.8</v>
      </c>
      <c r="H285" s="111">
        <f>SUM(H286)+H287</f>
        <v>0</v>
      </c>
      <c r="I285" s="111">
        <f>I286+I287</f>
        <v>30.8</v>
      </c>
      <c r="J285" s="114">
        <f>J286</f>
        <v>1529.5</v>
      </c>
      <c r="K285" s="111">
        <f>SUM(K286)</f>
        <v>0</v>
      </c>
      <c r="L285" s="114">
        <f>L286</f>
        <v>1529.5</v>
      </c>
      <c r="M285" s="111">
        <f>M286+M287</f>
        <v>1560.3</v>
      </c>
      <c r="N285" s="111">
        <f>N286+N287</f>
        <v>0</v>
      </c>
      <c r="O285" s="111">
        <f>O286+O287</f>
        <v>1560.3</v>
      </c>
      <c r="P285" s="97"/>
      <c r="Q285" s="97"/>
    </row>
    <row r="286" spans="1:17" ht="31.5" x14ac:dyDescent="0.2">
      <c r="A286" s="40"/>
      <c r="B286" s="113" t="s">
        <v>40</v>
      </c>
      <c r="C286" s="113" t="s">
        <v>51</v>
      </c>
      <c r="D286" s="133" t="s">
        <v>321</v>
      </c>
      <c r="E286" s="133" t="s">
        <v>327</v>
      </c>
      <c r="F286" s="134" t="s">
        <v>41</v>
      </c>
      <c r="G286" s="111">
        <v>0</v>
      </c>
      <c r="H286" s="111"/>
      <c r="I286" s="111"/>
      <c r="J286" s="115">
        <v>1529.5</v>
      </c>
      <c r="K286" s="111"/>
      <c r="L286" s="111">
        <f>SUM(J286)</f>
        <v>1529.5</v>
      </c>
      <c r="M286" s="111">
        <f>SUM(J286)</f>
        <v>1529.5</v>
      </c>
      <c r="N286" s="111">
        <f>SUM(H286+K286)</f>
        <v>0</v>
      </c>
      <c r="O286" s="111">
        <f>SUM(L286)</f>
        <v>1529.5</v>
      </c>
      <c r="P286" s="97"/>
      <c r="Q286" s="97"/>
    </row>
    <row r="287" spans="1:17" ht="31.5" x14ac:dyDescent="0.2">
      <c r="A287" s="40"/>
      <c r="B287" s="113" t="s">
        <v>225</v>
      </c>
      <c r="C287" s="113">
        <v>992</v>
      </c>
      <c r="D287" s="133" t="s">
        <v>321</v>
      </c>
      <c r="E287" s="133" t="s">
        <v>327</v>
      </c>
      <c r="F287" s="134">
        <v>400</v>
      </c>
      <c r="G287" s="111">
        <v>30.8</v>
      </c>
      <c r="H287" s="111"/>
      <c r="I287" s="111">
        <f>SUM(G287)+H287</f>
        <v>30.8</v>
      </c>
      <c r="J287" s="115"/>
      <c r="K287" s="111"/>
      <c r="L287" s="119"/>
      <c r="M287" s="111">
        <f>SUM(G287)</f>
        <v>30.8</v>
      </c>
      <c r="N287" s="111">
        <f>SUM(H287)</f>
        <v>0</v>
      </c>
      <c r="O287" s="111">
        <f>SUM(M287)+N287</f>
        <v>30.8</v>
      </c>
      <c r="P287" s="97"/>
      <c r="Q287" s="97"/>
    </row>
    <row r="288" spans="1:17" ht="31.5" x14ac:dyDescent="0.2">
      <c r="A288" s="40"/>
      <c r="B288" s="113" t="s">
        <v>328</v>
      </c>
      <c r="C288" s="113" t="s">
        <v>51</v>
      </c>
      <c r="D288" s="133" t="s">
        <v>321</v>
      </c>
      <c r="E288" s="133" t="s">
        <v>329</v>
      </c>
      <c r="F288" s="134" t="s">
        <v>11</v>
      </c>
      <c r="G288" s="111">
        <f>G289</f>
        <v>11457.5</v>
      </c>
      <c r="H288" s="111">
        <v>-3650</v>
      </c>
      <c r="I288" s="111">
        <f>I289</f>
        <v>7807.5</v>
      </c>
      <c r="J288" s="114">
        <f>J289</f>
        <v>2280029.1</v>
      </c>
      <c r="K288" s="111">
        <v>-726371.7</v>
      </c>
      <c r="L288" s="114">
        <f>L289</f>
        <v>1553657.4000000001</v>
      </c>
      <c r="M288" s="111">
        <f>M289</f>
        <v>2291486.6</v>
      </c>
      <c r="N288" s="111">
        <f>N289</f>
        <v>-730021.7</v>
      </c>
      <c r="O288" s="111">
        <f>O289</f>
        <v>1561464.9000000001</v>
      </c>
      <c r="P288" s="97"/>
      <c r="Q288" s="97"/>
    </row>
    <row r="289" spans="1:17" ht="31.5" x14ac:dyDescent="0.2">
      <c r="A289" s="40"/>
      <c r="B289" s="113" t="s">
        <v>225</v>
      </c>
      <c r="C289" s="113" t="s">
        <v>51</v>
      </c>
      <c r="D289" s="133" t="s">
        <v>321</v>
      </c>
      <c r="E289" s="133" t="s">
        <v>329</v>
      </c>
      <c r="F289" s="134" t="s">
        <v>226</v>
      </c>
      <c r="G289" s="111">
        <v>11457.5</v>
      </c>
      <c r="H289" s="111">
        <v>-3650</v>
      </c>
      <c r="I289" s="111">
        <f>11457.5+H289</f>
        <v>7807.5</v>
      </c>
      <c r="J289" s="115">
        <v>2280029.1</v>
      </c>
      <c r="K289" s="111">
        <v>-726371.7</v>
      </c>
      <c r="L289" s="115">
        <f>2280029.1+K289</f>
        <v>1553657.4000000001</v>
      </c>
      <c r="M289" s="111">
        <f>11457.5+J289</f>
        <v>2291486.6</v>
      </c>
      <c r="N289" s="111">
        <f>SUM(H289+K289)</f>
        <v>-730021.7</v>
      </c>
      <c r="O289" s="111">
        <f>SUM(I289+L289)</f>
        <v>1561464.9000000001</v>
      </c>
      <c r="P289" s="97"/>
      <c r="Q289" s="97"/>
    </row>
    <row r="290" spans="1:17" ht="15.75" x14ac:dyDescent="0.2">
      <c r="A290" s="40"/>
      <c r="B290" s="113" t="s">
        <v>330</v>
      </c>
      <c r="C290" s="113" t="s">
        <v>51</v>
      </c>
      <c r="D290" s="133" t="s">
        <v>321</v>
      </c>
      <c r="E290" s="133" t="s">
        <v>331</v>
      </c>
      <c r="F290" s="134" t="s">
        <v>11</v>
      </c>
      <c r="G290" s="111">
        <f>G291</f>
        <v>386.1</v>
      </c>
      <c r="H290" s="111">
        <f>SUM(H291)</f>
        <v>0</v>
      </c>
      <c r="I290" s="111">
        <f>I291</f>
        <v>386.1</v>
      </c>
      <c r="J290" s="114">
        <f>J291</f>
        <v>7335.5</v>
      </c>
      <c r="K290" s="111">
        <v>0</v>
      </c>
      <c r="L290" s="114">
        <f>L291</f>
        <v>7335.5</v>
      </c>
      <c r="M290" s="111">
        <f>M291</f>
        <v>7721.6</v>
      </c>
      <c r="N290" s="111">
        <f>N291</f>
        <v>0</v>
      </c>
      <c r="O290" s="111">
        <f>O291</f>
        <v>7721.6</v>
      </c>
      <c r="P290" s="97"/>
      <c r="Q290" s="97"/>
    </row>
    <row r="291" spans="1:17" ht="31.5" x14ac:dyDescent="0.2">
      <c r="A291" s="40"/>
      <c r="B291" s="113" t="s">
        <v>225</v>
      </c>
      <c r="C291" s="113" t="s">
        <v>51</v>
      </c>
      <c r="D291" s="133" t="s">
        <v>321</v>
      </c>
      <c r="E291" s="133" t="s">
        <v>331</v>
      </c>
      <c r="F291" s="134" t="s">
        <v>226</v>
      </c>
      <c r="G291" s="111">
        <v>386.1</v>
      </c>
      <c r="H291" s="111"/>
      <c r="I291" s="111">
        <f>SUM(G291)</f>
        <v>386.1</v>
      </c>
      <c r="J291" s="115">
        <f>14200-6864.5</f>
        <v>7335.5</v>
      </c>
      <c r="K291" s="111"/>
      <c r="L291" s="115">
        <f>14200-6864.5</f>
        <v>7335.5</v>
      </c>
      <c r="M291" s="111">
        <f>SUM(J291)+G291</f>
        <v>7721.6</v>
      </c>
      <c r="N291" s="111">
        <f>SUM(H291)</f>
        <v>0</v>
      </c>
      <c r="O291" s="111">
        <f>SUM(L291)+N291+I291</f>
        <v>7721.6</v>
      </c>
      <c r="P291" s="97"/>
      <c r="Q291" s="97"/>
    </row>
    <row r="292" spans="1:17" ht="15.75" x14ac:dyDescent="0.2">
      <c r="A292" s="40"/>
      <c r="B292" s="113" t="s">
        <v>332</v>
      </c>
      <c r="C292" s="113" t="s">
        <v>51</v>
      </c>
      <c r="D292" s="133" t="s">
        <v>321</v>
      </c>
      <c r="E292" s="133" t="s">
        <v>333</v>
      </c>
      <c r="F292" s="134" t="s">
        <v>11</v>
      </c>
      <c r="G292" s="111">
        <f>G293</f>
        <v>746.6</v>
      </c>
      <c r="H292" s="111"/>
      <c r="I292" s="111">
        <f>I293</f>
        <v>746.6</v>
      </c>
      <c r="J292" s="114">
        <f>J293</f>
        <v>14185.4</v>
      </c>
      <c r="K292" s="111"/>
      <c r="L292" s="114">
        <f>L293</f>
        <v>14185.4</v>
      </c>
      <c r="M292" s="111">
        <f>M293</f>
        <v>14932</v>
      </c>
      <c r="N292" s="111">
        <f>N293</f>
        <v>0</v>
      </c>
      <c r="O292" s="111">
        <f>O293</f>
        <v>14932</v>
      </c>
      <c r="P292" s="97"/>
      <c r="Q292" s="97"/>
    </row>
    <row r="293" spans="1:17" ht="31.5" x14ac:dyDescent="0.2">
      <c r="A293" s="40"/>
      <c r="B293" s="113" t="s">
        <v>225</v>
      </c>
      <c r="C293" s="113" t="s">
        <v>51</v>
      </c>
      <c r="D293" s="133" t="s">
        <v>321</v>
      </c>
      <c r="E293" s="133" t="s">
        <v>333</v>
      </c>
      <c r="F293" s="134" t="s">
        <v>226</v>
      </c>
      <c r="G293" s="111">
        <v>746.6</v>
      </c>
      <c r="H293" s="111"/>
      <c r="I293" s="111">
        <f>SUM(G293)+H293</f>
        <v>746.6</v>
      </c>
      <c r="J293" s="115">
        <v>14185.4</v>
      </c>
      <c r="K293" s="111"/>
      <c r="L293" s="115">
        <f>SUM(J293)</f>
        <v>14185.4</v>
      </c>
      <c r="M293" s="111">
        <f>SUM(G293+J293)</f>
        <v>14932</v>
      </c>
      <c r="N293" s="111">
        <f>SUM(K293)+H293</f>
        <v>0</v>
      </c>
      <c r="O293" s="111">
        <f>SUM(I293+L293)</f>
        <v>14932</v>
      </c>
      <c r="P293" s="97"/>
      <c r="Q293" s="97"/>
    </row>
    <row r="294" spans="1:17" ht="31.5" x14ac:dyDescent="0.2">
      <c r="A294" s="40"/>
      <c r="B294" s="118" t="s">
        <v>245</v>
      </c>
      <c r="C294" s="118" t="s">
        <v>51</v>
      </c>
      <c r="D294" s="136" t="s">
        <v>321</v>
      </c>
      <c r="E294" s="136" t="s">
        <v>246</v>
      </c>
      <c r="F294" s="141"/>
      <c r="G294" s="114">
        <f>G295</f>
        <v>6916.8</v>
      </c>
      <c r="H294" s="114">
        <f t="shared" ref="H294:O295" si="55">H295</f>
        <v>0</v>
      </c>
      <c r="I294" s="114">
        <f t="shared" si="55"/>
        <v>6916.8</v>
      </c>
      <c r="J294" s="114">
        <f t="shared" si="55"/>
        <v>0</v>
      </c>
      <c r="K294" s="114">
        <f t="shared" si="55"/>
        <v>0</v>
      </c>
      <c r="L294" s="114">
        <f t="shared" si="55"/>
        <v>0</v>
      </c>
      <c r="M294" s="114">
        <f t="shared" si="55"/>
        <v>6916.8</v>
      </c>
      <c r="N294" s="114">
        <f t="shared" si="55"/>
        <v>0</v>
      </c>
      <c r="O294" s="114">
        <f t="shared" si="55"/>
        <v>6916.8</v>
      </c>
      <c r="P294" s="97"/>
      <c r="Q294" s="97"/>
    </row>
    <row r="295" spans="1:17" ht="15.75" x14ac:dyDescent="0.2">
      <c r="A295" s="40"/>
      <c r="B295" s="118" t="s">
        <v>247</v>
      </c>
      <c r="C295" s="118" t="s">
        <v>51</v>
      </c>
      <c r="D295" s="136" t="s">
        <v>321</v>
      </c>
      <c r="E295" s="136" t="s">
        <v>248</v>
      </c>
      <c r="F295" s="141"/>
      <c r="G295" s="114">
        <f>G296</f>
        <v>6916.8</v>
      </c>
      <c r="H295" s="114">
        <f t="shared" si="55"/>
        <v>0</v>
      </c>
      <c r="I295" s="114">
        <f t="shared" si="55"/>
        <v>6916.8</v>
      </c>
      <c r="J295" s="114">
        <f t="shared" si="55"/>
        <v>0</v>
      </c>
      <c r="K295" s="114">
        <f t="shared" si="55"/>
        <v>0</v>
      </c>
      <c r="L295" s="114">
        <f t="shared" si="55"/>
        <v>0</v>
      </c>
      <c r="M295" s="114">
        <f t="shared" si="55"/>
        <v>6916.8</v>
      </c>
      <c r="N295" s="114">
        <f t="shared" si="55"/>
        <v>0</v>
      </c>
      <c r="O295" s="114">
        <f t="shared" si="55"/>
        <v>6916.8</v>
      </c>
      <c r="P295" s="97"/>
      <c r="Q295" s="97"/>
    </row>
    <row r="296" spans="1:17" ht="47.25" x14ac:dyDescent="0.2">
      <c r="A296" s="40"/>
      <c r="B296" s="143" t="s">
        <v>334</v>
      </c>
      <c r="C296" s="113">
        <v>992</v>
      </c>
      <c r="D296" s="133" t="s">
        <v>321</v>
      </c>
      <c r="E296" s="136" t="s">
        <v>335</v>
      </c>
      <c r="F296" s="134"/>
      <c r="G296" s="111">
        <f t="shared" ref="G296:I297" si="56">SUM(G297)</f>
        <v>6916.8</v>
      </c>
      <c r="H296" s="111">
        <f t="shared" si="56"/>
        <v>0</v>
      </c>
      <c r="I296" s="111">
        <f t="shared" si="56"/>
        <v>6916.8</v>
      </c>
      <c r="J296" s="115"/>
      <c r="K296" s="111"/>
      <c r="L296" s="115"/>
      <c r="M296" s="111">
        <f>SUM(G296)</f>
        <v>6916.8</v>
      </c>
      <c r="N296" s="111">
        <f t="shared" ref="N296:O298" si="57">SUM(H296)</f>
        <v>0</v>
      </c>
      <c r="O296" s="111">
        <f t="shared" si="57"/>
        <v>6916.8</v>
      </c>
      <c r="P296" s="97"/>
      <c r="Q296" s="97"/>
    </row>
    <row r="297" spans="1:17" ht="78.75" x14ac:dyDescent="0.2">
      <c r="A297" s="40"/>
      <c r="B297" s="144" t="s">
        <v>336</v>
      </c>
      <c r="C297" s="113">
        <v>992</v>
      </c>
      <c r="D297" s="133" t="s">
        <v>321</v>
      </c>
      <c r="E297" s="136" t="s">
        <v>337</v>
      </c>
      <c r="F297" s="134"/>
      <c r="G297" s="111">
        <f t="shared" si="56"/>
        <v>6916.8</v>
      </c>
      <c r="H297" s="111">
        <f t="shared" si="56"/>
        <v>0</v>
      </c>
      <c r="I297" s="111">
        <f t="shared" si="56"/>
        <v>6916.8</v>
      </c>
      <c r="J297" s="115"/>
      <c r="K297" s="111"/>
      <c r="L297" s="115"/>
      <c r="M297" s="111">
        <f>SUM(G297)</f>
        <v>6916.8</v>
      </c>
      <c r="N297" s="111">
        <f t="shared" si="57"/>
        <v>0</v>
      </c>
      <c r="O297" s="111">
        <f t="shared" si="57"/>
        <v>6916.8</v>
      </c>
      <c r="P297" s="97"/>
      <c r="Q297" s="97"/>
    </row>
    <row r="298" spans="1:17" ht="15.75" x14ac:dyDescent="0.2">
      <c r="A298" s="40"/>
      <c r="B298" s="113" t="s">
        <v>338</v>
      </c>
      <c r="C298" s="113">
        <v>992</v>
      </c>
      <c r="D298" s="133" t="s">
        <v>321</v>
      </c>
      <c r="E298" s="136" t="s">
        <v>337</v>
      </c>
      <c r="F298" s="134">
        <v>800</v>
      </c>
      <c r="G298" s="111">
        <v>6916.8</v>
      </c>
      <c r="H298" s="111"/>
      <c r="I298" s="111">
        <f>SUM(G298)+H298</f>
        <v>6916.8</v>
      </c>
      <c r="J298" s="115"/>
      <c r="K298" s="111"/>
      <c r="L298" s="115"/>
      <c r="M298" s="111">
        <f>SUM(G298)</f>
        <v>6916.8</v>
      </c>
      <c r="N298" s="111">
        <f t="shared" si="57"/>
        <v>0</v>
      </c>
      <c r="O298" s="111">
        <f t="shared" si="57"/>
        <v>6916.8</v>
      </c>
      <c r="P298" s="97"/>
      <c r="Q298" s="97"/>
    </row>
    <row r="299" spans="1:17" ht="31.5" x14ac:dyDescent="0.2">
      <c r="A299" s="40"/>
      <c r="B299" s="113" t="s">
        <v>339</v>
      </c>
      <c r="C299" s="113" t="s">
        <v>51</v>
      </c>
      <c r="D299" s="133" t="s">
        <v>321</v>
      </c>
      <c r="E299" s="133" t="s">
        <v>340</v>
      </c>
      <c r="F299" s="134" t="s">
        <v>11</v>
      </c>
      <c r="G299" s="111">
        <f>G300+G312+G309</f>
        <v>45364.3</v>
      </c>
      <c r="H299" s="111">
        <f>H300+H309+H312</f>
        <v>-2993.5</v>
      </c>
      <c r="I299" s="111">
        <f>I300+I312+I309</f>
        <v>42370.8</v>
      </c>
      <c r="J299" s="114">
        <f>J300+J312</f>
        <v>124390.6</v>
      </c>
      <c r="K299" s="111">
        <f>K300+K312</f>
        <v>-18389.099999999999</v>
      </c>
      <c r="L299" s="114">
        <f>L300+L312</f>
        <v>106001.5</v>
      </c>
      <c r="M299" s="111">
        <f>M300+M312+M309</f>
        <v>169754.90000000002</v>
      </c>
      <c r="N299" s="111">
        <f>N300+N309+N312</f>
        <v>-21382.6</v>
      </c>
      <c r="O299" s="111">
        <f>O300+O312+O309</f>
        <v>148372.29999999999</v>
      </c>
      <c r="P299" s="97"/>
      <c r="Q299" s="97"/>
    </row>
    <row r="300" spans="1:17" ht="15.75" x14ac:dyDescent="0.2">
      <c r="A300" s="40"/>
      <c r="B300" s="113" t="s">
        <v>341</v>
      </c>
      <c r="C300" s="113" t="s">
        <v>51</v>
      </c>
      <c r="D300" s="133" t="s">
        <v>321</v>
      </c>
      <c r="E300" s="133" t="s">
        <v>342</v>
      </c>
      <c r="F300" s="134" t="s">
        <v>11</v>
      </c>
      <c r="G300" s="111">
        <f t="shared" ref="G300:O300" si="58">G301</f>
        <v>29421.300000000003</v>
      </c>
      <c r="H300" s="111">
        <f>H301</f>
        <v>-2993.5</v>
      </c>
      <c r="I300" s="111">
        <f t="shared" si="58"/>
        <v>26427.800000000003</v>
      </c>
      <c r="J300" s="114">
        <f t="shared" si="58"/>
        <v>119390.6</v>
      </c>
      <c r="K300" s="111">
        <f>K301+K304</f>
        <v>-18389.099999999999</v>
      </c>
      <c r="L300" s="114">
        <f t="shared" si="58"/>
        <v>101001.5</v>
      </c>
      <c r="M300" s="111">
        <f t="shared" si="58"/>
        <v>148811.90000000002</v>
      </c>
      <c r="N300" s="111">
        <f t="shared" si="58"/>
        <v>-21382.6</v>
      </c>
      <c r="O300" s="111">
        <f t="shared" si="58"/>
        <v>127429.3</v>
      </c>
      <c r="P300" s="97"/>
      <c r="Q300" s="97"/>
    </row>
    <row r="301" spans="1:17" ht="47.25" x14ac:dyDescent="0.2">
      <c r="A301" s="40"/>
      <c r="B301" s="113" t="s">
        <v>343</v>
      </c>
      <c r="C301" s="113" t="s">
        <v>51</v>
      </c>
      <c r="D301" s="133" t="s">
        <v>321</v>
      </c>
      <c r="E301" s="133" t="s">
        <v>344</v>
      </c>
      <c r="F301" s="134" t="s">
        <v>11</v>
      </c>
      <c r="G301" s="111">
        <f>G302+G305</f>
        <v>29421.300000000003</v>
      </c>
      <c r="H301" s="111">
        <f>H302+H305</f>
        <v>-2993.5</v>
      </c>
      <c r="I301" s="111">
        <f>I302+I305</f>
        <v>26427.800000000003</v>
      </c>
      <c r="J301" s="114">
        <f>J302+J305</f>
        <v>119390.6</v>
      </c>
      <c r="K301" s="111">
        <f>K302+K305</f>
        <v>-18389.099999999999</v>
      </c>
      <c r="L301" s="114">
        <f>L302+L305</f>
        <v>101001.5</v>
      </c>
      <c r="M301" s="111">
        <f>M302+M305</f>
        <v>148811.90000000002</v>
      </c>
      <c r="N301" s="111">
        <f>N302+N305</f>
        <v>-21382.6</v>
      </c>
      <c r="O301" s="111">
        <f>O302+O305</f>
        <v>127429.3</v>
      </c>
      <c r="P301" s="97"/>
      <c r="Q301" s="97"/>
    </row>
    <row r="302" spans="1:17" ht="47.25" x14ac:dyDescent="0.2">
      <c r="A302" s="40"/>
      <c r="B302" s="113" t="s">
        <v>345</v>
      </c>
      <c r="C302" s="113" t="s">
        <v>51</v>
      </c>
      <c r="D302" s="133" t="s">
        <v>321</v>
      </c>
      <c r="E302" s="133" t="s">
        <v>346</v>
      </c>
      <c r="F302" s="134" t="s">
        <v>11</v>
      </c>
      <c r="G302" s="111">
        <f>G303+G304</f>
        <v>9985.6</v>
      </c>
      <c r="H302" s="111">
        <f>SUM(H303+H304)</f>
        <v>0</v>
      </c>
      <c r="I302" s="111">
        <f>I303+I304</f>
        <v>9985.6</v>
      </c>
      <c r="J302" s="114">
        <f>J303+J304</f>
        <v>0</v>
      </c>
      <c r="K302" s="111"/>
      <c r="L302" s="114">
        <f>L303+L304</f>
        <v>0</v>
      </c>
      <c r="M302" s="111">
        <f>M303+M304</f>
        <v>9985.6</v>
      </c>
      <c r="N302" s="111">
        <f>N303+N304</f>
        <v>0</v>
      </c>
      <c r="O302" s="111">
        <f>O303+O304</f>
        <v>9985.6</v>
      </c>
      <c r="P302" s="97"/>
      <c r="Q302" s="97"/>
    </row>
    <row r="303" spans="1:17" ht="31.5" x14ac:dyDescent="0.2">
      <c r="A303" s="40"/>
      <c r="B303" s="113" t="s">
        <v>40</v>
      </c>
      <c r="C303" s="113" t="s">
        <v>51</v>
      </c>
      <c r="D303" s="133" t="s">
        <v>321</v>
      </c>
      <c r="E303" s="133" t="s">
        <v>346</v>
      </c>
      <c r="F303" s="134" t="s">
        <v>41</v>
      </c>
      <c r="G303" s="111">
        <v>2940</v>
      </c>
      <c r="H303" s="111"/>
      <c r="I303" s="111">
        <f>SUM(G303)+H303</f>
        <v>2940</v>
      </c>
      <c r="J303" s="115">
        <v>0</v>
      </c>
      <c r="K303" s="111">
        <f>2803.6+840-1820-983.6-840</f>
        <v>0</v>
      </c>
      <c r="L303" s="115">
        <v>0</v>
      </c>
      <c r="M303" s="111">
        <f>SUM(G303)</f>
        <v>2940</v>
      </c>
      <c r="N303" s="111">
        <f>SUM(H303)</f>
        <v>0</v>
      </c>
      <c r="O303" s="111">
        <f>SUM(I303)</f>
        <v>2940</v>
      </c>
      <c r="P303" s="97"/>
      <c r="Q303" s="97"/>
    </row>
    <row r="304" spans="1:17" ht="31.5" x14ac:dyDescent="0.2">
      <c r="A304" s="40"/>
      <c r="B304" s="113" t="s">
        <v>225</v>
      </c>
      <c r="C304" s="113" t="s">
        <v>51</v>
      </c>
      <c r="D304" s="133" t="s">
        <v>321</v>
      </c>
      <c r="E304" s="133" t="s">
        <v>346</v>
      </c>
      <c r="F304" s="134" t="s">
        <v>226</v>
      </c>
      <c r="G304" s="111">
        <v>7045.6</v>
      </c>
      <c r="H304" s="111"/>
      <c r="I304" s="111">
        <f>SUM(G304)+R305+H304</f>
        <v>7045.6</v>
      </c>
      <c r="J304" s="115">
        <v>0</v>
      </c>
      <c r="K304" s="111"/>
      <c r="L304" s="115">
        <v>0</v>
      </c>
      <c r="M304" s="111">
        <f>SUM(G304)</f>
        <v>7045.6</v>
      </c>
      <c r="N304" s="111">
        <f>SUM(H304)</f>
        <v>0</v>
      </c>
      <c r="O304" s="111">
        <f>SUM(M304)+N304</f>
        <v>7045.6</v>
      </c>
      <c r="P304" s="97"/>
      <c r="Q304" s="97"/>
    </row>
    <row r="305" spans="1:17" ht="15.75" x14ac:dyDescent="0.2">
      <c r="A305" s="40"/>
      <c r="B305" s="113" t="s">
        <v>347</v>
      </c>
      <c r="C305" s="113" t="s">
        <v>51</v>
      </c>
      <c r="D305" s="133" t="s">
        <v>321</v>
      </c>
      <c r="E305" s="133" t="s">
        <v>348</v>
      </c>
      <c r="F305" s="134" t="s">
        <v>11</v>
      </c>
      <c r="G305" s="111">
        <f>G306</f>
        <v>19435.7</v>
      </c>
      <c r="H305" s="111">
        <f>SUM(H306)</f>
        <v>-2993.5</v>
      </c>
      <c r="I305" s="111">
        <f>I306</f>
        <v>16442.2</v>
      </c>
      <c r="J305" s="114">
        <f>J306</f>
        <v>119390.6</v>
      </c>
      <c r="K305" s="119">
        <v>-18389.099999999999</v>
      </c>
      <c r="L305" s="114">
        <f>L306</f>
        <v>101001.5</v>
      </c>
      <c r="M305" s="111">
        <f>M306</f>
        <v>138826.30000000002</v>
      </c>
      <c r="N305" s="111">
        <f>N306</f>
        <v>-21382.6</v>
      </c>
      <c r="O305" s="111">
        <f>O306</f>
        <v>117443.7</v>
      </c>
      <c r="P305" s="97"/>
      <c r="Q305" s="97"/>
    </row>
    <row r="306" spans="1:17" ht="31.5" x14ac:dyDescent="0.2">
      <c r="A306" s="40"/>
      <c r="B306" s="113" t="s">
        <v>225</v>
      </c>
      <c r="C306" s="113" t="s">
        <v>51</v>
      </c>
      <c r="D306" s="133" t="s">
        <v>321</v>
      </c>
      <c r="E306" s="133" t="s">
        <v>348</v>
      </c>
      <c r="F306" s="134" t="s">
        <v>226</v>
      </c>
      <c r="G306" s="111">
        <v>19435.7</v>
      </c>
      <c r="H306" s="111">
        <v>-2993.5</v>
      </c>
      <c r="I306" s="111">
        <f>19435.7+H306</f>
        <v>16442.2</v>
      </c>
      <c r="J306" s="115">
        <v>119390.6</v>
      </c>
      <c r="K306" s="119">
        <v>-18389.099999999999</v>
      </c>
      <c r="L306" s="115">
        <f>SUM(J306)+K306</f>
        <v>101001.5</v>
      </c>
      <c r="M306" s="111">
        <f>SUM(G306+J306)</f>
        <v>138826.30000000002</v>
      </c>
      <c r="N306" s="111">
        <f>SUM(H306+K306)</f>
        <v>-21382.6</v>
      </c>
      <c r="O306" s="111">
        <f>SUM(I306+L306)</f>
        <v>117443.7</v>
      </c>
      <c r="P306" s="97"/>
      <c r="Q306" s="97"/>
    </row>
    <row r="307" spans="1:17" ht="15.75" x14ac:dyDescent="0.2">
      <c r="A307" s="40"/>
      <c r="B307" s="118" t="s">
        <v>580</v>
      </c>
      <c r="C307" s="118" t="s">
        <v>51</v>
      </c>
      <c r="D307" s="136" t="s">
        <v>321</v>
      </c>
      <c r="E307" s="136" t="s">
        <v>579</v>
      </c>
      <c r="F307" s="141"/>
      <c r="G307" s="111">
        <f>G308</f>
        <v>0</v>
      </c>
      <c r="H307" s="111">
        <f t="shared" ref="H307:O308" si="59">H308</f>
        <v>0</v>
      </c>
      <c r="I307" s="120">
        <f t="shared" si="59"/>
        <v>0</v>
      </c>
      <c r="J307" s="114">
        <f t="shared" si="59"/>
        <v>0</v>
      </c>
      <c r="K307" s="114">
        <f t="shared" si="59"/>
        <v>0</v>
      </c>
      <c r="L307" s="119">
        <f t="shared" si="59"/>
        <v>0</v>
      </c>
      <c r="M307" s="111">
        <f t="shared" si="59"/>
        <v>0</v>
      </c>
      <c r="N307" s="111">
        <f t="shared" si="59"/>
        <v>0</v>
      </c>
      <c r="O307" s="111">
        <f t="shared" si="59"/>
        <v>0</v>
      </c>
      <c r="P307" s="97"/>
      <c r="Q307" s="97"/>
    </row>
    <row r="308" spans="1:17" ht="31.5" x14ac:dyDescent="0.2">
      <c r="A308" s="40"/>
      <c r="B308" s="118" t="s">
        <v>581</v>
      </c>
      <c r="C308" s="118" t="s">
        <v>51</v>
      </c>
      <c r="D308" s="136" t="s">
        <v>321</v>
      </c>
      <c r="E308" s="136" t="s">
        <v>578</v>
      </c>
      <c r="F308" s="141"/>
      <c r="G308" s="111">
        <f>G309</f>
        <v>0</v>
      </c>
      <c r="H308" s="111">
        <f t="shared" si="59"/>
        <v>0</v>
      </c>
      <c r="I308" s="120">
        <f t="shared" si="59"/>
        <v>0</v>
      </c>
      <c r="J308" s="114">
        <f t="shared" si="59"/>
        <v>0</v>
      </c>
      <c r="K308" s="114">
        <f t="shared" si="59"/>
        <v>0</v>
      </c>
      <c r="L308" s="119">
        <f t="shared" si="59"/>
        <v>0</v>
      </c>
      <c r="M308" s="111">
        <f t="shared" si="59"/>
        <v>0</v>
      </c>
      <c r="N308" s="111">
        <f t="shared" si="59"/>
        <v>0</v>
      </c>
      <c r="O308" s="111">
        <f t="shared" si="59"/>
        <v>0</v>
      </c>
      <c r="P308" s="97"/>
      <c r="Q308" s="97"/>
    </row>
    <row r="309" spans="1:17" ht="15.75" x14ac:dyDescent="0.2">
      <c r="A309" s="40"/>
      <c r="B309" s="113" t="s">
        <v>349</v>
      </c>
      <c r="C309" s="113">
        <v>992</v>
      </c>
      <c r="D309" s="133" t="s">
        <v>321</v>
      </c>
      <c r="E309" s="133">
        <v>1120121140</v>
      </c>
      <c r="F309" s="134"/>
      <c r="G309" s="111">
        <f>SUM(G311)</f>
        <v>0</v>
      </c>
      <c r="H309" s="111">
        <f>SUM(H311)</f>
        <v>0</v>
      </c>
      <c r="I309" s="111">
        <f>SUM(G309:H309)</f>
        <v>0</v>
      </c>
      <c r="J309" s="115"/>
      <c r="K309" s="111"/>
      <c r="L309" s="115"/>
      <c r="M309" s="111">
        <f>SUM(G309)</f>
        <v>0</v>
      </c>
      <c r="N309" s="111">
        <f t="shared" ref="N309:O311" si="60">SUM(H309)</f>
        <v>0</v>
      </c>
      <c r="O309" s="111">
        <f t="shared" si="60"/>
        <v>0</v>
      </c>
      <c r="P309" s="97"/>
      <c r="Q309" s="97"/>
    </row>
    <row r="310" spans="1:17" ht="25.9" hidden="1" customHeight="1" x14ac:dyDescent="0.2">
      <c r="A310" s="40"/>
      <c r="B310" s="113"/>
      <c r="C310" s="113">
        <v>992</v>
      </c>
      <c r="D310" s="133" t="s">
        <v>321</v>
      </c>
      <c r="E310" s="133">
        <v>1120121140</v>
      </c>
      <c r="F310" s="134">
        <v>400</v>
      </c>
      <c r="G310" s="111"/>
      <c r="H310" s="111">
        <f>SUM(H311)</f>
        <v>0</v>
      </c>
      <c r="I310" s="111">
        <f>SUM(H310)</f>
        <v>0</v>
      </c>
      <c r="J310" s="115"/>
      <c r="K310" s="111"/>
      <c r="L310" s="115"/>
      <c r="M310" s="111"/>
      <c r="N310" s="111">
        <f t="shared" si="60"/>
        <v>0</v>
      </c>
      <c r="O310" s="111">
        <f t="shared" si="60"/>
        <v>0</v>
      </c>
      <c r="P310" s="97"/>
      <c r="Q310" s="97"/>
    </row>
    <row r="311" spans="1:17" ht="31.5" x14ac:dyDescent="0.2">
      <c r="A311" s="40"/>
      <c r="B311" s="113" t="s">
        <v>225</v>
      </c>
      <c r="C311" s="113">
        <v>992</v>
      </c>
      <c r="D311" s="133" t="s">
        <v>321</v>
      </c>
      <c r="E311" s="133">
        <v>1120121140</v>
      </c>
      <c r="F311" s="134">
        <v>400</v>
      </c>
      <c r="G311" s="111">
        <v>0</v>
      </c>
      <c r="H311" s="111"/>
      <c r="I311" s="111">
        <f>SUM(G311:H311)</f>
        <v>0</v>
      </c>
      <c r="J311" s="115"/>
      <c r="K311" s="111"/>
      <c r="L311" s="115"/>
      <c r="M311" s="111">
        <f>SUM(G311)</f>
        <v>0</v>
      </c>
      <c r="N311" s="111">
        <f t="shared" si="60"/>
        <v>0</v>
      </c>
      <c r="O311" s="111">
        <f t="shared" si="60"/>
        <v>0</v>
      </c>
      <c r="P311" s="97"/>
      <c r="Q311" s="97"/>
    </row>
    <row r="312" spans="1:17" ht="15.75" x14ac:dyDescent="0.2">
      <c r="A312" s="40"/>
      <c r="B312" s="135" t="s">
        <v>350</v>
      </c>
      <c r="C312" s="113">
        <v>992</v>
      </c>
      <c r="D312" s="133" t="s">
        <v>321</v>
      </c>
      <c r="E312" s="133">
        <v>1130000000</v>
      </c>
      <c r="F312" s="134"/>
      <c r="G312" s="111">
        <f>SUM(G313)</f>
        <v>15943</v>
      </c>
      <c r="H312" s="111">
        <f>H313</f>
        <v>0</v>
      </c>
      <c r="I312" s="111">
        <f>SUM(I313)</f>
        <v>15943</v>
      </c>
      <c r="J312" s="111">
        <f t="shared" ref="J312:M313" si="61">SUM(J313)</f>
        <v>5000</v>
      </c>
      <c r="K312" s="111">
        <f t="shared" si="61"/>
        <v>0</v>
      </c>
      <c r="L312" s="111">
        <f t="shared" si="61"/>
        <v>5000</v>
      </c>
      <c r="M312" s="111">
        <f t="shared" si="61"/>
        <v>20943</v>
      </c>
      <c r="N312" s="111">
        <f>SUM(H312)+K312</f>
        <v>0</v>
      </c>
      <c r="O312" s="111">
        <f>SUM(O313)</f>
        <v>20943</v>
      </c>
      <c r="P312" s="97"/>
      <c r="Q312" s="97"/>
    </row>
    <row r="313" spans="1:17" ht="47.25" x14ac:dyDescent="0.2">
      <c r="A313" s="40"/>
      <c r="B313" s="135" t="s">
        <v>351</v>
      </c>
      <c r="C313" s="113">
        <v>992</v>
      </c>
      <c r="D313" s="133" t="s">
        <v>321</v>
      </c>
      <c r="E313" s="133">
        <v>1130100000</v>
      </c>
      <c r="F313" s="134"/>
      <c r="G313" s="111">
        <f>SUM(G314)</f>
        <v>15943</v>
      </c>
      <c r="H313" s="111">
        <f>H314</f>
        <v>0</v>
      </c>
      <c r="I313" s="111">
        <f>SUM(I314)</f>
        <v>15943</v>
      </c>
      <c r="J313" s="111">
        <f>SUM(J314)+J317</f>
        <v>5000</v>
      </c>
      <c r="K313" s="111">
        <f t="shared" si="61"/>
        <v>0</v>
      </c>
      <c r="L313" s="111">
        <f>SUM(L314)+L317</f>
        <v>5000</v>
      </c>
      <c r="M313" s="111">
        <f>SUM(M314)+M317</f>
        <v>20943</v>
      </c>
      <c r="N313" s="111">
        <f>SUM(H313)+K313+N317</f>
        <v>0</v>
      </c>
      <c r="O313" s="111">
        <f>SUM(O314)+O317</f>
        <v>20943</v>
      </c>
      <c r="P313" s="97"/>
      <c r="Q313" s="97"/>
    </row>
    <row r="314" spans="1:17" ht="15.75" x14ac:dyDescent="0.2">
      <c r="A314" s="40"/>
      <c r="B314" s="135" t="s">
        <v>582</v>
      </c>
      <c r="C314" s="113">
        <v>992</v>
      </c>
      <c r="D314" s="133" t="s">
        <v>321</v>
      </c>
      <c r="E314" s="133">
        <v>1130121070</v>
      </c>
      <c r="F314" s="134"/>
      <c r="G314" s="111">
        <f>SUM(G316)+G315</f>
        <v>15943</v>
      </c>
      <c r="H314" s="111">
        <f>H315+H316</f>
        <v>0</v>
      </c>
      <c r="I314" s="111">
        <f>SUM(G314:H314)</f>
        <v>15943</v>
      </c>
      <c r="J314" s="115"/>
      <c r="K314" s="111"/>
      <c r="L314" s="115">
        <f>SUM(J314)</f>
        <v>0</v>
      </c>
      <c r="M314" s="111">
        <f>SUM(G314)+J314</f>
        <v>15943</v>
      </c>
      <c r="N314" s="111">
        <f>N315+N316</f>
        <v>0</v>
      </c>
      <c r="O314" s="111">
        <f>SUM(I314)+L314</f>
        <v>15943</v>
      </c>
      <c r="P314" s="97"/>
      <c r="Q314" s="97"/>
    </row>
    <row r="315" spans="1:17" ht="31.5" x14ac:dyDescent="0.2">
      <c r="A315" s="40"/>
      <c r="B315" s="113" t="s">
        <v>40</v>
      </c>
      <c r="C315" s="113">
        <v>992</v>
      </c>
      <c r="D315" s="133" t="s">
        <v>321</v>
      </c>
      <c r="E315" s="133">
        <v>1130121070</v>
      </c>
      <c r="F315" s="134">
        <v>200</v>
      </c>
      <c r="G315" s="111">
        <v>14129</v>
      </c>
      <c r="H315" s="111"/>
      <c r="I315" s="111">
        <f>SUM(G315:H315)</f>
        <v>14129</v>
      </c>
      <c r="J315" s="115"/>
      <c r="K315" s="111"/>
      <c r="L315" s="115">
        <f>SUM(J315)</f>
        <v>0</v>
      </c>
      <c r="M315" s="111">
        <f>SUM(G315)+J315</f>
        <v>14129</v>
      </c>
      <c r="N315" s="111">
        <f>SUM(H315)+K315</f>
        <v>0</v>
      </c>
      <c r="O315" s="111">
        <f>SUM(I315)+L315</f>
        <v>14129</v>
      </c>
      <c r="P315" s="97"/>
      <c r="Q315" s="97"/>
    </row>
    <row r="316" spans="1:17" ht="31.5" x14ac:dyDescent="0.2">
      <c r="A316" s="40"/>
      <c r="B316" s="113" t="s">
        <v>225</v>
      </c>
      <c r="C316" s="113">
        <v>992</v>
      </c>
      <c r="D316" s="133" t="s">
        <v>321</v>
      </c>
      <c r="E316" s="136" t="s">
        <v>352</v>
      </c>
      <c r="F316" s="134">
        <v>400</v>
      </c>
      <c r="G316" s="111">
        <v>1814</v>
      </c>
      <c r="H316" s="111"/>
      <c r="I316" s="111">
        <v>1814</v>
      </c>
      <c r="J316" s="115"/>
      <c r="K316" s="109"/>
      <c r="L316" s="115"/>
      <c r="M316" s="111">
        <f>SUM(G316)</f>
        <v>1814</v>
      </c>
      <c r="N316" s="111">
        <f>SUM(H316)</f>
        <v>0</v>
      </c>
      <c r="O316" s="111">
        <f>SUM(I316)</f>
        <v>1814</v>
      </c>
      <c r="P316" s="97"/>
      <c r="Q316" s="97"/>
    </row>
    <row r="317" spans="1:17" ht="31.5" x14ac:dyDescent="0.2">
      <c r="A317" s="40"/>
      <c r="B317" s="113" t="s">
        <v>603</v>
      </c>
      <c r="C317" s="113">
        <v>992</v>
      </c>
      <c r="D317" s="133" t="s">
        <v>321</v>
      </c>
      <c r="E317" s="136" t="s">
        <v>602</v>
      </c>
      <c r="F317" s="134"/>
      <c r="G317" s="111"/>
      <c r="H317" s="111"/>
      <c r="I317" s="111"/>
      <c r="J317" s="115">
        <v>5000</v>
      </c>
      <c r="K317" s="109"/>
      <c r="L317" s="121">
        <v>5000</v>
      </c>
      <c r="M317" s="121">
        <v>5000</v>
      </c>
      <c r="N317" s="111"/>
      <c r="O317" s="111">
        <f>SUM(M317)</f>
        <v>5000</v>
      </c>
      <c r="P317" s="97"/>
      <c r="Q317" s="97"/>
    </row>
    <row r="318" spans="1:17" ht="31.5" x14ac:dyDescent="0.2">
      <c r="A318" s="40"/>
      <c r="B318" s="113" t="s">
        <v>40</v>
      </c>
      <c r="C318" s="113">
        <v>992</v>
      </c>
      <c r="D318" s="133" t="s">
        <v>321</v>
      </c>
      <c r="E318" s="136" t="s">
        <v>602</v>
      </c>
      <c r="F318" s="134">
        <v>200</v>
      </c>
      <c r="G318" s="111"/>
      <c r="H318" s="111"/>
      <c r="I318" s="111"/>
      <c r="J318" s="115">
        <v>5000</v>
      </c>
      <c r="K318" s="109"/>
      <c r="L318" s="121">
        <v>5000</v>
      </c>
      <c r="M318" s="121">
        <v>5000</v>
      </c>
      <c r="N318" s="111"/>
      <c r="O318" s="111">
        <f>SUM(M318)</f>
        <v>5000</v>
      </c>
      <c r="P318" s="97"/>
      <c r="Q318" s="97"/>
    </row>
    <row r="319" spans="1:17" ht="15.75" x14ac:dyDescent="0.2">
      <c r="A319" s="33" t="s">
        <v>353</v>
      </c>
      <c r="B319" s="110" t="s">
        <v>354</v>
      </c>
      <c r="C319" s="110" t="s">
        <v>51</v>
      </c>
      <c r="D319" s="131" t="s">
        <v>355</v>
      </c>
      <c r="E319" s="131" t="s">
        <v>11</v>
      </c>
      <c r="F319" s="132" t="s">
        <v>11</v>
      </c>
      <c r="G319" s="109">
        <f>G320+G361+G368+G355+G375</f>
        <v>65688.700000000012</v>
      </c>
      <c r="H319" s="111">
        <f>H320+Z322+H368+H354</f>
        <v>584.70000000000016</v>
      </c>
      <c r="I319" s="109">
        <f>I320+I361+I368+I355+I375</f>
        <v>66273.400000000009</v>
      </c>
      <c r="J319" s="112">
        <f>J320+J361+J368+J355</f>
        <v>15057.2</v>
      </c>
      <c r="K319" s="111">
        <f>K320+K355+K361+K375+K368</f>
        <v>0</v>
      </c>
      <c r="L319" s="111">
        <f>L320+L355+L361+L375+L368</f>
        <v>15057.2</v>
      </c>
      <c r="M319" s="109">
        <f>M320+M361+M368+M355+M375</f>
        <v>80745.900000000009</v>
      </c>
      <c r="N319" s="111">
        <f>N320+AF322+N368+N361+N354</f>
        <v>584.70000000000016</v>
      </c>
      <c r="O319" s="109">
        <f>O320+O361+O368+O355+O375</f>
        <v>81330.600000000006</v>
      </c>
      <c r="P319" s="97"/>
      <c r="Q319" s="97"/>
    </row>
    <row r="320" spans="1:17" ht="31.5" x14ac:dyDescent="0.2">
      <c r="A320" s="40"/>
      <c r="B320" s="113" t="s">
        <v>245</v>
      </c>
      <c r="C320" s="113" t="s">
        <v>51</v>
      </c>
      <c r="D320" s="133" t="s">
        <v>355</v>
      </c>
      <c r="E320" s="133" t="s">
        <v>246</v>
      </c>
      <c r="F320" s="134" t="s">
        <v>11</v>
      </c>
      <c r="G320" s="111">
        <f>G321+G349</f>
        <v>57776.9</v>
      </c>
      <c r="H320" s="111">
        <f>H321+H349</f>
        <v>420.20000000000016</v>
      </c>
      <c r="I320" s="111">
        <f>I321+I349</f>
        <v>58197.100000000006</v>
      </c>
      <c r="J320" s="114">
        <f t="shared" ref="G320:O321" si="62">J321</f>
        <v>11157.2</v>
      </c>
      <c r="K320" s="111">
        <f t="shared" si="62"/>
        <v>0</v>
      </c>
      <c r="L320" s="114">
        <f t="shared" si="62"/>
        <v>11157.2</v>
      </c>
      <c r="M320" s="111">
        <f>SUM(G320+J320)</f>
        <v>68934.100000000006</v>
      </c>
      <c r="N320" s="111">
        <f>N321+N349</f>
        <v>420.20000000000016</v>
      </c>
      <c r="O320" s="111">
        <f>O321+O349</f>
        <v>69354.3</v>
      </c>
      <c r="P320" s="97"/>
      <c r="Q320" s="97"/>
    </row>
    <row r="321" spans="1:17" ht="15.75" x14ac:dyDescent="0.2">
      <c r="A321" s="40"/>
      <c r="B321" s="113" t="s">
        <v>356</v>
      </c>
      <c r="C321" s="113" t="s">
        <v>51</v>
      </c>
      <c r="D321" s="133" t="s">
        <v>355</v>
      </c>
      <c r="E321" s="133" t="s">
        <v>357</v>
      </c>
      <c r="F321" s="134" t="s">
        <v>11</v>
      </c>
      <c r="G321" s="111">
        <f t="shared" si="62"/>
        <v>54426.9</v>
      </c>
      <c r="H321" s="111">
        <f t="shared" si="62"/>
        <v>420.20000000000016</v>
      </c>
      <c r="I321" s="111">
        <f t="shared" si="62"/>
        <v>54847.100000000006</v>
      </c>
      <c r="J321" s="114">
        <f t="shared" si="62"/>
        <v>11157.2</v>
      </c>
      <c r="K321" s="111">
        <f>K322+K324+K326+K328+K330+K336</f>
        <v>0</v>
      </c>
      <c r="L321" s="114">
        <f t="shared" si="62"/>
        <v>11157.2</v>
      </c>
      <c r="M321" s="111">
        <f t="shared" si="62"/>
        <v>65584.100000000006</v>
      </c>
      <c r="N321" s="111">
        <f t="shared" si="62"/>
        <v>420.20000000000016</v>
      </c>
      <c r="O321" s="111">
        <f t="shared" si="62"/>
        <v>66004.3</v>
      </c>
      <c r="P321" s="97"/>
      <c r="Q321" s="97"/>
    </row>
    <row r="322" spans="1:17" ht="47.25" x14ac:dyDescent="0.2">
      <c r="A322" s="40"/>
      <c r="B322" s="113" t="s">
        <v>358</v>
      </c>
      <c r="C322" s="113" t="s">
        <v>51</v>
      </c>
      <c r="D322" s="133" t="s">
        <v>355</v>
      </c>
      <c r="E322" s="133" t="s">
        <v>359</v>
      </c>
      <c r="F322" s="134" t="s">
        <v>11</v>
      </c>
      <c r="G322" s="111">
        <f>G323+G325+G327+G329+G335+G337+G331+G347+G345+G343</f>
        <v>54426.9</v>
      </c>
      <c r="H322" s="111">
        <f>H323+H325+H327+H329+H335+H337+H331+H347+H345+H343+H333</f>
        <v>420.20000000000016</v>
      </c>
      <c r="I322" s="111">
        <f>I323+I325+I327+I329+I335+I337+I331+I347+I345+I343</f>
        <v>54847.100000000006</v>
      </c>
      <c r="J322" s="114">
        <f>J323+J325+J327+J329+J331+J333+J335+J337+J343+J345+J347</f>
        <v>11157.2</v>
      </c>
      <c r="K322" s="111">
        <f>SUM(K347)+K343+K345+K333</f>
        <v>0</v>
      </c>
      <c r="L322" s="114">
        <f>L323+L325+L327+L329+L331+L333+L335+L337+L343+L345+L347</f>
        <v>11157.2</v>
      </c>
      <c r="M322" s="114">
        <f t="shared" ref="M322:O322" si="63">M323+M325+M327+M329+M331+M333+M335+M337+M343+M345+M347</f>
        <v>65584.100000000006</v>
      </c>
      <c r="N322" s="114">
        <f>N323+N325+N327+N329+N331+N333+N335+N337+N343+N345+N347</f>
        <v>420.20000000000016</v>
      </c>
      <c r="O322" s="114">
        <f t="shared" si="63"/>
        <v>66004.3</v>
      </c>
      <c r="P322" s="97"/>
      <c r="Q322" s="97"/>
    </row>
    <row r="323" spans="1:17" ht="15.75" x14ac:dyDescent="0.2">
      <c r="A323" s="40"/>
      <c r="B323" s="113" t="s">
        <v>360</v>
      </c>
      <c r="C323" s="113" t="s">
        <v>51</v>
      </c>
      <c r="D323" s="133" t="s">
        <v>355</v>
      </c>
      <c r="E323" s="133" t="s">
        <v>361</v>
      </c>
      <c r="F323" s="134" t="s">
        <v>11</v>
      </c>
      <c r="G323" s="111">
        <f>G324</f>
        <v>22389.9</v>
      </c>
      <c r="H323" s="111">
        <f>H324</f>
        <v>210.4</v>
      </c>
      <c r="I323" s="111">
        <f>I324</f>
        <v>22600.300000000003</v>
      </c>
      <c r="J323" s="114">
        <f>J324</f>
        <v>0</v>
      </c>
      <c r="K323" s="111"/>
      <c r="L323" s="114">
        <f>L324</f>
        <v>0</v>
      </c>
      <c r="M323" s="111">
        <f>M324</f>
        <v>22389.9</v>
      </c>
      <c r="N323" s="111">
        <f>N324</f>
        <v>210.4</v>
      </c>
      <c r="O323" s="111">
        <f>O324</f>
        <v>22600.300000000003</v>
      </c>
      <c r="P323" s="97"/>
      <c r="Q323" s="97"/>
    </row>
    <row r="324" spans="1:17" ht="31.5" x14ac:dyDescent="0.2">
      <c r="A324" s="40"/>
      <c r="B324" s="113" t="s">
        <v>40</v>
      </c>
      <c r="C324" s="113" t="s">
        <v>51</v>
      </c>
      <c r="D324" s="133" t="s">
        <v>355</v>
      </c>
      <c r="E324" s="133" t="s">
        <v>361</v>
      </c>
      <c r="F324" s="134" t="s">
        <v>41</v>
      </c>
      <c r="G324" s="111">
        <v>22389.9</v>
      </c>
      <c r="H324" s="111">
        <v>210.4</v>
      </c>
      <c r="I324" s="111">
        <f>SUM(G324)+H324</f>
        <v>22600.300000000003</v>
      </c>
      <c r="J324" s="115"/>
      <c r="K324" s="111"/>
      <c r="L324" s="115"/>
      <c r="M324" s="111">
        <f>SUM(G324)</f>
        <v>22389.9</v>
      </c>
      <c r="N324" s="111">
        <f>SUM(H324)+K324</f>
        <v>210.4</v>
      </c>
      <c r="O324" s="111">
        <f>SUM(I324)</f>
        <v>22600.300000000003</v>
      </c>
      <c r="P324" s="97"/>
      <c r="Q324" s="97"/>
    </row>
    <row r="325" spans="1:17" ht="15.75" x14ac:dyDescent="0.2">
      <c r="A325" s="40"/>
      <c r="B325" s="113" t="s">
        <v>362</v>
      </c>
      <c r="C325" s="113" t="s">
        <v>51</v>
      </c>
      <c r="D325" s="133" t="s">
        <v>355</v>
      </c>
      <c r="E325" s="133" t="s">
        <v>363</v>
      </c>
      <c r="F325" s="134" t="s">
        <v>11</v>
      </c>
      <c r="G325" s="111">
        <f>G326</f>
        <v>13950.8</v>
      </c>
      <c r="H325" s="111">
        <f>H326</f>
        <v>0</v>
      </c>
      <c r="I325" s="111">
        <f>I326</f>
        <v>13950.8</v>
      </c>
      <c r="J325" s="114">
        <f>J326</f>
        <v>75</v>
      </c>
      <c r="K325" s="111">
        <f>SUM(K326)</f>
        <v>0</v>
      </c>
      <c r="L325" s="114">
        <f>L326</f>
        <v>75</v>
      </c>
      <c r="M325" s="111">
        <f>M326</f>
        <v>14025.8</v>
      </c>
      <c r="N325" s="111">
        <f>N326</f>
        <v>0</v>
      </c>
      <c r="O325" s="111">
        <f>O326</f>
        <v>14025.8</v>
      </c>
      <c r="P325" s="97"/>
      <c r="Q325" s="97"/>
    </row>
    <row r="326" spans="1:17" ht="31.5" x14ac:dyDescent="0.2">
      <c r="A326" s="40"/>
      <c r="B326" s="113" t="s">
        <v>40</v>
      </c>
      <c r="C326" s="113" t="s">
        <v>51</v>
      </c>
      <c r="D326" s="133" t="s">
        <v>355</v>
      </c>
      <c r="E326" s="133" t="s">
        <v>363</v>
      </c>
      <c r="F326" s="134" t="s">
        <v>41</v>
      </c>
      <c r="G326" s="111">
        <v>13950.8</v>
      </c>
      <c r="H326" s="111"/>
      <c r="I326" s="111">
        <f>SUM(G326)+H326</f>
        <v>13950.8</v>
      </c>
      <c r="J326" s="115">
        <v>75</v>
      </c>
      <c r="K326" s="111"/>
      <c r="L326" s="111">
        <f>SUM(J326)</f>
        <v>75</v>
      </c>
      <c r="M326" s="111">
        <f>SUM(G326+J326)</f>
        <v>14025.8</v>
      </c>
      <c r="N326" s="111">
        <f>SUM(H326)+K326</f>
        <v>0</v>
      </c>
      <c r="O326" s="111">
        <f>SUM(I326+L326)</f>
        <v>14025.8</v>
      </c>
      <c r="P326" s="97"/>
      <c r="Q326" s="97"/>
    </row>
    <row r="327" spans="1:17" ht="15.75" x14ac:dyDescent="0.2">
      <c r="A327" s="40"/>
      <c r="B327" s="113" t="s">
        <v>364</v>
      </c>
      <c r="C327" s="113" t="s">
        <v>51</v>
      </c>
      <c r="D327" s="133" t="s">
        <v>355</v>
      </c>
      <c r="E327" s="133" t="s">
        <v>365</v>
      </c>
      <c r="F327" s="134" t="s">
        <v>11</v>
      </c>
      <c r="G327" s="111">
        <f>G328</f>
        <v>2772.9</v>
      </c>
      <c r="H327" s="111"/>
      <c r="I327" s="111">
        <f>I328</f>
        <v>2772.9</v>
      </c>
      <c r="J327" s="114">
        <f>J328</f>
        <v>0</v>
      </c>
      <c r="K327" s="111"/>
      <c r="L327" s="114">
        <f>L328</f>
        <v>0</v>
      </c>
      <c r="M327" s="111">
        <f>M328</f>
        <v>2772.9</v>
      </c>
      <c r="N327" s="111">
        <f>N328</f>
        <v>0</v>
      </c>
      <c r="O327" s="111">
        <f>O328</f>
        <v>2772.9</v>
      </c>
      <c r="P327" s="97"/>
      <c r="Q327" s="97"/>
    </row>
    <row r="328" spans="1:17" ht="31.5" x14ac:dyDescent="0.2">
      <c r="A328" s="40"/>
      <c r="B328" s="113" t="s">
        <v>40</v>
      </c>
      <c r="C328" s="113" t="s">
        <v>51</v>
      </c>
      <c r="D328" s="133" t="s">
        <v>355</v>
      </c>
      <c r="E328" s="133" t="s">
        <v>365</v>
      </c>
      <c r="F328" s="134" t="s">
        <v>41</v>
      </c>
      <c r="G328" s="111">
        <v>2772.9</v>
      </c>
      <c r="H328" s="111"/>
      <c r="I328" s="111">
        <f>SUM(G328)</f>
        <v>2772.9</v>
      </c>
      <c r="J328" s="115"/>
      <c r="K328" s="111"/>
      <c r="L328" s="115"/>
      <c r="M328" s="111">
        <f>SUM(G328)</f>
        <v>2772.9</v>
      </c>
      <c r="N328" s="111">
        <f>SUM(H328)</f>
        <v>0</v>
      </c>
      <c r="O328" s="111">
        <f>SUM(I328)</f>
        <v>2772.9</v>
      </c>
      <c r="P328" s="97"/>
      <c r="Q328" s="97"/>
    </row>
    <row r="329" spans="1:17" ht="15.75" x14ac:dyDescent="0.2">
      <c r="A329" s="40"/>
      <c r="B329" s="113" t="s">
        <v>366</v>
      </c>
      <c r="C329" s="113" t="s">
        <v>51</v>
      </c>
      <c r="D329" s="133" t="s">
        <v>355</v>
      </c>
      <c r="E329" s="133" t="s">
        <v>367</v>
      </c>
      <c r="F329" s="134" t="s">
        <v>11</v>
      </c>
      <c r="G329" s="111">
        <f>G330</f>
        <v>3270</v>
      </c>
      <c r="H329" s="111">
        <f>H330</f>
        <v>0</v>
      </c>
      <c r="I329" s="111">
        <f>I330</f>
        <v>3270</v>
      </c>
      <c r="J329" s="114">
        <f>J330</f>
        <v>0</v>
      </c>
      <c r="K329" s="111"/>
      <c r="L329" s="114">
        <f>L330</f>
        <v>0</v>
      </c>
      <c r="M329" s="111">
        <f>M330</f>
        <v>3270</v>
      </c>
      <c r="N329" s="111">
        <f>N330</f>
        <v>0</v>
      </c>
      <c r="O329" s="111">
        <f>O330</f>
        <v>3270</v>
      </c>
      <c r="P329" s="97"/>
      <c r="Q329" s="97"/>
    </row>
    <row r="330" spans="1:17" ht="31.5" x14ac:dyDescent="0.2">
      <c r="A330" s="40"/>
      <c r="B330" s="113" t="s">
        <v>40</v>
      </c>
      <c r="C330" s="113" t="s">
        <v>51</v>
      </c>
      <c r="D330" s="133" t="s">
        <v>355</v>
      </c>
      <c r="E330" s="133" t="s">
        <v>367</v>
      </c>
      <c r="F330" s="134" t="s">
        <v>41</v>
      </c>
      <c r="G330" s="111">
        <v>3270</v>
      </c>
      <c r="H330" s="111"/>
      <c r="I330" s="111">
        <f>SUM(G330)+H330</f>
        <v>3270</v>
      </c>
      <c r="J330" s="115"/>
      <c r="K330" s="111"/>
      <c r="L330" s="115"/>
      <c r="M330" s="111">
        <f t="shared" ref="M330:O332" si="64">SUM(G330)</f>
        <v>3270</v>
      </c>
      <c r="N330" s="111">
        <f t="shared" si="64"/>
        <v>0</v>
      </c>
      <c r="O330" s="111">
        <f t="shared" si="64"/>
        <v>3270</v>
      </c>
      <c r="P330" s="97"/>
      <c r="Q330" s="97"/>
    </row>
    <row r="331" spans="1:17" ht="31.5" x14ac:dyDescent="0.2">
      <c r="A331" s="40"/>
      <c r="B331" s="135" t="s">
        <v>368</v>
      </c>
      <c r="C331" s="113">
        <v>992</v>
      </c>
      <c r="D331" s="133" t="s">
        <v>355</v>
      </c>
      <c r="E331" s="136" t="s">
        <v>369</v>
      </c>
      <c r="F331" s="134"/>
      <c r="G331" s="111">
        <v>583.6</v>
      </c>
      <c r="H331" s="111"/>
      <c r="I331" s="111">
        <f>SUM(G331)+H331</f>
        <v>583.6</v>
      </c>
      <c r="J331" s="115"/>
      <c r="K331" s="111"/>
      <c r="L331" s="115"/>
      <c r="M331" s="111">
        <f t="shared" si="64"/>
        <v>583.6</v>
      </c>
      <c r="N331" s="111">
        <f t="shared" si="64"/>
        <v>0</v>
      </c>
      <c r="O331" s="111">
        <f t="shared" si="64"/>
        <v>583.6</v>
      </c>
      <c r="P331" s="97"/>
      <c r="Q331" s="97"/>
    </row>
    <row r="332" spans="1:17" ht="31.5" x14ac:dyDescent="0.2">
      <c r="A332" s="40"/>
      <c r="B332" s="113" t="s">
        <v>40</v>
      </c>
      <c r="C332" s="113">
        <v>992</v>
      </c>
      <c r="D332" s="133" t="s">
        <v>355</v>
      </c>
      <c r="E332" s="136" t="s">
        <v>369</v>
      </c>
      <c r="F332" s="134">
        <v>200</v>
      </c>
      <c r="G332" s="111">
        <v>583.6</v>
      </c>
      <c r="H332" s="111"/>
      <c r="I332" s="111">
        <f>SUM(G332)+H332</f>
        <v>583.6</v>
      </c>
      <c r="J332" s="115"/>
      <c r="K332" s="111"/>
      <c r="L332" s="115"/>
      <c r="M332" s="111">
        <f t="shared" si="64"/>
        <v>583.6</v>
      </c>
      <c r="N332" s="111">
        <f t="shared" si="64"/>
        <v>0</v>
      </c>
      <c r="O332" s="111">
        <f t="shared" si="64"/>
        <v>583.6</v>
      </c>
      <c r="P332" s="97"/>
      <c r="Q332" s="97"/>
    </row>
    <row r="333" spans="1:17" ht="31.5" x14ac:dyDescent="0.2">
      <c r="A333" s="40"/>
      <c r="B333" s="118" t="s">
        <v>585</v>
      </c>
      <c r="C333" s="118" t="s">
        <v>51</v>
      </c>
      <c r="D333" s="136" t="s">
        <v>355</v>
      </c>
      <c r="E333" s="136" t="s">
        <v>584</v>
      </c>
      <c r="F333" s="141"/>
      <c r="G333" s="111"/>
      <c r="H333" s="111">
        <f t="shared" ref="H333:O333" si="65">H334</f>
        <v>0</v>
      </c>
      <c r="I333" s="111">
        <f t="shared" si="65"/>
        <v>0</v>
      </c>
      <c r="J333" s="115">
        <f t="shared" si="65"/>
        <v>3070</v>
      </c>
      <c r="K333" s="111">
        <f t="shared" si="65"/>
        <v>0</v>
      </c>
      <c r="L333" s="115">
        <f t="shared" si="65"/>
        <v>3070</v>
      </c>
      <c r="M333" s="111">
        <f t="shared" si="65"/>
        <v>3070</v>
      </c>
      <c r="N333" s="111">
        <f t="shared" si="65"/>
        <v>0</v>
      </c>
      <c r="O333" s="111">
        <f t="shared" si="65"/>
        <v>3070</v>
      </c>
      <c r="P333" s="97"/>
      <c r="Q333" s="97"/>
    </row>
    <row r="334" spans="1:17" ht="31.5" x14ac:dyDescent="0.2">
      <c r="A334" s="40"/>
      <c r="B334" s="113" t="s">
        <v>40</v>
      </c>
      <c r="C334" s="118" t="s">
        <v>51</v>
      </c>
      <c r="D334" s="136" t="s">
        <v>355</v>
      </c>
      <c r="E334" s="136" t="s">
        <v>584</v>
      </c>
      <c r="F334" s="141" t="s">
        <v>41</v>
      </c>
      <c r="G334" s="111"/>
      <c r="H334" s="111"/>
      <c r="I334" s="111">
        <f>SUM(G334:H334)</f>
        <v>0</v>
      </c>
      <c r="J334" s="115">
        <v>3070</v>
      </c>
      <c r="K334" s="111"/>
      <c r="L334" s="115">
        <f>SUM(J334:K334)</f>
        <v>3070</v>
      </c>
      <c r="M334" s="111">
        <f>G334+J334</f>
        <v>3070</v>
      </c>
      <c r="N334" s="111">
        <f>H334+K334</f>
        <v>0</v>
      </c>
      <c r="O334" s="111">
        <f>I334+L334</f>
        <v>3070</v>
      </c>
      <c r="P334" s="97"/>
      <c r="Q334" s="97"/>
    </row>
    <row r="335" spans="1:17" ht="31.5" x14ac:dyDescent="0.2">
      <c r="A335" s="40"/>
      <c r="B335" s="113" t="s">
        <v>370</v>
      </c>
      <c r="C335" s="113" t="s">
        <v>51</v>
      </c>
      <c r="D335" s="133" t="s">
        <v>355</v>
      </c>
      <c r="E335" s="133" t="s">
        <v>371</v>
      </c>
      <c r="F335" s="134" t="s">
        <v>11</v>
      </c>
      <c r="G335" s="111">
        <f>G336</f>
        <v>4252.3999999999996</v>
      </c>
      <c r="H335" s="111">
        <f>SUM(H336)</f>
        <v>209.80000000000018</v>
      </c>
      <c r="I335" s="111">
        <f>I336</f>
        <v>4462.2</v>
      </c>
      <c r="J335" s="114">
        <f>J336</f>
        <v>0</v>
      </c>
      <c r="K335" s="111"/>
      <c r="L335" s="114">
        <f>L336</f>
        <v>0</v>
      </c>
      <c r="M335" s="111">
        <f>M336</f>
        <v>4252.3999999999996</v>
      </c>
      <c r="N335" s="111">
        <f>N336</f>
        <v>209.80000000000018</v>
      </c>
      <c r="O335" s="111">
        <f>O336</f>
        <v>4462.2</v>
      </c>
      <c r="P335" s="97"/>
      <c r="Q335" s="97"/>
    </row>
    <row r="336" spans="1:17" ht="31.5" x14ac:dyDescent="0.2">
      <c r="A336" s="40"/>
      <c r="B336" s="113" t="s">
        <v>40</v>
      </c>
      <c r="C336" s="113" t="s">
        <v>51</v>
      </c>
      <c r="D336" s="133" t="s">
        <v>355</v>
      </c>
      <c r="E336" s="133" t="s">
        <v>371</v>
      </c>
      <c r="F336" s="134" t="s">
        <v>41</v>
      </c>
      <c r="G336" s="111">
        <v>4252.3999999999996</v>
      </c>
      <c r="H336" s="111">
        <f>2000+209.8-2000</f>
        <v>209.80000000000018</v>
      </c>
      <c r="I336" s="111">
        <f>H336+G336</f>
        <v>4462.2</v>
      </c>
      <c r="J336" s="115"/>
      <c r="K336" s="111"/>
      <c r="L336" s="115"/>
      <c r="M336" s="111">
        <f>SUM(G336)</f>
        <v>4252.3999999999996</v>
      </c>
      <c r="N336" s="111">
        <f>SUM(H336)</f>
        <v>209.80000000000018</v>
      </c>
      <c r="O336" s="111">
        <f>SUM(I336)</f>
        <v>4462.2</v>
      </c>
      <c r="P336" s="97"/>
      <c r="Q336" s="97"/>
    </row>
    <row r="337" spans="1:17" ht="47.25" x14ac:dyDescent="0.2">
      <c r="A337" s="40"/>
      <c r="B337" s="113" t="s">
        <v>372</v>
      </c>
      <c r="C337" s="113" t="s">
        <v>51</v>
      </c>
      <c r="D337" s="133" t="s">
        <v>355</v>
      </c>
      <c r="E337" s="133" t="s">
        <v>373</v>
      </c>
      <c r="F337" s="134" t="s">
        <v>11</v>
      </c>
      <c r="G337" s="111">
        <f>G338</f>
        <v>7140.9</v>
      </c>
      <c r="H337" s="111">
        <f>SUM(H338)</f>
        <v>0</v>
      </c>
      <c r="I337" s="111">
        <f>I338</f>
        <v>7140.9</v>
      </c>
      <c r="J337" s="114">
        <f>J338</f>
        <v>0</v>
      </c>
      <c r="K337" s="111">
        <f>SUM(K338)</f>
        <v>0</v>
      </c>
      <c r="L337" s="114">
        <f>L338</f>
        <v>0</v>
      </c>
      <c r="M337" s="111">
        <f>M338</f>
        <v>7140.9</v>
      </c>
      <c r="N337" s="111">
        <f>N338</f>
        <v>0</v>
      </c>
      <c r="O337" s="111">
        <f>SUM(M337+N337)</f>
        <v>7140.9</v>
      </c>
      <c r="P337" s="97"/>
      <c r="Q337" s="97"/>
    </row>
    <row r="338" spans="1:17" ht="35.25" customHeight="1" x14ac:dyDescent="0.2">
      <c r="A338" s="40"/>
      <c r="B338" s="113" t="s">
        <v>40</v>
      </c>
      <c r="C338" s="113" t="s">
        <v>51</v>
      </c>
      <c r="D338" s="133" t="s">
        <v>355</v>
      </c>
      <c r="E338" s="133" t="s">
        <v>373</v>
      </c>
      <c r="F338" s="134" t="s">
        <v>41</v>
      </c>
      <c r="G338" s="111">
        <v>7140.9</v>
      </c>
      <c r="H338" s="111"/>
      <c r="I338" s="111">
        <f>SUM(G338)+H338</f>
        <v>7140.9</v>
      </c>
      <c r="J338" s="115">
        <v>0</v>
      </c>
      <c r="K338" s="111"/>
      <c r="L338" s="115">
        <f>SUM(K338)</f>
        <v>0</v>
      </c>
      <c r="M338" s="111">
        <f>SUM(G338)</f>
        <v>7140.9</v>
      </c>
      <c r="N338" s="111">
        <f>SUM(H338)</f>
        <v>0</v>
      </c>
      <c r="O338" s="111">
        <f>SUM(I338)</f>
        <v>7140.9</v>
      </c>
      <c r="P338" s="97"/>
      <c r="Q338" s="97"/>
    </row>
    <row r="339" spans="1:17" ht="15.75" hidden="1" x14ac:dyDescent="0.2">
      <c r="A339" s="40"/>
      <c r="B339" s="113"/>
      <c r="C339" s="113"/>
      <c r="D339" s="133"/>
      <c r="E339" s="133"/>
      <c r="F339" s="134"/>
      <c r="G339" s="111"/>
      <c r="H339" s="111"/>
      <c r="I339" s="111"/>
      <c r="J339" s="115"/>
      <c r="K339" s="111">
        <v>4251.8</v>
      </c>
      <c r="L339" s="121">
        <f>SUM(K339)</f>
        <v>4251.8</v>
      </c>
      <c r="M339" s="111"/>
      <c r="N339" s="111">
        <f t="shared" ref="N339:O342" si="66">SUM(K339)</f>
        <v>4251.8</v>
      </c>
      <c r="O339" s="111">
        <f t="shared" si="66"/>
        <v>4251.8</v>
      </c>
      <c r="P339" s="97"/>
      <c r="Q339" s="97"/>
    </row>
    <row r="340" spans="1:17" ht="15.75" hidden="1" x14ac:dyDescent="0.2">
      <c r="A340" s="40"/>
      <c r="B340" s="113"/>
      <c r="C340" s="113"/>
      <c r="D340" s="133"/>
      <c r="E340" s="133"/>
      <c r="F340" s="134">
        <v>200</v>
      </c>
      <c r="G340" s="111"/>
      <c r="H340" s="111"/>
      <c r="I340" s="111"/>
      <c r="J340" s="115"/>
      <c r="K340" s="111">
        <v>4251.8</v>
      </c>
      <c r="L340" s="121">
        <f>SUM(K340)</f>
        <v>4251.8</v>
      </c>
      <c r="M340" s="111"/>
      <c r="N340" s="111">
        <f t="shared" si="66"/>
        <v>4251.8</v>
      </c>
      <c r="O340" s="111">
        <f t="shared" si="66"/>
        <v>4251.8</v>
      </c>
      <c r="P340" s="97"/>
      <c r="Q340" s="97"/>
    </row>
    <row r="341" spans="1:17" ht="15.75" hidden="1" x14ac:dyDescent="0.2">
      <c r="A341" s="40"/>
      <c r="B341" s="113"/>
      <c r="C341" s="113"/>
      <c r="D341" s="133"/>
      <c r="E341" s="133"/>
      <c r="F341" s="134"/>
      <c r="G341" s="111"/>
      <c r="H341" s="111"/>
      <c r="I341" s="111"/>
      <c r="J341" s="115"/>
      <c r="K341" s="111">
        <v>5</v>
      </c>
      <c r="L341" s="121">
        <f>SUM(K341)</f>
        <v>5</v>
      </c>
      <c r="M341" s="111"/>
      <c r="N341" s="111">
        <f t="shared" si="66"/>
        <v>5</v>
      </c>
      <c r="O341" s="111">
        <f t="shared" si="66"/>
        <v>5</v>
      </c>
      <c r="P341" s="97"/>
      <c r="Q341" s="97"/>
    </row>
    <row r="342" spans="1:17" ht="15.75" hidden="1" x14ac:dyDescent="0.2">
      <c r="A342" s="40"/>
      <c r="B342" s="113"/>
      <c r="C342" s="113"/>
      <c r="D342" s="133"/>
      <c r="E342" s="133"/>
      <c r="F342" s="134">
        <v>200</v>
      </c>
      <c r="G342" s="111"/>
      <c r="H342" s="111"/>
      <c r="I342" s="111"/>
      <c r="J342" s="115"/>
      <c r="K342" s="111">
        <v>5</v>
      </c>
      <c r="L342" s="121">
        <f>SUM(K342)</f>
        <v>5</v>
      </c>
      <c r="M342" s="111"/>
      <c r="N342" s="111">
        <f t="shared" si="66"/>
        <v>5</v>
      </c>
      <c r="O342" s="111">
        <f t="shared" si="66"/>
        <v>5</v>
      </c>
      <c r="P342" s="97"/>
      <c r="Q342" s="97"/>
    </row>
    <row r="343" spans="1:17" ht="63" x14ac:dyDescent="0.2">
      <c r="A343" s="40"/>
      <c r="B343" s="135" t="s">
        <v>572</v>
      </c>
      <c r="C343" s="113">
        <v>992</v>
      </c>
      <c r="D343" s="133" t="s">
        <v>355</v>
      </c>
      <c r="E343" s="136" t="s">
        <v>573</v>
      </c>
      <c r="F343" s="134"/>
      <c r="G343" s="111">
        <v>0</v>
      </c>
      <c r="H343" s="111">
        <f>SUM(H344)</f>
        <v>0</v>
      </c>
      <c r="I343" s="111">
        <f>SUM(G343)</f>
        <v>0</v>
      </c>
      <c r="J343" s="115">
        <v>2500.4</v>
      </c>
      <c r="K343" s="111"/>
      <c r="L343" s="111">
        <f>SUM(L344)</f>
        <v>2500.4</v>
      </c>
      <c r="M343" s="111">
        <f>SUM(G343+J343)</f>
        <v>2500.4</v>
      </c>
      <c r="N343" s="111">
        <f t="shared" ref="N343:O346" si="67">SUM(K343)+H343</f>
        <v>0</v>
      </c>
      <c r="O343" s="111">
        <f t="shared" si="67"/>
        <v>2500.4</v>
      </c>
      <c r="P343" s="97"/>
      <c r="Q343" s="97"/>
    </row>
    <row r="344" spans="1:17" ht="31.5" x14ac:dyDescent="0.2">
      <c r="A344" s="40"/>
      <c r="B344" s="113" t="s">
        <v>40</v>
      </c>
      <c r="C344" s="113">
        <v>992</v>
      </c>
      <c r="D344" s="133" t="s">
        <v>355</v>
      </c>
      <c r="E344" s="136" t="s">
        <v>573</v>
      </c>
      <c r="F344" s="134">
        <v>200</v>
      </c>
      <c r="G344" s="111">
        <v>0</v>
      </c>
      <c r="H344" s="111"/>
      <c r="I344" s="111">
        <f>SUM(G344)</f>
        <v>0</v>
      </c>
      <c r="J344" s="115">
        <v>2500.4</v>
      </c>
      <c r="K344" s="111"/>
      <c r="L344" s="115">
        <v>2500.4</v>
      </c>
      <c r="M344" s="111">
        <f>SUM(G344+J344)</f>
        <v>2500.4</v>
      </c>
      <c r="N344" s="111">
        <f t="shared" si="67"/>
        <v>0</v>
      </c>
      <c r="O344" s="111">
        <f t="shared" si="67"/>
        <v>2500.4</v>
      </c>
      <c r="P344" s="97"/>
      <c r="Q344" s="97"/>
    </row>
    <row r="345" spans="1:17" ht="31.5" x14ac:dyDescent="0.2">
      <c r="A345" s="40"/>
      <c r="B345" s="113" t="s">
        <v>575</v>
      </c>
      <c r="C345" s="113">
        <v>992</v>
      </c>
      <c r="D345" s="133" t="s">
        <v>355</v>
      </c>
      <c r="E345" s="136" t="s">
        <v>574</v>
      </c>
      <c r="F345" s="134"/>
      <c r="G345" s="111"/>
      <c r="H345" s="111"/>
      <c r="I345" s="111">
        <f>SUM(H345)</f>
        <v>0</v>
      </c>
      <c r="J345" s="115">
        <v>4251.8</v>
      </c>
      <c r="K345" s="111"/>
      <c r="L345" s="121">
        <f>SUM(J345)</f>
        <v>4251.8</v>
      </c>
      <c r="M345" s="111">
        <f>SUM(J345)</f>
        <v>4251.8</v>
      </c>
      <c r="N345" s="111">
        <f t="shared" si="67"/>
        <v>0</v>
      </c>
      <c r="O345" s="111">
        <f t="shared" si="67"/>
        <v>4251.8</v>
      </c>
      <c r="P345" s="97"/>
      <c r="Q345" s="97"/>
    </row>
    <row r="346" spans="1:17" ht="31.5" x14ac:dyDescent="0.2">
      <c r="A346" s="40"/>
      <c r="B346" s="113" t="s">
        <v>40</v>
      </c>
      <c r="C346" s="113">
        <v>992</v>
      </c>
      <c r="D346" s="133" t="s">
        <v>355</v>
      </c>
      <c r="E346" s="136" t="s">
        <v>574</v>
      </c>
      <c r="F346" s="134">
        <v>200</v>
      </c>
      <c r="G346" s="111"/>
      <c r="H346" s="111"/>
      <c r="I346" s="111">
        <f>SUM(H346)</f>
        <v>0</v>
      </c>
      <c r="J346" s="115">
        <v>4251.8</v>
      </c>
      <c r="K346" s="111"/>
      <c r="L346" s="121">
        <f>SUM(J346)</f>
        <v>4251.8</v>
      </c>
      <c r="M346" s="111">
        <f>SUM(J346)</f>
        <v>4251.8</v>
      </c>
      <c r="N346" s="111">
        <f t="shared" si="67"/>
        <v>0</v>
      </c>
      <c r="O346" s="111">
        <f t="shared" si="67"/>
        <v>4251.8</v>
      </c>
      <c r="P346" s="97"/>
      <c r="Q346" s="97"/>
    </row>
    <row r="347" spans="1:17" ht="148.5" customHeight="1" x14ac:dyDescent="0.2">
      <c r="A347" s="40"/>
      <c r="B347" s="135" t="s">
        <v>598</v>
      </c>
      <c r="C347" s="113">
        <v>992</v>
      </c>
      <c r="D347" s="136" t="s">
        <v>355</v>
      </c>
      <c r="E347" s="133" t="s">
        <v>550</v>
      </c>
      <c r="F347" s="134"/>
      <c r="G347" s="111">
        <f>SUM(G348)</f>
        <v>66.400000000000006</v>
      </c>
      <c r="H347" s="111">
        <f>SUM(H348)</f>
        <v>0</v>
      </c>
      <c r="I347" s="111">
        <f>SUM(G347)</f>
        <v>66.400000000000006</v>
      </c>
      <c r="J347" s="115">
        <f>SUM(J348)</f>
        <v>1260</v>
      </c>
      <c r="K347" s="111">
        <f>SUM(K348)</f>
        <v>0</v>
      </c>
      <c r="L347" s="111">
        <f>SUM(L348)</f>
        <v>1260</v>
      </c>
      <c r="M347" s="111">
        <f t="shared" ref="M347:O348" si="68">SUM(G347+J347)</f>
        <v>1326.4</v>
      </c>
      <c r="N347" s="111">
        <f t="shared" si="68"/>
        <v>0</v>
      </c>
      <c r="O347" s="111">
        <f t="shared" si="68"/>
        <v>1326.4</v>
      </c>
      <c r="P347" s="97"/>
      <c r="Q347" s="97"/>
    </row>
    <row r="348" spans="1:17" ht="31.5" x14ac:dyDescent="0.2">
      <c r="A348" s="40"/>
      <c r="B348" s="113" t="s">
        <v>40</v>
      </c>
      <c r="C348" s="113">
        <v>992</v>
      </c>
      <c r="D348" s="133" t="s">
        <v>355</v>
      </c>
      <c r="E348" s="133" t="s">
        <v>550</v>
      </c>
      <c r="F348" s="134">
        <v>200</v>
      </c>
      <c r="G348" s="111">
        <v>66.400000000000006</v>
      </c>
      <c r="H348" s="111">
        <f>SUM(H351)</f>
        <v>0</v>
      </c>
      <c r="I348" s="111">
        <f>SUM(G348)</f>
        <v>66.400000000000006</v>
      </c>
      <c r="J348" s="115">
        <v>1260</v>
      </c>
      <c r="K348" s="111"/>
      <c r="L348" s="115">
        <f>SUM(J348)</f>
        <v>1260</v>
      </c>
      <c r="M348" s="111">
        <f t="shared" si="68"/>
        <v>1326.4</v>
      </c>
      <c r="N348" s="111">
        <f t="shared" si="68"/>
        <v>0</v>
      </c>
      <c r="O348" s="111">
        <f t="shared" si="68"/>
        <v>1326.4</v>
      </c>
      <c r="P348" s="97"/>
      <c r="Q348" s="97"/>
    </row>
    <row r="349" spans="1:17" ht="15.75" x14ac:dyDescent="0.2">
      <c r="A349" s="40"/>
      <c r="B349" s="140" t="s">
        <v>247</v>
      </c>
      <c r="C349" s="113">
        <v>992</v>
      </c>
      <c r="D349" s="133" t="s">
        <v>355</v>
      </c>
      <c r="E349" s="136" t="s">
        <v>248</v>
      </c>
      <c r="F349" s="134"/>
      <c r="G349" s="111">
        <f>SUM(G352)</f>
        <v>3350</v>
      </c>
      <c r="H349" s="111">
        <f>SUM(H350)</f>
        <v>0</v>
      </c>
      <c r="I349" s="111">
        <f>SUM(I352)</f>
        <v>3350</v>
      </c>
      <c r="J349" s="115"/>
      <c r="K349" s="111"/>
      <c r="L349" s="115"/>
      <c r="M349" s="111">
        <f t="shared" ref="M349:O350" si="69">SUM(G349)</f>
        <v>3350</v>
      </c>
      <c r="N349" s="111">
        <f t="shared" si="69"/>
        <v>0</v>
      </c>
      <c r="O349" s="111">
        <f t="shared" si="69"/>
        <v>3350</v>
      </c>
      <c r="P349" s="97"/>
      <c r="Q349" s="97"/>
    </row>
    <row r="350" spans="1:17" ht="63" x14ac:dyDescent="0.2">
      <c r="A350" s="40"/>
      <c r="B350" s="140" t="s">
        <v>569</v>
      </c>
      <c r="C350" s="113">
        <v>992</v>
      </c>
      <c r="D350" s="133" t="s">
        <v>355</v>
      </c>
      <c r="E350" s="136" t="s">
        <v>567</v>
      </c>
      <c r="F350" s="134"/>
      <c r="G350" s="111">
        <f>SUM(G352)</f>
        <v>3350</v>
      </c>
      <c r="H350" s="111">
        <f>SUM(H352)</f>
        <v>0</v>
      </c>
      <c r="I350" s="111">
        <f>SUM(I352)</f>
        <v>3350</v>
      </c>
      <c r="J350" s="115"/>
      <c r="K350" s="111"/>
      <c r="L350" s="115"/>
      <c r="M350" s="111">
        <f t="shared" si="69"/>
        <v>3350</v>
      </c>
      <c r="N350" s="111">
        <f t="shared" si="69"/>
        <v>0</v>
      </c>
      <c r="O350" s="111">
        <f t="shared" si="69"/>
        <v>3350</v>
      </c>
      <c r="P350" s="97"/>
      <c r="Q350" s="97"/>
    </row>
    <row r="351" spans="1:17" ht="0.75" customHeight="1" x14ac:dyDescent="0.2">
      <c r="A351" s="40"/>
      <c r="B351" s="140"/>
      <c r="C351" s="113"/>
      <c r="D351" s="133"/>
      <c r="E351" s="136"/>
      <c r="F351" s="134"/>
      <c r="G351" s="111"/>
      <c r="H351" s="111"/>
      <c r="I351" s="111"/>
      <c r="J351" s="115"/>
      <c r="K351" s="111"/>
      <c r="L351" s="115"/>
      <c r="M351" s="111"/>
      <c r="N351" s="111"/>
      <c r="O351" s="111"/>
      <c r="P351" s="97"/>
      <c r="Q351" s="97"/>
    </row>
    <row r="352" spans="1:17" ht="47.25" x14ac:dyDescent="0.2">
      <c r="A352" s="40"/>
      <c r="B352" s="96" t="s">
        <v>570</v>
      </c>
      <c r="C352" s="113">
        <v>992</v>
      </c>
      <c r="D352" s="133" t="s">
        <v>355</v>
      </c>
      <c r="E352" s="136" t="s">
        <v>568</v>
      </c>
      <c r="F352" s="134"/>
      <c r="G352" s="111">
        <f>SUM(G353)</f>
        <v>3350</v>
      </c>
      <c r="H352" s="111">
        <f>SUM(H353)</f>
        <v>0</v>
      </c>
      <c r="I352" s="111">
        <f>SUM(G352)+H352</f>
        <v>3350</v>
      </c>
      <c r="J352" s="115"/>
      <c r="K352" s="111"/>
      <c r="L352" s="115"/>
      <c r="M352" s="111">
        <f t="shared" ref="M352:O353" si="70">SUM(G352)</f>
        <v>3350</v>
      </c>
      <c r="N352" s="111">
        <f t="shared" si="70"/>
        <v>0</v>
      </c>
      <c r="O352" s="111">
        <f t="shared" si="70"/>
        <v>3350</v>
      </c>
      <c r="P352" s="97"/>
      <c r="Q352" s="97"/>
    </row>
    <row r="353" spans="1:17" ht="27" customHeight="1" x14ac:dyDescent="0.2">
      <c r="A353" s="40"/>
      <c r="B353" s="113" t="s">
        <v>70</v>
      </c>
      <c r="C353" s="113">
        <v>992</v>
      </c>
      <c r="D353" s="133" t="s">
        <v>355</v>
      </c>
      <c r="E353" s="136" t="s">
        <v>568</v>
      </c>
      <c r="F353" s="134">
        <v>800</v>
      </c>
      <c r="G353" s="111">
        <v>3350</v>
      </c>
      <c r="H353" s="111"/>
      <c r="I353" s="111">
        <f>SUM(G353)+H353</f>
        <v>3350</v>
      </c>
      <c r="J353" s="115"/>
      <c r="K353" s="111"/>
      <c r="L353" s="115"/>
      <c r="M353" s="111">
        <f t="shared" si="70"/>
        <v>3350</v>
      </c>
      <c r="N353" s="111">
        <f t="shared" si="70"/>
        <v>0</v>
      </c>
      <c r="O353" s="111">
        <f t="shared" si="70"/>
        <v>3350</v>
      </c>
      <c r="P353" s="97"/>
      <c r="Q353" s="97"/>
    </row>
    <row r="354" spans="1:17" ht="27" customHeight="1" x14ac:dyDescent="0.2">
      <c r="A354" s="40"/>
      <c r="B354" s="118" t="s">
        <v>218</v>
      </c>
      <c r="C354" s="118" t="s">
        <v>51</v>
      </c>
      <c r="D354" s="136" t="s">
        <v>355</v>
      </c>
      <c r="E354" s="136" t="s">
        <v>219</v>
      </c>
      <c r="F354" s="141"/>
      <c r="G354" s="114">
        <f>G355</f>
        <v>3623</v>
      </c>
      <c r="H354" s="114">
        <f t="shared" ref="H354:O354" si="71">H355</f>
        <v>0</v>
      </c>
      <c r="I354" s="114">
        <f t="shared" si="71"/>
        <v>3623</v>
      </c>
      <c r="J354" s="114">
        <f t="shared" si="71"/>
        <v>3300</v>
      </c>
      <c r="K354" s="114">
        <f t="shared" si="71"/>
        <v>0</v>
      </c>
      <c r="L354" s="114">
        <f t="shared" si="71"/>
        <v>3300</v>
      </c>
      <c r="M354" s="114">
        <f t="shared" si="71"/>
        <v>6923</v>
      </c>
      <c r="N354" s="114">
        <f t="shared" si="71"/>
        <v>0</v>
      </c>
      <c r="O354" s="114">
        <f t="shared" si="71"/>
        <v>6923</v>
      </c>
      <c r="P354" s="97"/>
      <c r="Q354" s="97"/>
    </row>
    <row r="355" spans="1:17" ht="15.75" x14ac:dyDescent="0.2">
      <c r="A355" s="40"/>
      <c r="B355" s="135" t="s">
        <v>374</v>
      </c>
      <c r="C355" s="113">
        <v>992</v>
      </c>
      <c r="D355" s="133" t="s">
        <v>355</v>
      </c>
      <c r="E355" s="136" t="s">
        <v>375</v>
      </c>
      <c r="F355" s="134"/>
      <c r="G355" s="111">
        <f t="shared" ref="G355:O357" si="72">G356</f>
        <v>3623</v>
      </c>
      <c r="H355" s="111">
        <f t="shared" si="72"/>
        <v>0</v>
      </c>
      <c r="I355" s="111">
        <f t="shared" si="72"/>
        <v>3623</v>
      </c>
      <c r="J355" s="115">
        <f t="shared" si="72"/>
        <v>3300</v>
      </c>
      <c r="K355" s="111">
        <f t="shared" si="72"/>
        <v>0</v>
      </c>
      <c r="L355" s="115">
        <f t="shared" si="72"/>
        <v>3300</v>
      </c>
      <c r="M355" s="111">
        <f t="shared" si="72"/>
        <v>6923</v>
      </c>
      <c r="N355" s="111">
        <f t="shared" si="72"/>
        <v>0</v>
      </c>
      <c r="O355" s="111">
        <f t="shared" si="72"/>
        <v>6923</v>
      </c>
      <c r="P355" s="97"/>
      <c r="Q355" s="97"/>
    </row>
    <row r="356" spans="1:17" ht="31.5" x14ac:dyDescent="0.2">
      <c r="A356" s="40"/>
      <c r="B356" s="135" t="s">
        <v>376</v>
      </c>
      <c r="C356" s="113">
        <v>992</v>
      </c>
      <c r="D356" s="133" t="s">
        <v>355</v>
      </c>
      <c r="E356" s="136" t="s">
        <v>377</v>
      </c>
      <c r="F356" s="134"/>
      <c r="G356" s="111">
        <f t="shared" ref="G356:M356" si="73">G357+G359</f>
        <v>3623</v>
      </c>
      <c r="H356" s="111">
        <f t="shared" si="73"/>
        <v>0</v>
      </c>
      <c r="I356" s="111">
        <f t="shared" si="73"/>
        <v>3623</v>
      </c>
      <c r="J356" s="115">
        <f t="shared" si="73"/>
        <v>3300</v>
      </c>
      <c r="K356" s="111">
        <f t="shared" si="73"/>
        <v>0</v>
      </c>
      <c r="L356" s="115">
        <f t="shared" si="73"/>
        <v>3300</v>
      </c>
      <c r="M356" s="111">
        <f t="shared" si="73"/>
        <v>6923</v>
      </c>
      <c r="N356" s="111">
        <f>SUM(H356)+K356</f>
        <v>0</v>
      </c>
      <c r="O356" s="111">
        <f>O357+O359</f>
        <v>6923</v>
      </c>
      <c r="P356" s="97"/>
      <c r="Q356" s="97"/>
    </row>
    <row r="357" spans="1:17" ht="15.75" x14ac:dyDescent="0.2">
      <c r="A357" s="40"/>
      <c r="B357" s="135" t="s">
        <v>378</v>
      </c>
      <c r="C357" s="113">
        <v>992</v>
      </c>
      <c r="D357" s="133" t="s">
        <v>355</v>
      </c>
      <c r="E357" s="136" t="s">
        <v>379</v>
      </c>
      <c r="F357" s="134"/>
      <c r="G357" s="111">
        <f t="shared" si="72"/>
        <v>2059</v>
      </c>
      <c r="H357" s="111">
        <f t="shared" si="72"/>
        <v>0</v>
      </c>
      <c r="I357" s="111">
        <f t="shared" si="72"/>
        <v>2059</v>
      </c>
      <c r="J357" s="115">
        <f t="shared" si="72"/>
        <v>0</v>
      </c>
      <c r="K357" s="111"/>
      <c r="L357" s="115">
        <f t="shared" si="72"/>
        <v>0</v>
      </c>
      <c r="M357" s="111">
        <f t="shared" si="72"/>
        <v>2059</v>
      </c>
      <c r="N357" s="111">
        <f t="shared" si="72"/>
        <v>0</v>
      </c>
      <c r="O357" s="111">
        <f t="shared" si="72"/>
        <v>2059</v>
      </c>
      <c r="P357" s="97"/>
      <c r="Q357" s="97"/>
    </row>
    <row r="358" spans="1:17" ht="31.5" x14ac:dyDescent="0.2">
      <c r="A358" s="40"/>
      <c r="B358" s="113" t="s">
        <v>40</v>
      </c>
      <c r="C358" s="113">
        <v>992</v>
      </c>
      <c r="D358" s="133" t="s">
        <v>355</v>
      </c>
      <c r="E358" s="136" t="s">
        <v>379</v>
      </c>
      <c r="F358" s="134">
        <v>200</v>
      </c>
      <c r="G358" s="111">
        <v>2059</v>
      </c>
      <c r="H358" s="111"/>
      <c r="I358" s="111">
        <f>SUM(G358)+H358</f>
        <v>2059</v>
      </c>
      <c r="J358" s="115">
        <v>0</v>
      </c>
      <c r="K358" s="111"/>
      <c r="L358" s="115">
        <f>SUM(K358)</f>
        <v>0</v>
      </c>
      <c r="M358" s="111">
        <f>SUM(G358)</f>
        <v>2059</v>
      </c>
      <c r="N358" s="111">
        <f>SUM(H358)+K358</f>
        <v>0</v>
      </c>
      <c r="O358" s="111">
        <f>SUM(I358)+L358</f>
        <v>2059</v>
      </c>
      <c r="P358" s="97"/>
      <c r="Q358" s="97"/>
    </row>
    <row r="359" spans="1:17" ht="47.25" x14ac:dyDescent="0.2">
      <c r="A359" s="40"/>
      <c r="B359" s="113" t="s">
        <v>372</v>
      </c>
      <c r="C359" s="113">
        <v>992</v>
      </c>
      <c r="D359" s="133" t="s">
        <v>355</v>
      </c>
      <c r="E359" s="136" t="s">
        <v>549</v>
      </c>
      <c r="F359" s="134"/>
      <c r="G359" s="111">
        <f>SUM(G360)</f>
        <v>1564</v>
      </c>
      <c r="H359" s="111">
        <f>SUM(H360)</f>
        <v>0</v>
      </c>
      <c r="I359" s="111">
        <f>SUM(G359)+H359</f>
        <v>1564</v>
      </c>
      <c r="J359" s="115">
        <f>SUM(J360)</f>
        <v>3300</v>
      </c>
      <c r="K359" s="111"/>
      <c r="L359" s="115">
        <v>3300</v>
      </c>
      <c r="M359" s="111">
        <f t="shared" ref="M359:O360" si="74">SUM(G359+J359)</f>
        <v>4864</v>
      </c>
      <c r="N359" s="111">
        <f t="shared" si="74"/>
        <v>0</v>
      </c>
      <c r="O359" s="111">
        <f t="shared" si="74"/>
        <v>4864</v>
      </c>
      <c r="P359" s="97"/>
      <c r="Q359" s="97"/>
    </row>
    <row r="360" spans="1:17" ht="31.5" x14ac:dyDescent="0.2">
      <c r="A360" s="40"/>
      <c r="B360" s="113" t="s">
        <v>40</v>
      </c>
      <c r="C360" s="113">
        <v>992</v>
      </c>
      <c r="D360" s="133" t="s">
        <v>355</v>
      </c>
      <c r="E360" s="136" t="s">
        <v>549</v>
      </c>
      <c r="F360" s="134">
        <v>200</v>
      </c>
      <c r="G360" s="111">
        <v>1564</v>
      </c>
      <c r="H360" s="111"/>
      <c r="I360" s="111">
        <f>SUM(G360)+H360</f>
        <v>1564</v>
      </c>
      <c r="J360" s="115">
        <v>3300</v>
      </c>
      <c r="K360" s="111"/>
      <c r="L360" s="115">
        <v>3300</v>
      </c>
      <c r="M360" s="111">
        <f t="shared" si="74"/>
        <v>4864</v>
      </c>
      <c r="N360" s="111">
        <f t="shared" si="74"/>
        <v>0</v>
      </c>
      <c r="O360" s="111">
        <f t="shared" si="74"/>
        <v>4864</v>
      </c>
      <c r="P360" s="97"/>
      <c r="Q360" s="97"/>
    </row>
    <row r="361" spans="1:17" ht="47.25" x14ac:dyDescent="0.2">
      <c r="A361" s="40"/>
      <c r="B361" s="113" t="s">
        <v>105</v>
      </c>
      <c r="C361" s="113" t="s">
        <v>51</v>
      </c>
      <c r="D361" s="133" t="s">
        <v>355</v>
      </c>
      <c r="E361" s="133" t="s">
        <v>106</v>
      </c>
      <c r="F361" s="134" t="s">
        <v>11</v>
      </c>
      <c r="G361" s="111">
        <f>G362</f>
        <v>300</v>
      </c>
      <c r="H361" s="111"/>
      <c r="I361" s="111">
        <f>I362</f>
        <v>300</v>
      </c>
      <c r="J361" s="114">
        <f t="shared" ref="G361:O364" si="75">J362</f>
        <v>600</v>
      </c>
      <c r="K361" s="111">
        <f>K362</f>
        <v>0</v>
      </c>
      <c r="L361" s="114">
        <f t="shared" si="75"/>
        <v>600</v>
      </c>
      <c r="M361" s="111">
        <f t="shared" si="75"/>
        <v>900</v>
      </c>
      <c r="N361" s="111">
        <f>SUM(K361)</f>
        <v>0</v>
      </c>
      <c r="O361" s="111">
        <f t="shared" si="75"/>
        <v>900</v>
      </c>
      <c r="P361" s="97"/>
      <c r="Q361" s="97"/>
    </row>
    <row r="362" spans="1:17" ht="31.5" x14ac:dyDescent="0.2">
      <c r="A362" s="40"/>
      <c r="B362" s="113" t="s">
        <v>107</v>
      </c>
      <c r="C362" s="113" t="s">
        <v>51</v>
      </c>
      <c r="D362" s="133" t="s">
        <v>355</v>
      </c>
      <c r="E362" s="133" t="s">
        <v>108</v>
      </c>
      <c r="F362" s="134" t="s">
        <v>11</v>
      </c>
      <c r="G362" s="111">
        <f t="shared" si="75"/>
        <v>300</v>
      </c>
      <c r="H362" s="111">
        <f t="shared" si="75"/>
        <v>0</v>
      </c>
      <c r="I362" s="111">
        <f t="shared" si="75"/>
        <v>300</v>
      </c>
      <c r="J362" s="114">
        <f t="shared" si="75"/>
        <v>600</v>
      </c>
      <c r="K362" s="111">
        <f>K363</f>
        <v>0</v>
      </c>
      <c r="L362" s="114">
        <f t="shared" si="75"/>
        <v>600</v>
      </c>
      <c r="M362" s="111">
        <f t="shared" si="75"/>
        <v>900</v>
      </c>
      <c r="N362" s="111">
        <f t="shared" si="75"/>
        <v>0</v>
      </c>
      <c r="O362" s="111">
        <f>N362+M362</f>
        <v>900</v>
      </c>
      <c r="P362" s="97"/>
      <c r="Q362" s="97"/>
    </row>
    <row r="363" spans="1:17" ht="31.5" x14ac:dyDescent="0.2">
      <c r="A363" s="40"/>
      <c r="B363" s="113" t="s">
        <v>109</v>
      </c>
      <c r="C363" s="113" t="s">
        <v>51</v>
      </c>
      <c r="D363" s="133" t="s">
        <v>355</v>
      </c>
      <c r="E363" s="133" t="s">
        <v>110</v>
      </c>
      <c r="F363" s="134" t="s">
        <v>11</v>
      </c>
      <c r="G363" s="111">
        <f t="shared" si="75"/>
        <v>300</v>
      </c>
      <c r="H363" s="111">
        <f t="shared" si="75"/>
        <v>0</v>
      </c>
      <c r="I363" s="111">
        <f t="shared" si="75"/>
        <v>300</v>
      </c>
      <c r="J363" s="114">
        <f>J364+J366</f>
        <v>600</v>
      </c>
      <c r="K363" s="111">
        <f>K364+K366</f>
        <v>0</v>
      </c>
      <c r="L363" s="111">
        <f>L364+L366</f>
        <v>600</v>
      </c>
      <c r="M363" s="111">
        <f>M364+J363</f>
        <v>900</v>
      </c>
      <c r="N363" s="111">
        <f>SUM(K363)</f>
        <v>0</v>
      </c>
      <c r="O363" s="111">
        <f>O364+L363</f>
        <v>900</v>
      </c>
      <c r="P363" s="97"/>
      <c r="Q363" s="97"/>
    </row>
    <row r="364" spans="1:17" ht="31.5" x14ac:dyDescent="0.2">
      <c r="A364" s="40"/>
      <c r="B364" s="113" t="s">
        <v>114</v>
      </c>
      <c r="C364" s="113" t="s">
        <v>51</v>
      </c>
      <c r="D364" s="133" t="s">
        <v>355</v>
      </c>
      <c r="E364" s="133" t="s">
        <v>115</v>
      </c>
      <c r="F364" s="134" t="s">
        <v>11</v>
      </c>
      <c r="G364" s="111">
        <f>G365</f>
        <v>300</v>
      </c>
      <c r="H364" s="111"/>
      <c r="I364" s="111">
        <f>I365</f>
        <v>300</v>
      </c>
      <c r="J364" s="114">
        <f t="shared" si="75"/>
        <v>0</v>
      </c>
      <c r="K364" s="111"/>
      <c r="L364" s="114">
        <f t="shared" si="75"/>
        <v>0</v>
      </c>
      <c r="M364" s="111">
        <f t="shared" si="75"/>
        <v>300</v>
      </c>
      <c r="N364" s="111">
        <f t="shared" si="75"/>
        <v>0</v>
      </c>
      <c r="O364" s="111">
        <f t="shared" si="75"/>
        <v>300</v>
      </c>
      <c r="P364" s="97"/>
      <c r="Q364" s="97"/>
    </row>
    <row r="365" spans="1:17" ht="31.5" x14ac:dyDescent="0.2">
      <c r="A365" s="40"/>
      <c r="B365" s="113" t="s">
        <v>40</v>
      </c>
      <c r="C365" s="113" t="s">
        <v>51</v>
      </c>
      <c r="D365" s="133" t="s">
        <v>355</v>
      </c>
      <c r="E365" s="133" t="s">
        <v>115</v>
      </c>
      <c r="F365" s="134" t="s">
        <v>41</v>
      </c>
      <c r="G365" s="111">
        <v>300</v>
      </c>
      <c r="H365" s="111"/>
      <c r="I365" s="111">
        <v>300</v>
      </c>
      <c r="J365" s="115">
        <v>0</v>
      </c>
      <c r="K365" s="111"/>
      <c r="L365" s="115">
        <v>0</v>
      </c>
      <c r="M365" s="111">
        <v>300</v>
      </c>
      <c r="N365" s="111"/>
      <c r="O365" s="111">
        <v>300</v>
      </c>
      <c r="P365" s="97"/>
      <c r="Q365" s="97"/>
    </row>
    <row r="366" spans="1:17" ht="47.25" x14ac:dyDescent="0.2">
      <c r="A366" s="40"/>
      <c r="B366" s="113" t="s">
        <v>566</v>
      </c>
      <c r="C366" s="113">
        <v>992</v>
      </c>
      <c r="D366" s="133" t="s">
        <v>355</v>
      </c>
      <c r="E366" s="133">
        <v>1010160390</v>
      </c>
      <c r="F366" s="134"/>
      <c r="G366" s="111"/>
      <c r="H366" s="111"/>
      <c r="I366" s="111"/>
      <c r="J366" s="115">
        <v>600</v>
      </c>
      <c r="K366" s="111">
        <f>SUM(K367)</f>
        <v>0</v>
      </c>
      <c r="L366" s="111">
        <f>SUM(L367)</f>
        <v>600</v>
      </c>
      <c r="M366" s="111">
        <f t="shared" ref="M366:O367" si="76">SUM(J366)</f>
        <v>600</v>
      </c>
      <c r="N366" s="111">
        <f t="shared" si="76"/>
        <v>0</v>
      </c>
      <c r="O366" s="111">
        <f t="shared" si="76"/>
        <v>600</v>
      </c>
      <c r="P366" s="97"/>
      <c r="Q366" s="97"/>
    </row>
    <row r="367" spans="1:17" ht="31.5" x14ac:dyDescent="0.2">
      <c r="A367" s="40"/>
      <c r="B367" s="113" t="s">
        <v>40</v>
      </c>
      <c r="C367" s="113">
        <v>992</v>
      </c>
      <c r="D367" s="133" t="s">
        <v>355</v>
      </c>
      <c r="E367" s="133">
        <v>1010160390</v>
      </c>
      <c r="F367" s="134">
        <v>200</v>
      </c>
      <c r="G367" s="111"/>
      <c r="H367" s="111"/>
      <c r="I367" s="111"/>
      <c r="J367" s="115">
        <v>600</v>
      </c>
      <c r="K367" s="111"/>
      <c r="L367" s="115">
        <f>SUM(J367)</f>
        <v>600</v>
      </c>
      <c r="M367" s="111">
        <f t="shared" si="76"/>
        <v>600</v>
      </c>
      <c r="N367" s="111">
        <f t="shared" si="76"/>
        <v>0</v>
      </c>
      <c r="O367" s="111">
        <f t="shared" si="76"/>
        <v>600</v>
      </c>
      <c r="P367" s="97"/>
      <c r="Q367" s="97"/>
    </row>
    <row r="368" spans="1:17" ht="63" x14ac:dyDescent="0.2">
      <c r="A368" s="40"/>
      <c r="B368" s="113" t="s">
        <v>380</v>
      </c>
      <c r="C368" s="113" t="s">
        <v>51</v>
      </c>
      <c r="D368" s="133" t="s">
        <v>355</v>
      </c>
      <c r="E368" s="133" t="s">
        <v>381</v>
      </c>
      <c r="F368" s="134" t="s">
        <v>11</v>
      </c>
      <c r="G368" s="111">
        <f t="shared" ref="G368:O368" si="77">G369</f>
        <v>1150.3</v>
      </c>
      <c r="H368" s="111">
        <f t="shared" si="77"/>
        <v>164.5</v>
      </c>
      <c r="I368" s="111">
        <f t="shared" si="77"/>
        <v>1314.8</v>
      </c>
      <c r="J368" s="114">
        <f t="shared" si="77"/>
        <v>0</v>
      </c>
      <c r="K368" s="111">
        <f t="shared" si="77"/>
        <v>0</v>
      </c>
      <c r="L368" s="114">
        <f t="shared" si="77"/>
        <v>0</v>
      </c>
      <c r="M368" s="111">
        <f t="shared" si="77"/>
        <v>1150.3</v>
      </c>
      <c r="N368" s="111">
        <f t="shared" si="77"/>
        <v>164.5</v>
      </c>
      <c r="O368" s="111">
        <f t="shared" si="77"/>
        <v>1314.8</v>
      </c>
      <c r="P368" s="97"/>
      <c r="Q368" s="97"/>
    </row>
    <row r="369" spans="1:17" ht="47.25" x14ac:dyDescent="0.2">
      <c r="A369" s="40"/>
      <c r="B369" s="113" t="s">
        <v>382</v>
      </c>
      <c r="C369" s="113" t="s">
        <v>51</v>
      </c>
      <c r="D369" s="133" t="s">
        <v>355</v>
      </c>
      <c r="E369" s="133" t="s">
        <v>383</v>
      </c>
      <c r="F369" s="134" t="s">
        <v>11</v>
      </c>
      <c r="G369" s="111">
        <f>G370+G373</f>
        <v>1150.3</v>
      </c>
      <c r="H369" s="111">
        <f>H370+H373</f>
        <v>164.5</v>
      </c>
      <c r="I369" s="111">
        <f>I370+I373</f>
        <v>1314.8</v>
      </c>
      <c r="J369" s="114">
        <f>J370</f>
        <v>0</v>
      </c>
      <c r="K369" s="111">
        <f>K370</f>
        <v>0</v>
      </c>
      <c r="L369" s="114">
        <f>L370</f>
        <v>0</v>
      </c>
      <c r="M369" s="111">
        <f>M370+M373</f>
        <v>1150.3</v>
      </c>
      <c r="N369" s="111">
        <f>N370+N373</f>
        <v>164.5</v>
      </c>
      <c r="O369" s="111">
        <f>O370+O373</f>
        <v>1314.8</v>
      </c>
      <c r="P369" s="97"/>
      <c r="Q369" s="97"/>
    </row>
    <row r="370" spans="1:17" ht="63" x14ac:dyDescent="0.2">
      <c r="A370" s="40"/>
      <c r="B370" s="113" t="s">
        <v>384</v>
      </c>
      <c r="C370" s="113" t="s">
        <v>51</v>
      </c>
      <c r="D370" s="133" t="s">
        <v>355</v>
      </c>
      <c r="E370" s="136" t="s">
        <v>545</v>
      </c>
      <c r="F370" s="134" t="s">
        <v>11</v>
      </c>
      <c r="G370" s="111">
        <f>G371+G372</f>
        <v>385.4</v>
      </c>
      <c r="H370" s="111">
        <f>H371+H372</f>
        <v>164.5</v>
      </c>
      <c r="I370" s="111">
        <f>I371+I372</f>
        <v>549.9</v>
      </c>
      <c r="J370" s="114">
        <f>J371</f>
        <v>0</v>
      </c>
      <c r="K370" s="111"/>
      <c r="L370" s="114">
        <f>L371</f>
        <v>0</v>
      </c>
      <c r="M370" s="111">
        <f>M371+M372</f>
        <v>385.4</v>
      </c>
      <c r="N370" s="111">
        <f>N371+N372</f>
        <v>164.5</v>
      </c>
      <c r="O370" s="111">
        <f>O371+O372</f>
        <v>549.9</v>
      </c>
      <c r="P370" s="97"/>
      <c r="Q370" s="97"/>
    </row>
    <row r="371" spans="1:17" ht="31.5" x14ac:dyDescent="0.2">
      <c r="A371" s="40"/>
      <c r="B371" s="113" t="s">
        <v>40</v>
      </c>
      <c r="C371" s="113" t="s">
        <v>51</v>
      </c>
      <c r="D371" s="133" t="s">
        <v>355</v>
      </c>
      <c r="E371" s="136" t="s">
        <v>545</v>
      </c>
      <c r="F371" s="134" t="s">
        <v>41</v>
      </c>
      <c r="G371" s="111">
        <v>185.4</v>
      </c>
      <c r="H371" s="117">
        <v>164.5</v>
      </c>
      <c r="I371" s="111">
        <f>SUM(G371:H371)</f>
        <v>349.9</v>
      </c>
      <c r="J371" s="115">
        <v>0</v>
      </c>
      <c r="K371" s="109"/>
      <c r="L371" s="115">
        <v>0</v>
      </c>
      <c r="M371" s="111">
        <f>SUM(G371)</f>
        <v>185.4</v>
      </c>
      <c r="N371" s="111">
        <f t="shared" ref="N371:O378" si="78">SUM(H371)</f>
        <v>164.5</v>
      </c>
      <c r="O371" s="111">
        <f>SUM(I371)</f>
        <v>349.9</v>
      </c>
      <c r="P371" s="97"/>
      <c r="Q371" s="97"/>
    </row>
    <row r="372" spans="1:17" ht="31.5" x14ac:dyDescent="0.2">
      <c r="A372" s="40"/>
      <c r="B372" s="113" t="s">
        <v>112</v>
      </c>
      <c r="C372" s="113">
        <v>992</v>
      </c>
      <c r="D372" s="133" t="s">
        <v>355</v>
      </c>
      <c r="E372" s="136" t="s">
        <v>545</v>
      </c>
      <c r="F372" s="134">
        <v>300</v>
      </c>
      <c r="G372" s="111">
        <v>200</v>
      </c>
      <c r="H372" s="117"/>
      <c r="I372" s="111">
        <f>SUM(G372)</f>
        <v>200</v>
      </c>
      <c r="J372" s="115"/>
      <c r="K372" s="109"/>
      <c r="L372" s="115"/>
      <c r="M372" s="111">
        <f>SUM(G372)</f>
        <v>200</v>
      </c>
      <c r="N372" s="111">
        <f>SUM(H372)</f>
        <v>0</v>
      </c>
      <c r="O372" s="111">
        <f>SUM(I372)</f>
        <v>200</v>
      </c>
      <c r="P372" s="97"/>
      <c r="Q372" s="97"/>
    </row>
    <row r="373" spans="1:17" ht="31.5" x14ac:dyDescent="0.2">
      <c r="A373" s="40"/>
      <c r="B373" s="113" t="s">
        <v>385</v>
      </c>
      <c r="C373" s="113">
        <v>992</v>
      </c>
      <c r="D373" s="133" t="s">
        <v>355</v>
      </c>
      <c r="E373" s="133">
        <v>1400124240</v>
      </c>
      <c r="F373" s="134"/>
      <c r="G373" s="111">
        <v>764.9</v>
      </c>
      <c r="H373" s="117"/>
      <c r="I373" s="111">
        <f>SUM(G373)+H373</f>
        <v>764.9</v>
      </c>
      <c r="J373" s="115"/>
      <c r="K373" s="109"/>
      <c r="L373" s="115"/>
      <c r="M373" s="111">
        <f>SUM(G373)</f>
        <v>764.9</v>
      </c>
      <c r="N373" s="111">
        <f t="shared" si="78"/>
        <v>0</v>
      </c>
      <c r="O373" s="111">
        <f t="shared" si="78"/>
        <v>764.9</v>
      </c>
      <c r="P373" s="97"/>
      <c r="Q373" s="97"/>
    </row>
    <row r="374" spans="1:17" ht="31.5" x14ac:dyDescent="0.2">
      <c r="A374" s="40"/>
      <c r="B374" s="113" t="s">
        <v>40</v>
      </c>
      <c r="C374" s="113">
        <v>992</v>
      </c>
      <c r="D374" s="133" t="s">
        <v>355</v>
      </c>
      <c r="E374" s="133">
        <v>1400124240</v>
      </c>
      <c r="F374" s="134">
        <v>200</v>
      </c>
      <c r="G374" s="111">
        <v>764.9</v>
      </c>
      <c r="H374" s="117"/>
      <c r="I374" s="111">
        <f>SUM(G374)+H374</f>
        <v>764.9</v>
      </c>
      <c r="J374" s="115"/>
      <c r="K374" s="109"/>
      <c r="L374" s="115"/>
      <c r="M374" s="111">
        <f>SUM(G374)</f>
        <v>764.9</v>
      </c>
      <c r="N374" s="111">
        <f t="shared" si="78"/>
        <v>0</v>
      </c>
      <c r="O374" s="111">
        <f t="shared" si="78"/>
        <v>764.9</v>
      </c>
      <c r="P374" s="97"/>
      <c r="Q374" s="97"/>
    </row>
    <row r="375" spans="1:17" ht="31.5" x14ac:dyDescent="0.2">
      <c r="A375" s="40"/>
      <c r="B375" s="113" t="s">
        <v>66</v>
      </c>
      <c r="C375" s="113">
        <v>992</v>
      </c>
      <c r="D375" s="133" t="s">
        <v>355</v>
      </c>
      <c r="E375" s="133">
        <v>5200000000</v>
      </c>
      <c r="F375" s="134"/>
      <c r="G375" s="111">
        <v>2838.5</v>
      </c>
      <c r="H375" s="117">
        <f>SUM(H377)</f>
        <v>0</v>
      </c>
      <c r="I375" s="111">
        <f t="shared" ref="I375:I378" si="79">SUM(G375)</f>
        <v>2838.5</v>
      </c>
      <c r="J375" s="115"/>
      <c r="K375" s="109"/>
      <c r="L375" s="115"/>
      <c r="M375" s="111">
        <v>2838.5</v>
      </c>
      <c r="N375" s="111">
        <f t="shared" si="78"/>
        <v>0</v>
      </c>
      <c r="O375" s="111">
        <f t="shared" si="78"/>
        <v>2838.5</v>
      </c>
      <c r="P375" s="97"/>
      <c r="Q375" s="97"/>
    </row>
    <row r="376" spans="1:17" ht="31.5" x14ac:dyDescent="0.2">
      <c r="A376" s="40"/>
      <c r="B376" s="113" t="s">
        <v>80</v>
      </c>
      <c r="C376" s="113">
        <v>992</v>
      </c>
      <c r="D376" s="133" t="s">
        <v>355</v>
      </c>
      <c r="E376" s="133">
        <v>5230000000</v>
      </c>
      <c r="F376" s="134"/>
      <c r="G376" s="111">
        <v>2838.5</v>
      </c>
      <c r="H376" s="117">
        <f>SUM(H378)</f>
        <v>0</v>
      </c>
      <c r="I376" s="111">
        <f t="shared" si="79"/>
        <v>2838.5</v>
      </c>
      <c r="J376" s="115"/>
      <c r="K376" s="109"/>
      <c r="L376" s="115"/>
      <c r="M376" s="111">
        <f>SUM(M378)</f>
        <v>2838.5</v>
      </c>
      <c r="N376" s="111">
        <f t="shared" si="78"/>
        <v>0</v>
      </c>
      <c r="O376" s="111">
        <f t="shared" si="78"/>
        <v>2838.5</v>
      </c>
      <c r="P376" s="97"/>
      <c r="Q376" s="97"/>
    </row>
    <row r="377" spans="1:17" ht="31.5" x14ac:dyDescent="0.2">
      <c r="A377" s="40"/>
      <c r="B377" s="113" t="s">
        <v>82</v>
      </c>
      <c r="C377" s="113">
        <v>992</v>
      </c>
      <c r="D377" s="133" t="s">
        <v>355</v>
      </c>
      <c r="E377" s="133">
        <v>5230010490</v>
      </c>
      <c r="F377" s="134"/>
      <c r="G377" s="111">
        <v>2838.5</v>
      </c>
      <c r="H377" s="117">
        <f>SUM(H378)</f>
        <v>0</v>
      </c>
      <c r="I377" s="111">
        <f t="shared" si="79"/>
        <v>2838.5</v>
      </c>
      <c r="J377" s="115"/>
      <c r="K377" s="109"/>
      <c r="L377" s="115"/>
      <c r="M377" s="111">
        <f>SUM(G377)</f>
        <v>2838.5</v>
      </c>
      <c r="N377" s="111">
        <f t="shared" si="78"/>
        <v>0</v>
      </c>
      <c r="O377" s="111">
        <f t="shared" si="78"/>
        <v>2838.5</v>
      </c>
      <c r="P377" s="97"/>
      <c r="Q377" s="97"/>
    </row>
    <row r="378" spans="1:17" ht="29.25" customHeight="1" x14ac:dyDescent="0.2">
      <c r="A378" s="40"/>
      <c r="B378" s="113" t="s">
        <v>40</v>
      </c>
      <c r="C378" s="113">
        <v>992</v>
      </c>
      <c r="D378" s="133" t="s">
        <v>355</v>
      </c>
      <c r="E378" s="133">
        <v>5230010490</v>
      </c>
      <c r="F378" s="134">
        <v>200</v>
      </c>
      <c r="G378" s="111">
        <v>2838.5</v>
      </c>
      <c r="H378" s="117"/>
      <c r="I378" s="111">
        <f t="shared" si="79"/>
        <v>2838.5</v>
      </c>
      <c r="J378" s="115"/>
      <c r="K378" s="109"/>
      <c r="L378" s="115"/>
      <c r="M378" s="111">
        <f>SUM(G378)</f>
        <v>2838.5</v>
      </c>
      <c r="N378" s="111">
        <f t="shared" si="78"/>
        <v>0</v>
      </c>
      <c r="O378" s="111">
        <f t="shared" si="78"/>
        <v>2838.5</v>
      </c>
      <c r="P378" s="97"/>
      <c r="Q378" s="97"/>
    </row>
    <row r="379" spans="1:17" ht="31.5" hidden="1" x14ac:dyDescent="0.2">
      <c r="A379" s="40"/>
      <c r="B379" s="113" t="s">
        <v>40</v>
      </c>
      <c r="C379" s="113"/>
      <c r="D379" s="133"/>
      <c r="E379" s="133"/>
      <c r="F379" s="134"/>
      <c r="G379" s="111"/>
      <c r="H379" s="109"/>
      <c r="I379" s="111"/>
      <c r="J379" s="115"/>
      <c r="K379" s="109"/>
      <c r="L379" s="115"/>
      <c r="M379" s="111"/>
      <c r="N379" s="111"/>
      <c r="O379" s="111"/>
      <c r="P379" s="97"/>
      <c r="Q379" s="97"/>
    </row>
    <row r="380" spans="1:17" ht="31.5" x14ac:dyDescent="0.2">
      <c r="A380" s="33" t="s">
        <v>386</v>
      </c>
      <c r="B380" s="110" t="s">
        <v>387</v>
      </c>
      <c r="C380" s="110" t="s">
        <v>51</v>
      </c>
      <c r="D380" s="131" t="s">
        <v>388</v>
      </c>
      <c r="E380" s="131" t="s">
        <v>11</v>
      </c>
      <c r="F380" s="132" t="s">
        <v>11</v>
      </c>
      <c r="G380" s="109">
        <f t="shared" ref="G380:O381" si="80">G381</f>
        <v>107724.20000000001</v>
      </c>
      <c r="H380" s="111">
        <f t="shared" si="80"/>
        <v>0</v>
      </c>
      <c r="I380" s="109">
        <f t="shared" si="80"/>
        <v>107724.20000000001</v>
      </c>
      <c r="J380" s="112">
        <f t="shared" si="80"/>
        <v>0</v>
      </c>
      <c r="K380" s="111">
        <f t="shared" si="80"/>
        <v>0</v>
      </c>
      <c r="L380" s="112">
        <f t="shared" si="80"/>
        <v>0</v>
      </c>
      <c r="M380" s="109">
        <f t="shared" si="80"/>
        <v>107724.20000000001</v>
      </c>
      <c r="N380" s="109">
        <f t="shared" si="80"/>
        <v>0</v>
      </c>
      <c r="O380" s="109">
        <f t="shared" si="80"/>
        <v>107724.20000000001</v>
      </c>
      <c r="P380" s="97"/>
      <c r="Q380" s="97"/>
    </row>
    <row r="381" spans="1:17" ht="31.5" x14ac:dyDescent="0.2">
      <c r="A381" s="40"/>
      <c r="B381" s="113" t="s">
        <v>245</v>
      </c>
      <c r="C381" s="113" t="s">
        <v>51</v>
      </c>
      <c r="D381" s="133" t="s">
        <v>388</v>
      </c>
      <c r="E381" s="133" t="s">
        <v>246</v>
      </c>
      <c r="F381" s="134" t="s">
        <v>11</v>
      </c>
      <c r="G381" s="111">
        <f t="shared" si="80"/>
        <v>107724.20000000001</v>
      </c>
      <c r="H381" s="111">
        <f t="shared" si="80"/>
        <v>0</v>
      </c>
      <c r="I381" s="111">
        <f t="shared" si="80"/>
        <v>107724.20000000001</v>
      </c>
      <c r="J381" s="114">
        <f t="shared" si="80"/>
        <v>0</v>
      </c>
      <c r="K381" s="111">
        <f>K382+K385</f>
        <v>0</v>
      </c>
      <c r="L381" s="114">
        <f t="shared" si="80"/>
        <v>0</v>
      </c>
      <c r="M381" s="111">
        <f t="shared" si="80"/>
        <v>107724.20000000001</v>
      </c>
      <c r="N381" s="111">
        <f t="shared" si="80"/>
        <v>0</v>
      </c>
      <c r="O381" s="111">
        <f t="shared" si="80"/>
        <v>107724.20000000001</v>
      </c>
      <c r="P381" s="97"/>
      <c r="Q381" s="97"/>
    </row>
    <row r="382" spans="1:17" ht="15.75" x14ac:dyDescent="0.2">
      <c r="A382" s="40"/>
      <c r="B382" s="113" t="s">
        <v>247</v>
      </c>
      <c r="C382" s="113" t="s">
        <v>51</v>
      </c>
      <c r="D382" s="133" t="s">
        <v>388</v>
      </c>
      <c r="E382" s="133" t="s">
        <v>248</v>
      </c>
      <c r="F382" s="134" t="s">
        <v>11</v>
      </c>
      <c r="G382" s="111">
        <f>G383+G386</f>
        <v>107724.20000000001</v>
      </c>
      <c r="H382" s="111">
        <f>SUM(H386)+H383</f>
        <v>0</v>
      </c>
      <c r="I382" s="111">
        <f>I383+I386</f>
        <v>107724.20000000001</v>
      </c>
      <c r="J382" s="114">
        <f>J383+J386</f>
        <v>0</v>
      </c>
      <c r="K382" s="111">
        <f t="shared" ref="G382:O384" si="81">K383</f>
        <v>0</v>
      </c>
      <c r="L382" s="114">
        <f>L383+L386</f>
        <v>0</v>
      </c>
      <c r="M382" s="111">
        <f>M383+M386</f>
        <v>107724.20000000001</v>
      </c>
      <c r="N382" s="111">
        <f>N383+N386</f>
        <v>0</v>
      </c>
      <c r="O382" s="111">
        <f>O383+O386</f>
        <v>107724.20000000001</v>
      </c>
      <c r="P382" s="97"/>
      <c r="Q382" s="97"/>
    </row>
    <row r="383" spans="1:17" ht="31.5" x14ac:dyDescent="0.2">
      <c r="A383" s="40"/>
      <c r="B383" s="113" t="s">
        <v>389</v>
      </c>
      <c r="C383" s="113" t="s">
        <v>51</v>
      </c>
      <c r="D383" s="133" t="s">
        <v>388</v>
      </c>
      <c r="E383" s="133" t="s">
        <v>390</v>
      </c>
      <c r="F383" s="134" t="s">
        <v>11</v>
      </c>
      <c r="G383" s="111">
        <f t="shared" si="81"/>
        <v>8699.1</v>
      </c>
      <c r="H383" s="111">
        <f t="shared" si="81"/>
        <v>0</v>
      </c>
      <c r="I383" s="111">
        <f t="shared" si="81"/>
        <v>8699.1</v>
      </c>
      <c r="J383" s="114">
        <f t="shared" si="81"/>
        <v>0</v>
      </c>
      <c r="K383" s="111">
        <f t="shared" si="81"/>
        <v>0</v>
      </c>
      <c r="L383" s="114">
        <f t="shared" si="81"/>
        <v>0</v>
      </c>
      <c r="M383" s="111">
        <f t="shared" si="81"/>
        <v>8699.1</v>
      </c>
      <c r="N383" s="111">
        <f t="shared" si="81"/>
        <v>0</v>
      </c>
      <c r="O383" s="111">
        <f t="shared" si="81"/>
        <v>8699.1</v>
      </c>
      <c r="P383" s="97"/>
      <c r="Q383" s="97"/>
    </row>
    <row r="384" spans="1:17" ht="31.5" x14ac:dyDescent="0.2">
      <c r="A384" s="40"/>
      <c r="B384" s="113" t="s">
        <v>134</v>
      </c>
      <c r="C384" s="113" t="s">
        <v>51</v>
      </c>
      <c r="D384" s="133" t="s">
        <v>388</v>
      </c>
      <c r="E384" s="133" t="s">
        <v>391</v>
      </c>
      <c r="F384" s="134" t="s">
        <v>11</v>
      </c>
      <c r="G384" s="111">
        <f t="shared" si="81"/>
        <v>8699.1</v>
      </c>
      <c r="H384" s="111"/>
      <c r="I384" s="111">
        <f t="shared" si="81"/>
        <v>8699.1</v>
      </c>
      <c r="J384" s="114">
        <f t="shared" si="81"/>
        <v>0</v>
      </c>
      <c r="K384" s="111"/>
      <c r="L384" s="114">
        <f t="shared" si="81"/>
        <v>0</v>
      </c>
      <c r="M384" s="111">
        <f t="shared" si="81"/>
        <v>8699.1</v>
      </c>
      <c r="N384" s="111">
        <f t="shared" si="81"/>
        <v>0</v>
      </c>
      <c r="O384" s="111">
        <f t="shared" si="81"/>
        <v>8699.1</v>
      </c>
      <c r="P384" s="97"/>
      <c r="Q384" s="97"/>
    </row>
    <row r="385" spans="1:17" ht="33.6" customHeight="1" x14ac:dyDescent="0.2">
      <c r="A385" s="40"/>
      <c r="B385" s="113" t="s">
        <v>95</v>
      </c>
      <c r="C385" s="113" t="s">
        <v>51</v>
      </c>
      <c r="D385" s="133" t="s">
        <v>388</v>
      </c>
      <c r="E385" s="133" t="s">
        <v>391</v>
      </c>
      <c r="F385" s="134" t="s">
        <v>96</v>
      </c>
      <c r="G385" s="111">
        <v>8699.1</v>
      </c>
      <c r="H385" s="111"/>
      <c r="I385" s="111">
        <f>SUM(G385)</f>
        <v>8699.1</v>
      </c>
      <c r="J385" s="115">
        <v>0</v>
      </c>
      <c r="K385" s="111"/>
      <c r="L385" s="115">
        <v>0</v>
      </c>
      <c r="M385" s="111">
        <f>SUM(G385)</f>
        <v>8699.1</v>
      </c>
      <c r="N385" s="111">
        <f>SUM(H385)</f>
        <v>0</v>
      </c>
      <c r="O385" s="111">
        <f>SUM(I385)</f>
        <v>8699.1</v>
      </c>
      <c r="P385" s="97"/>
      <c r="Q385" s="97"/>
    </row>
    <row r="386" spans="1:17" ht="47.25" x14ac:dyDescent="0.2">
      <c r="A386" s="40"/>
      <c r="B386" s="113" t="s">
        <v>249</v>
      </c>
      <c r="C386" s="113" t="s">
        <v>51</v>
      </c>
      <c r="D386" s="133" t="s">
        <v>388</v>
      </c>
      <c r="E386" s="133" t="s">
        <v>250</v>
      </c>
      <c r="F386" s="134" t="s">
        <v>11</v>
      </c>
      <c r="G386" s="111">
        <f>G387+G389+G391</f>
        <v>99025.1</v>
      </c>
      <c r="H386" s="111">
        <f>H387+H391+H389</f>
        <v>0</v>
      </c>
      <c r="I386" s="111">
        <f>I387+I391+I389</f>
        <v>99025.1</v>
      </c>
      <c r="J386" s="114">
        <f t="shared" ref="G386:O387" si="82">J387</f>
        <v>0</v>
      </c>
      <c r="K386" s="111">
        <f t="shared" si="82"/>
        <v>0</v>
      </c>
      <c r="L386" s="114">
        <f t="shared" si="82"/>
        <v>0</v>
      </c>
      <c r="M386" s="111">
        <f>M387+M389+M391</f>
        <v>99025.1</v>
      </c>
      <c r="N386" s="111">
        <f>N387+N391+N389</f>
        <v>0</v>
      </c>
      <c r="O386" s="111">
        <f>O387+O391+O389</f>
        <v>99025.1</v>
      </c>
      <c r="P386" s="97"/>
      <c r="Q386" s="97"/>
    </row>
    <row r="387" spans="1:17" ht="31.5" x14ac:dyDescent="0.2">
      <c r="A387" s="40"/>
      <c r="B387" s="113" t="s">
        <v>134</v>
      </c>
      <c r="C387" s="113" t="s">
        <v>51</v>
      </c>
      <c r="D387" s="133" t="s">
        <v>388</v>
      </c>
      <c r="E387" s="133" t="s">
        <v>251</v>
      </c>
      <c r="F387" s="134" t="s">
        <v>11</v>
      </c>
      <c r="G387" s="111">
        <f t="shared" si="82"/>
        <v>97105.1</v>
      </c>
      <c r="H387" s="111">
        <f t="shared" si="82"/>
        <v>0</v>
      </c>
      <c r="I387" s="111">
        <f t="shared" si="82"/>
        <v>97105.1</v>
      </c>
      <c r="J387" s="114">
        <f t="shared" si="82"/>
        <v>0</v>
      </c>
      <c r="K387" s="111"/>
      <c r="L387" s="114">
        <f t="shared" si="82"/>
        <v>0</v>
      </c>
      <c r="M387" s="111">
        <f t="shared" si="82"/>
        <v>97105.1</v>
      </c>
      <c r="N387" s="111">
        <f t="shared" si="82"/>
        <v>0</v>
      </c>
      <c r="O387" s="111">
        <f t="shared" si="82"/>
        <v>97105.1</v>
      </c>
      <c r="P387" s="97"/>
      <c r="Q387" s="97"/>
    </row>
    <row r="388" spans="1:17" ht="33.6" customHeight="1" x14ac:dyDescent="0.2">
      <c r="A388" s="40"/>
      <c r="B388" s="113" t="s">
        <v>95</v>
      </c>
      <c r="C388" s="113" t="s">
        <v>51</v>
      </c>
      <c r="D388" s="133" t="s">
        <v>388</v>
      </c>
      <c r="E388" s="133" t="s">
        <v>251</v>
      </c>
      <c r="F388" s="134" t="s">
        <v>96</v>
      </c>
      <c r="G388" s="111">
        <v>97105.1</v>
      </c>
      <c r="H388" s="111"/>
      <c r="I388" s="111">
        <f>SUM(G388)+H388</f>
        <v>97105.1</v>
      </c>
      <c r="J388" s="115">
        <v>0</v>
      </c>
      <c r="K388" s="106"/>
      <c r="L388" s="115">
        <v>0</v>
      </c>
      <c r="M388" s="111">
        <f>SUM(G388)</f>
        <v>97105.1</v>
      </c>
      <c r="N388" s="111">
        <f>SUM(H388)</f>
        <v>0</v>
      </c>
      <c r="O388" s="111">
        <f>SUM(M388)+N388</f>
        <v>97105.1</v>
      </c>
      <c r="P388" s="97"/>
      <c r="Q388" s="97"/>
    </row>
    <row r="389" spans="1:17" ht="33.6" customHeight="1" x14ac:dyDescent="0.2">
      <c r="A389" s="40"/>
      <c r="B389" s="145" t="s">
        <v>392</v>
      </c>
      <c r="C389" s="113">
        <v>992</v>
      </c>
      <c r="D389" s="133" t="s">
        <v>388</v>
      </c>
      <c r="E389" s="136" t="s">
        <v>393</v>
      </c>
      <c r="F389" s="134"/>
      <c r="G389" s="111">
        <f>SUM(G390)</f>
        <v>779</v>
      </c>
      <c r="H389" s="111"/>
      <c r="I389" s="111">
        <f>SUM(G389)</f>
        <v>779</v>
      </c>
      <c r="J389" s="115"/>
      <c r="K389" s="106"/>
      <c r="L389" s="115"/>
      <c r="M389" s="111">
        <f>SUM(G389)</f>
        <v>779</v>
      </c>
      <c r="N389" s="111">
        <f t="shared" ref="N389:O392" si="83">SUM(H389)</f>
        <v>0</v>
      </c>
      <c r="O389" s="111">
        <f t="shared" si="83"/>
        <v>779</v>
      </c>
      <c r="P389" s="97"/>
      <c r="Q389" s="97"/>
    </row>
    <row r="390" spans="1:17" ht="33.6" customHeight="1" x14ac:dyDescent="0.2">
      <c r="A390" s="40"/>
      <c r="B390" s="113" t="s">
        <v>95</v>
      </c>
      <c r="C390" s="113">
        <v>992</v>
      </c>
      <c r="D390" s="133" t="s">
        <v>388</v>
      </c>
      <c r="E390" s="136" t="s">
        <v>393</v>
      </c>
      <c r="F390" s="134">
        <v>600</v>
      </c>
      <c r="G390" s="111">
        <v>779</v>
      </c>
      <c r="H390" s="111"/>
      <c r="I390" s="111">
        <f>SUM(G390)</f>
        <v>779</v>
      </c>
      <c r="J390" s="115"/>
      <c r="K390" s="106"/>
      <c r="L390" s="115"/>
      <c r="M390" s="111">
        <f>SUM(G390)</f>
        <v>779</v>
      </c>
      <c r="N390" s="111">
        <f t="shared" si="83"/>
        <v>0</v>
      </c>
      <c r="O390" s="111">
        <f t="shared" si="83"/>
        <v>779</v>
      </c>
      <c r="P390" s="97"/>
      <c r="Q390" s="97"/>
    </row>
    <row r="391" spans="1:17" ht="51" customHeight="1" x14ac:dyDescent="0.2">
      <c r="A391" s="40"/>
      <c r="B391" s="113" t="s">
        <v>283</v>
      </c>
      <c r="C391" s="113">
        <v>992</v>
      </c>
      <c r="D391" s="133" t="s">
        <v>388</v>
      </c>
      <c r="E391" s="136" t="s">
        <v>284</v>
      </c>
      <c r="F391" s="134"/>
      <c r="G391" s="111">
        <f>SUM(G392)</f>
        <v>1141</v>
      </c>
      <c r="H391" s="111">
        <f>SUM(H392)</f>
        <v>0</v>
      </c>
      <c r="I391" s="111">
        <f>SUM(G391)</f>
        <v>1141</v>
      </c>
      <c r="J391" s="115"/>
      <c r="K391" s="106"/>
      <c r="L391" s="115"/>
      <c r="M391" s="111">
        <f>SUM(G391)</f>
        <v>1141</v>
      </c>
      <c r="N391" s="111">
        <f t="shared" si="83"/>
        <v>0</v>
      </c>
      <c r="O391" s="111">
        <f t="shared" si="83"/>
        <v>1141</v>
      </c>
      <c r="P391" s="97"/>
      <c r="Q391" s="97"/>
    </row>
    <row r="392" spans="1:17" ht="33.6" customHeight="1" x14ac:dyDescent="0.2">
      <c r="A392" s="40"/>
      <c r="B392" s="113" t="s">
        <v>95</v>
      </c>
      <c r="C392" s="113">
        <v>992</v>
      </c>
      <c r="D392" s="133" t="s">
        <v>388</v>
      </c>
      <c r="E392" s="136" t="s">
        <v>284</v>
      </c>
      <c r="F392" s="134">
        <v>600</v>
      </c>
      <c r="G392" s="111">
        <v>1141</v>
      </c>
      <c r="H392" s="111"/>
      <c r="I392" s="111">
        <f>SUM(G392)</f>
        <v>1141</v>
      </c>
      <c r="J392" s="115"/>
      <c r="K392" s="106"/>
      <c r="L392" s="115"/>
      <c r="M392" s="111">
        <f>SUM(G392)</f>
        <v>1141</v>
      </c>
      <c r="N392" s="111">
        <f t="shared" si="83"/>
        <v>0</v>
      </c>
      <c r="O392" s="111">
        <f t="shared" si="83"/>
        <v>1141</v>
      </c>
      <c r="P392" s="97"/>
      <c r="Q392" s="97"/>
    </row>
    <row r="393" spans="1:17" ht="15.75" x14ac:dyDescent="0.2">
      <c r="A393" s="20" t="s">
        <v>394</v>
      </c>
      <c r="B393" s="107" t="s">
        <v>395</v>
      </c>
      <c r="C393" s="107" t="s">
        <v>51</v>
      </c>
      <c r="D393" s="129" t="s">
        <v>396</v>
      </c>
      <c r="E393" s="129" t="s">
        <v>11</v>
      </c>
      <c r="F393" s="130" t="s">
        <v>11</v>
      </c>
      <c r="G393" s="106">
        <f>G394</f>
        <v>15416.800000000003</v>
      </c>
      <c r="H393" s="109">
        <f>H394</f>
        <v>0</v>
      </c>
      <c r="I393" s="106">
        <f>I394</f>
        <v>15416.800000000003</v>
      </c>
      <c r="J393" s="108">
        <f>J394</f>
        <v>844.2</v>
      </c>
      <c r="K393" s="109">
        <f>K394+K408</f>
        <v>0</v>
      </c>
      <c r="L393" s="108">
        <f>L394</f>
        <v>844.2</v>
      </c>
      <c r="M393" s="106">
        <f>M394</f>
        <v>15972.800000000003</v>
      </c>
      <c r="N393" s="106">
        <f>N394</f>
        <v>0</v>
      </c>
      <c r="O393" s="106">
        <f>O394</f>
        <v>15972.800000000003</v>
      </c>
      <c r="P393" s="97"/>
      <c r="Q393" s="97"/>
    </row>
    <row r="394" spans="1:17" ht="15.75" x14ac:dyDescent="0.2">
      <c r="A394" s="33" t="s">
        <v>397</v>
      </c>
      <c r="B394" s="110" t="s">
        <v>398</v>
      </c>
      <c r="C394" s="110" t="s">
        <v>51</v>
      </c>
      <c r="D394" s="131" t="s">
        <v>399</v>
      </c>
      <c r="E394" s="131" t="s">
        <v>11</v>
      </c>
      <c r="F394" s="132" t="s">
        <v>11</v>
      </c>
      <c r="G394" s="109">
        <f>G395+G411</f>
        <v>15416.800000000003</v>
      </c>
      <c r="H394" s="111">
        <f>H395</f>
        <v>0</v>
      </c>
      <c r="I394" s="109">
        <f>I395+I411</f>
        <v>15416.800000000003</v>
      </c>
      <c r="J394" s="112">
        <f>J395+J411</f>
        <v>844.2</v>
      </c>
      <c r="K394" s="111">
        <f>K395+K401</f>
        <v>0</v>
      </c>
      <c r="L394" s="112">
        <f>L395+L411</f>
        <v>844.2</v>
      </c>
      <c r="M394" s="109">
        <f>M395+M411</f>
        <v>15972.800000000003</v>
      </c>
      <c r="N394" s="109">
        <f>N395+N411</f>
        <v>0</v>
      </c>
      <c r="O394" s="109">
        <f>O395+O411</f>
        <v>15972.800000000003</v>
      </c>
      <c r="P394" s="97"/>
      <c r="Q394" s="97"/>
    </row>
    <row r="395" spans="1:17" ht="31.5" x14ac:dyDescent="0.2">
      <c r="A395" s="40"/>
      <c r="B395" s="113" t="s">
        <v>400</v>
      </c>
      <c r="C395" s="113" t="s">
        <v>51</v>
      </c>
      <c r="D395" s="133" t="s">
        <v>399</v>
      </c>
      <c r="E395" s="133" t="s">
        <v>401</v>
      </c>
      <c r="F395" s="134" t="s">
        <v>11</v>
      </c>
      <c r="G395" s="111">
        <f>G396+G402</f>
        <v>15336.800000000003</v>
      </c>
      <c r="H395" s="111">
        <f>H396+H402</f>
        <v>0</v>
      </c>
      <c r="I395" s="111">
        <f>I396+I402</f>
        <v>15336.800000000003</v>
      </c>
      <c r="J395" s="111">
        <f>J396+J398+J409</f>
        <v>844.2</v>
      </c>
      <c r="K395" s="111">
        <f>K396+K402+K409</f>
        <v>0</v>
      </c>
      <c r="L395" s="111">
        <f>L396+L398+L409</f>
        <v>844.2</v>
      </c>
      <c r="M395" s="111">
        <f>M396+M402</f>
        <v>15892.800000000003</v>
      </c>
      <c r="N395" s="111">
        <f>N396+N402</f>
        <v>0</v>
      </c>
      <c r="O395" s="111">
        <f>O396+O402</f>
        <v>15892.800000000003</v>
      </c>
      <c r="P395" s="97"/>
      <c r="Q395" s="97"/>
    </row>
    <row r="396" spans="1:17" ht="47.25" x14ac:dyDescent="0.2">
      <c r="A396" s="40"/>
      <c r="B396" s="113" t="s">
        <v>402</v>
      </c>
      <c r="C396" s="113" t="s">
        <v>51</v>
      </c>
      <c r="D396" s="133" t="s">
        <v>399</v>
      </c>
      <c r="E396" s="133" t="s">
        <v>403</v>
      </c>
      <c r="F396" s="134" t="s">
        <v>11</v>
      </c>
      <c r="G396" s="111">
        <f>G397+G400</f>
        <v>2647.8</v>
      </c>
      <c r="H396" s="111">
        <f>H397+H400</f>
        <v>0</v>
      </c>
      <c r="I396" s="111">
        <f>I397+I400</f>
        <v>2647.8</v>
      </c>
      <c r="J396" s="114">
        <f>J397+J400</f>
        <v>400</v>
      </c>
      <c r="K396" s="111">
        <f>K397</f>
        <v>0</v>
      </c>
      <c r="L396" s="114">
        <f>L397+L400</f>
        <v>400</v>
      </c>
      <c r="M396" s="111">
        <f>M397+M400</f>
        <v>3047.8</v>
      </c>
      <c r="N396" s="111">
        <f>N397+N400</f>
        <v>0</v>
      </c>
      <c r="O396" s="111">
        <f>O397+O400</f>
        <v>3047.8</v>
      </c>
      <c r="P396" s="97"/>
      <c r="Q396" s="97"/>
    </row>
    <row r="397" spans="1:17" ht="47.25" x14ac:dyDescent="0.2">
      <c r="A397" s="40"/>
      <c r="B397" s="113" t="s">
        <v>404</v>
      </c>
      <c r="C397" s="113" t="s">
        <v>51</v>
      </c>
      <c r="D397" s="133" t="s">
        <v>399</v>
      </c>
      <c r="E397" s="133" t="s">
        <v>405</v>
      </c>
      <c r="F397" s="134" t="s">
        <v>11</v>
      </c>
      <c r="G397" s="111">
        <f>G398+G399</f>
        <v>1872.3</v>
      </c>
      <c r="H397" s="111">
        <f>SUM(H398:H399)</f>
        <v>16.8</v>
      </c>
      <c r="I397" s="111">
        <f>I398+I399</f>
        <v>1889.1</v>
      </c>
      <c r="J397" s="114">
        <f>J398+J399</f>
        <v>400</v>
      </c>
      <c r="K397" s="111">
        <f>SUM(K398:K399)</f>
        <v>0</v>
      </c>
      <c r="L397" s="114">
        <f>L398+L399</f>
        <v>400</v>
      </c>
      <c r="M397" s="111">
        <f>M398+M399</f>
        <v>2272.3000000000002</v>
      </c>
      <c r="N397" s="111">
        <f>H397+K397</f>
        <v>16.8</v>
      </c>
      <c r="O397" s="111">
        <f>O398+O399</f>
        <v>2289.1000000000004</v>
      </c>
      <c r="P397" s="97"/>
      <c r="Q397" s="97"/>
    </row>
    <row r="398" spans="1:17" ht="78.75" x14ac:dyDescent="0.2">
      <c r="A398" s="40"/>
      <c r="B398" s="113" t="s">
        <v>61</v>
      </c>
      <c r="C398" s="113" t="s">
        <v>51</v>
      </c>
      <c r="D398" s="133" t="s">
        <v>399</v>
      </c>
      <c r="E398" s="133" t="s">
        <v>405</v>
      </c>
      <c r="F398" s="134" t="s">
        <v>62</v>
      </c>
      <c r="G398" s="111">
        <v>1801.3</v>
      </c>
      <c r="H398" s="111">
        <v>16.8</v>
      </c>
      <c r="I398" s="111">
        <f>SUM(G398:H398)</f>
        <v>1818.1</v>
      </c>
      <c r="J398" s="115">
        <v>288.2</v>
      </c>
      <c r="K398" s="111"/>
      <c r="L398" s="115">
        <f>SUM(J398:K398)</f>
        <v>288.2</v>
      </c>
      <c r="M398" s="111">
        <f>G398+J398</f>
        <v>2089.5</v>
      </c>
      <c r="N398" s="111">
        <f>H398+K398</f>
        <v>16.8</v>
      </c>
      <c r="O398" s="111">
        <f>SUM(M398:N398)</f>
        <v>2106.3000000000002</v>
      </c>
      <c r="P398" s="97"/>
      <c r="Q398" s="97"/>
    </row>
    <row r="399" spans="1:17" ht="31.5" x14ac:dyDescent="0.2">
      <c r="A399" s="40"/>
      <c r="B399" s="113" t="s">
        <v>408</v>
      </c>
      <c r="C399" s="113" t="s">
        <v>51</v>
      </c>
      <c r="D399" s="133" t="s">
        <v>399</v>
      </c>
      <c r="E399" s="133" t="s">
        <v>405</v>
      </c>
      <c r="F399" s="134">
        <v>200</v>
      </c>
      <c r="G399" s="111">
        <v>71</v>
      </c>
      <c r="H399" s="111"/>
      <c r="I399" s="111">
        <f>SUM(G399:H399)</f>
        <v>71</v>
      </c>
      <c r="J399" s="115">
        <v>111.8</v>
      </c>
      <c r="K399" s="111"/>
      <c r="L399" s="115">
        <f>SUM(J399:K399)</f>
        <v>111.8</v>
      </c>
      <c r="M399" s="111">
        <f>G399+J399</f>
        <v>182.8</v>
      </c>
      <c r="N399" s="111">
        <f>H399+K399</f>
        <v>0</v>
      </c>
      <c r="O399" s="111">
        <f>SUM(M399:N399)</f>
        <v>182.8</v>
      </c>
      <c r="P399" s="97"/>
      <c r="Q399" s="97"/>
    </row>
    <row r="400" spans="1:17" ht="47.25" x14ac:dyDescent="0.2">
      <c r="A400" s="40"/>
      <c r="B400" s="113" t="s">
        <v>406</v>
      </c>
      <c r="C400" s="113" t="s">
        <v>51</v>
      </c>
      <c r="D400" s="133" t="s">
        <v>399</v>
      </c>
      <c r="E400" s="133" t="s">
        <v>407</v>
      </c>
      <c r="F400" s="134" t="s">
        <v>11</v>
      </c>
      <c r="G400" s="111">
        <f>G401</f>
        <v>775.5</v>
      </c>
      <c r="H400" s="111">
        <f>SUM(H401)</f>
        <v>-16.8</v>
      </c>
      <c r="I400" s="111">
        <f>I401</f>
        <v>758.7</v>
      </c>
      <c r="J400" s="114">
        <f>J401</f>
        <v>0</v>
      </c>
      <c r="K400" s="111"/>
      <c r="L400" s="114">
        <f>L401</f>
        <v>0</v>
      </c>
      <c r="M400" s="111">
        <f>M401</f>
        <v>775.5</v>
      </c>
      <c r="N400" s="111">
        <f>N401</f>
        <v>-16.8</v>
      </c>
      <c r="O400" s="111">
        <f>O401</f>
        <v>758.7</v>
      </c>
      <c r="P400" s="97"/>
      <c r="Q400" s="97"/>
    </row>
    <row r="401" spans="1:17" ht="31.5" x14ac:dyDescent="0.2">
      <c r="A401" s="40"/>
      <c r="B401" s="113" t="s">
        <v>408</v>
      </c>
      <c r="C401" s="113" t="s">
        <v>51</v>
      </c>
      <c r="D401" s="133" t="s">
        <v>399</v>
      </c>
      <c r="E401" s="133" t="s">
        <v>407</v>
      </c>
      <c r="F401" s="134" t="s">
        <v>41</v>
      </c>
      <c r="G401" s="111">
        <v>775.5</v>
      </c>
      <c r="H401" s="111">
        <v>-16.8</v>
      </c>
      <c r="I401" s="111">
        <f>SUM(G401)+H401</f>
        <v>758.7</v>
      </c>
      <c r="J401" s="115">
        <v>0</v>
      </c>
      <c r="K401" s="111"/>
      <c r="L401" s="115">
        <v>0</v>
      </c>
      <c r="M401" s="111">
        <f>SUM(G401)</f>
        <v>775.5</v>
      </c>
      <c r="N401" s="111">
        <f>SUM(H401)</f>
        <v>-16.8</v>
      </c>
      <c r="O401" s="111">
        <f>SUM(I401)</f>
        <v>758.7</v>
      </c>
      <c r="P401" s="97"/>
      <c r="Q401" s="97"/>
    </row>
    <row r="402" spans="1:17" ht="49.15" customHeight="1" x14ac:dyDescent="0.2">
      <c r="A402" s="40"/>
      <c r="B402" s="113" t="s">
        <v>409</v>
      </c>
      <c r="C402" s="113" t="s">
        <v>51</v>
      </c>
      <c r="D402" s="133" t="s">
        <v>399</v>
      </c>
      <c r="E402" s="133" t="s">
        <v>410</v>
      </c>
      <c r="F402" s="134" t="s">
        <v>11</v>
      </c>
      <c r="G402" s="111">
        <f>G403+G407</f>
        <v>12689.000000000002</v>
      </c>
      <c r="H402" s="111">
        <f>H403</f>
        <v>0</v>
      </c>
      <c r="I402" s="111">
        <f>I403+I407</f>
        <v>12689.000000000002</v>
      </c>
      <c r="J402" s="114">
        <f>J403+J407+J409</f>
        <v>156</v>
      </c>
      <c r="K402" s="111">
        <f>K403+K404+K409</f>
        <v>0</v>
      </c>
      <c r="L402" s="114">
        <f>L403+L407+L409</f>
        <v>156</v>
      </c>
      <c r="M402" s="111">
        <f>M403+M407+M409</f>
        <v>12845.000000000002</v>
      </c>
      <c r="N402" s="111">
        <f>N403+N407</f>
        <v>0</v>
      </c>
      <c r="O402" s="111">
        <f>O403+O407+O409</f>
        <v>12845.000000000002</v>
      </c>
      <c r="P402" s="97"/>
      <c r="Q402" s="97"/>
    </row>
    <row r="403" spans="1:17" ht="31.5" x14ac:dyDescent="0.2">
      <c r="A403" s="40"/>
      <c r="B403" s="113" t="s">
        <v>134</v>
      </c>
      <c r="C403" s="113" t="s">
        <v>51</v>
      </c>
      <c r="D403" s="133" t="s">
        <v>399</v>
      </c>
      <c r="E403" s="133" t="s">
        <v>411</v>
      </c>
      <c r="F403" s="134" t="s">
        <v>11</v>
      </c>
      <c r="G403" s="111">
        <f>G404+G405+G406</f>
        <v>11883.900000000001</v>
      </c>
      <c r="H403" s="111">
        <f>H404+H405+H406</f>
        <v>0</v>
      </c>
      <c r="I403" s="111">
        <f>I404+I405+I406</f>
        <v>11883.900000000001</v>
      </c>
      <c r="J403" s="114">
        <f>J404+J405+J406</f>
        <v>0</v>
      </c>
      <c r="K403" s="111">
        <f>SUM(K405)</f>
        <v>0</v>
      </c>
      <c r="L403" s="114">
        <f>L404+L405+L406</f>
        <v>0</v>
      </c>
      <c r="M403" s="111">
        <f>M404+M405+M406</f>
        <v>11883.900000000001</v>
      </c>
      <c r="N403" s="111">
        <f>N404+N405+N406</f>
        <v>0</v>
      </c>
      <c r="O403" s="111">
        <f>O404+O405+O406</f>
        <v>11883.900000000001</v>
      </c>
      <c r="P403" s="97"/>
      <c r="Q403" s="97"/>
    </row>
    <row r="404" spans="1:17" ht="78.75" x14ac:dyDescent="0.2">
      <c r="A404" s="40"/>
      <c r="B404" s="113" t="s">
        <v>61</v>
      </c>
      <c r="C404" s="113" t="s">
        <v>51</v>
      </c>
      <c r="D404" s="133" t="s">
        <v>399</v>
      </c>
      <c r="E404" s="133" t="s">
        <v>411</v>
      </c>
      <c r="F404" s="134" t="s">
        <v>62</v>
      </c>
      <c r="G404" s="111">
        <v>8949.5</v>
      </c>
      <c r="H404" s="111"/>
      <c r="I404" s="111">
        <f>SUM(G404)+H404</f>
        <v>8949.5</v>
      </c>
      <c r="J404" s="115">
        <v>0</v>
      </c>
      <c r="K404" s="111"/>
      <c r="L404" s="115">
        <v>0</v>
      </c>
      <c r="M404" s="111">
        <f>SUM(G404)</f>
        <v>8949.5</v>
      </c>
      <c r="N404" s="111">
        <f>SUM(H404)</f>
        <v>0</v>
      </c>
      <c r="O404" s="111">
        <f>SUM(I404)</f>
        <v>8949.5</v>
      </c>
      <c r="P404" s="97"/>
      <c r="Q404" s="97"/>
    </row>
    <row r="405" spans="1:17" ht="31.5" x14ac:dyDescent="0.2">
      <c r="A405" s="40"/>
      <c r="B405" s="113" t="s">
        <v>40</v>
      </c>
      <c r="C405" s="113" t="s">
        <v>51</v>
      </c>
      <c r="D405" s="133" t="s">
        <v>399</v>
      </c>
      <c r="E405" s="133" t="s">
        <v>411</v>
      </c>
      <c r="F405" s="134" t="s">
        <v>41</v>
      </c>
      <c r="G405" s="111">
        <v>2930.7</v>
      </c>
      <c r="H405" s="111"/>
      <c r="I405" s="111">
        <f>SUM(G405)+H405</f>
        <v>2930.7</v>
      </c>
      <c r="J405" s="115">
        <v>0</v>
      </c>
      <c r="K405" s="111"/>
      <c r="L405" s="114">
        <f>K405</f>
        <v>0</v>
      </c>
      <c r="M405" s="111">
        <f>SUM(G405)</f>
        <v>2930.7</v>
      </c>
      <c r="N405" s="111">
        <f>SUM(H405+K405)</f>
        <v>0</v>
      </c>
      <c r="O405" s="111">
        <f>SUM(I405)</f>
        <v>2930.7</v>
      </c>
      <c r="P405" s="97"/>
      <c r="Q405" s="97"/>
    </row>
    <row r="406" spans="1:17" ht="15.75" x14ac:dyDescent="0.2">
      <c r="A406" s="40"/>
      <c r="B406" s="113" t="s">
        <v>338</v>
      </c>
      <c r="C406" s="113" t="s">
        <v>51</v>
      </c>
      <c r="D406" s="133" t="s">
        <v>399</v>
      </c>
      <c r="E406" s="133" t="s">
        <v>411</v>
      </c>
      <c r="F406" s="134" t="s">
        <v>71</v>
      </c>
      <c r="G406" s="111">
        <v>3.7</v>
      </c>
      <c r="H406" s="111"/>
      <c r="I406" s="111">
        <v>3.7</v>
      </c>
      <c r="J406" s="115">
        <v>0</v>
      </c>
      <c r="K406" s="111"/>
      <c r="L406" s="115">
        <v>0</v>
      </c>
      <c r="M406" s="111">
        <v>3.7</v>
      </c>
      <c r="N406" s="111"/>
      <c r="O406" s="111">
        <v>3.7</v>
      </c>
      <c r="P406" s="97"/>
      <c r="Q406" s="97"/>
    </row>
    <row r="407" spans="1:17" ht="31.5" x14ac:dyDescent="0.2">
      <c r="A407" s="40"/>
      <c r="B407" s="113" t="s">
        <v>412</v>
      </c>
      <c r="C407" s="113" t="s">
        <v>51</v>
      </c>
      <c r="D407" s="133" t="s">
        <v>399</v>
      </c>
      <c r="E407" s="133" t="s">
        <v>413</v>
      </c>
      <c r="F407" s="134" t="s">
        <v>11</v>
      </c>
      <c r="G407" s="111">
        <f>G408</f>
        <v>805.1</v>
      </c>
      <c r="H407" s="111"/>
      <c r="I407" s="111">
        <f>I408</f>
        <v>805.1</v>
      </c>
      <c r="J407" s="114">
        <f>J408</f>
        <v>0</v>
      </c>
      <c r="K407" s="111"/>
      <c r="L407" s="114">
        <f>L408</f>
        <v>0</v>
      </c>
      <c r="M407" s="111">
        <f>M408</f>
        <v>805.1</v>
      </c>
      <c r="N407" s="111">
        <f>N408</f>
        <v>0</v>
      </c>
      <c r="O407" s="111">
        <f>O408</f>
        <v>805.1</v>
      </c>
      <c r="P407" s="97"/>
      <c r="Q407" s="97"/>
    </row>
    <row r="408" spans="1:17" ht="31.5" x14ac:dyDescent="0.2">
      <c r="A408" s="40"/>
      <c r="B408" s="113" t="s">
        <v>40</v>
      </c>
      <c r="C408" s="113" t="s">
        <v>51</v>
      </c>
      <c r="D408" s="133" t="s">
        <v>399</v>
      </c>
      <c r="E408" s="133" t="s">
        <v>413</v>
      </c>
      <c r="F408" s="134" t="s">
        <v>41</v>
      </c>
      <c r="G408" s="111">
        <v>805.1</v>
      </c>
      <c r="H408" s="111"/>
      <c r="I408" s="111">
        <f>SUM(G408)+H408</f>
        <v>805.1</v>
      </c>
      <c r="J408" s="115">
        <v>0</v>
      </c>
      <c r="K408" s="111"/>
      <c r="L408" s="115">
        <v>0</v>
      </c>
      <c r="M408" s="111">
        <f>SUM(G408)</f>
        <v>805.1</v>
      </c>
      <c r="N408" s="111">
        <f>SUM(H408)</f>
        <v>0</v>
      </c>
      <c r="O408" s="111">
        <f>SUM(M408)+N408</f>
        <v>805.1</v>
      </c>
      <c r="P408" s="97"/>
      <c r="Q408" s="97"/>
    </row>
    <row r="409" spans="1:17" ht="40.9" customHeight="1" x14ac:dyDescent="0.2">
      <c r="A409" s="40"/>
      <c r="B409" s="96" t="s">
        <v>414</v>
      </c>
      <c r="C409" s="113">
        <v>992</v>
      </c>
      <c r="D409" s="133" t="s">
        <v>399</v>
      </c>
      <c r="E409" s="136" t="s">
        <v>415</v>
      </c>
      <c r="F409" s="134"/>
      <c r="G409" s="111"/>
      <c r="H409" s="111"/>
      <c r="I409" s="111"/>
      <c r="J409" s="115">
        <v>156</v>
      </c>
      <c r="K409" s="111"/>
      <c r="L409" s="115">
        <f>SUM(L410)</f>
        <v>156</v>
      </c>
      <c r="M409" s="111">
        <f t="shared" ref="M409:O410" si="84">SUM(J409)</f>
        <v>156</v>
      </c>
      <c r="N409" s="111">
        <f t="shared" si="84"/>
        <v>0</v>
      </c>
      <c r="O409" s="111">
        <f t="shared" si="84"/>
        <v>156</v>
      </c>
      <c r="P409" s="97"/>
      <c r="Q409" s="97"/>
    </row>
    <row r="410" spans="1:17" ht="31.5" x14ac:dyDescent="0.2">
      <c r="A410" s="40"/>
      <c r="B410" s="113" t="s">
        <v>40</v>
      </c>
      <c r="C410" s="113">
        <v>992</v>
      </c>
      <c r="D410" s="133" t="s">
        <v>399</v>
      </c>
      <c r="E410" s="136" t="s">
        <v>415</v>
      </c>
      <c r="F410" s="134">
        <v>200</v>
      </c>
      <c r="G410" s="111"/>
      <c r="H410" s="111"/>
      <c r="I410" s="111"/>
      <c r="J410" s="115">
        <v>156</v>
      </c>
      <c r="K410" s="111"/>
      <c r="L410" s="115">
        <f>SUM(J410)</f>
        <v>156</v>
      </c>
      <c r="M410" s="111">
        <f t="shared" si="84"/>
        <v>156</v>
      </c>
      <c r="N410" s="111">
        <f t="shared" si="84"/>
        <v>0</v>
      </c>
      <c r="O410" s="111">
        <f t="shared" si="84"/>
        <v>156</v>
      </c>
      <c r="P410" s="97"/>
      <c r="Q410" s="97"/>
    </row>
    <row r="411" spans="1:17" ht="31.5" x14ac:dyDescent="0.2">
      <c r="A411" s="40"/>
      <c r="B411" s="113" t="s">
        <v>87</v>
      </c>
      <c r="C411" s="113" t="s">
        <v>51</v>
      </c>
      <c r="D411" s="133" t="s">
        <v>399</v>
      </c>
      <c r="E411" s="133" t="s">
        <v>88</v>
      </c>
      <c r="F411" s="134" t="s">
        <v>11</v>
      </c>
      <c r="G411" s="111">
        <f t="shared" ref="G411:O414" si="85">G412</f>
        <v>80</v>
      </c>
      <c r="H411" s="111">
        <f t="shared" si="85"/>
        <v>0</v>
      </c>
      <c r="I411" s="111">
        <f t="shared" si="85"/>
        <v>80</v>
      </c>
      <c r="J411" s="114">
        <f t="shared" si="85"/>
        <v>0</v>
      </c>
      <c r="K411" s="111">
        <f>K412</f>
        <v>0</v>
      </c>
      <c r="L411" s="114">
        <f t="shared" si="85"/>
        <v>0</v>
      </c>
      <c r="M411" s="111">
        <f t="shared" si="85"/>
        <v>80</v>
      </c>
      <c r="N411" s="111">
        <f t="shared" si="85"/>
        <v>0</v>
      </c>
      <c r="O411" s="111">
        <f t="shared" si="85"/>
        <v>80</v>
      </c>
      <c r="P411" s="97"/>
      <c r="Q411" s="97"/>
    </row>
    <row r="412" spans="1:17" ht="33" customHeight="1" x14ac:dyDescent="0.2">
      <c r="A412" s="40"/>
      <c r="B412" s="113" t="s">
        <v>89</v>
      </c>
      <c r="C412" s="113" t="s">
        <v>51</v>
      </c>
      <c r="D412" s="133" t="s">
        <v>399</v>
      </c>
      <c r="E412" s="133" t="s">
        <v>90</v>
      </c>
      <c r="F412" s="134" t="s">
        <v>11</v>
      </c>
      <c r="G412" s="111">
        <f t="shared" si="85"/>
        <v>80</v>
      </c>
      <c r="H412" s="111">
        <f t="shared" si="85"/>
        <v>0</v>
      </c>
      <c r="I412" s="111">
        <f t="shared" si="85"/>
        <v>80</v>
      </c>
      <c r="J412" s="114">
        <f t="shared" si="85"/>
        <v>0</v>
      </c>
      <c r="K412" s="111">
        <f>K413</f>
        <v>0</v>
      </c>
      <c r="L412" s="114">
        <f t="shared" si="85"/>
        <v>0</v>
      </c>
      <c r="M412" s="111">
        <f t="shared" si="85"/>
        <v>80</v>
      </c>
      <c r="N412" s="111">
        <f t="shared" si="85"/>
        <v>0</v>
      </c>
      <c r="O412" s="111">
        <f t="shared" si="85"/>
        <v>80</v>
      </c>
      <c r="P412" s="97"/>
      <c r="Q412" s="97"/>
    </row>
    <row r="413" spans="1:17" ht="40.9" customHeight="1" x14ac:dyDescent="0.2">
      <c r="A413" s="40"/>
      <c r="B413" s="113" t="s">
        <v>91</v>
      </c>
      <c r="C413" s="113" t="s">
        <v>51</v>
      </c>
      <c r="D413" s="133" t="s">
        <v>399</v>
      </c>
      <c r="E413" s="133" t="s">
        <v>92</v>
      </c>
      <c r="F413" s="134" t="s">
        <v>11</v>
      </c>
      <c r="G413" s="111">
        <f t="shared" si="85"/>
        <v>80</v>
      </c>
      <c r="H413" s="111">
        <f t="shared" si="85"/>
        <v>0</v>
      </c>
      <c r="I413" s="111">
        <f t="shared" si="85"/>
        <v>80</v>
      </c>
      <c r="J413" s="114">
        <f t="shared" si="85"/>
        <v>0</v>
      </c>
      <c r="K413" s="111">
        <f>K414</f>
        <v>0</v>
      </c>
      <c r="L413" s="114">
        <f t="shared" si="85"/>
        <v>0</v>
      </c>
      <c r="M413" s="111">
        <f t="shared" si="85"/>
        <v>80</v>
      </c>
      <c r="N413" s="111">
        <f t="shared" si="85"/>
        <v>0</v>
      </c>
      <c r="O413" s="111">
        <f t="shared" si="85"/>
        <v>80</v>
      </c>
      <c r="P413" s="97"/>
      <c r="Q413" s="97"/>
    </row>
    <row r="414" spans="1:17" ht="47.25" x14ac:dyDescent="0.2">
      <c r="A414" s="40"/>
      <c r="B414" s="113" t="s">
        <v>93</v>
      </c>
      <c r="C414" s="113" t="s">
        <v>51</v>
      </c>
      <c r="D414" s="133" t="s">
        <v>399</v>
      </c>
      <c r="E414" s="133" t="s">
        <v>94</v>
      </c>
      <c r="F414" s="134" t="s">
        <v>11</v>
      </c>
      <c r="G414" s="111">
        <f>G415</f>
        <v>80</v>
      </c>
      <c r="H414" s="111"/>
      <c r="I414" s="111">
        <f>I415</f>
        <v>80</v>
      </c>
      <c r="J414" s="114">
        <f t="shared" si="85"/>
        <v>0</v>
      </c>
      <c r="K414" s="111"/>
      <c r="L414" s="114">
        <f t="shared" si="85"/>
        <v>0</v>
      </c>
      <c r="M414" s="111">
        <f t="shared" si="85"/>
        <v>80</v>
      </c>
      <c r="N414" s="111">
        <f t="shared" si="85"/>
        <v>0</v>
      </c>
      <c r="O414" s="111">
        <f t="shared" si="85"/>
        <v>80</v>
      </c>
      <c r="P414" s="97"/>
      <c r="Q414" s="97"/>
    </row>
    <row r="415" spans="1:17" ht="30.6" customHeight="1" x14ac:dyDescent="0.2">
      <c r="A415" s="40"/>
      <c r="B415" s="113" t="s">
        <v>95</v>
      </c>
      <c r="C415" s="113" t="s">
        <v>51</v>
      </c>
      <c r="D415" s="133" t="s">
        <v>399</v>
      </c>
      <c r="E415" s="133" t="s">
        <v>94</v>
      </c>
      <c r="F415" s="134" t="s">
        <v>96</v>
      </c>
      <c r="G415" s="111">
        <v>80</v>
      </c>
      <c r="H415" s="106"/>
      <c r="I415" s="111">
        <v>80</v>
      </c>
      <c r="J415" s="115">
        <v>0</v>
      </c>
      <c r="K415" s="106"/>
      <c r="L415" s="115">
        <v>0</v>
      </c>
      <c r="M415" s="111">
        <v>80</v>
      </c>
      <c r="N415" s="111"/>
      <c r="O415" s="111">
        <v>80</v>
      </c>
      <c r="P415" s="97"/>
      <c r="Q415" s="97"/>
    </row>
    <row r="416" spans="1:17" ht="15.75" x14ac:dyDescent="0.2">
      <c r="A416" s="20" t="s">
        <v>416</v>
      </c>
      <c r="B416" s="107" t="s">
        <v>417</v>
      </c>
      <c r="C416" s="107" t="s">
        <v>51</v>
      </c>
      <c r="D416" s="129" t="s">
        <v>418</v>
      </c>
      <c r="E416" s="129" t="s">
        <v>11</v>
      </c>
      <c r="F416" s="130" t="s">
        <v>11</v>
      </c>
      <c r="G416" s="106">
        <f>G417+G423+G429+G435</f>
        <v>70083.8</v>
      </c>
      <c r="H416" s="109">
        <f>H417+H423+H429</f>
        <v>139.1</v>
      </c>
      <c r="I416" s="106">
        <f>I417+I423+I429+I435</f>
        <v>70222.899999999994</v>
      </c>
      <c r="J416" s="108">
        <f>J417+J423+J429+J435</f>
        <v>3074.2</v>
      </c>
      <c r="K416" s="109">
        <f>K417</f>
        <v>0</v>
      </c>
      <c r="L416" s="108">
        <f>L417+L423+L429+L435</f>
        <v>3074.2</v>
      </c>
      <c r="M416" s="106">
        <f>M417+M423+M429+M435</f>
        <v>73158</v>
      </c>
      <c r="N416" s="106">
        <f>N417+N423+N429+N435</f>
        <v>139.1</v>
      </c>
      <c r="O416" s="106">
        <f>O417+O423+O429+O435</f>
        <v>73297.099999999991</v>
      </c>
      <c r="P416" s="97"/>
      <c r="Q416" s="97"/>
    </row>
    <row r="417" spans="1:17" ht="15.75" x14ac:dyDescent="0.2">
      <c r="A417" s="33" t="s">
        <v>419</v>
      </c>
      <c r="B417" s="110" t="s">
        <v>420</v>
      </c>
      <c r="C417" s="110" t="s">
        <v>51</v>
      </c>
      <c r="D417" s="131" t="s">
        <v>421</v>
      </c>
      <c r="E417" s="131" t="s">
        <v>11</v>
      </c>
      <c r="F417" s="132" t="s">
        <v>11</v>
      </c>
      <c r="G417" s="109">
        <f t="shared" ref="G417:O421" si="86">G418</f>
        <v>4133.6000000000004</v>
      </c>
      <c r="H417" s="111">
        <f t="shared" si="86"/>
        <v>139.1</v>
      </c>
      <c r="I417" s="109">
        <f t="shared" si="86"/>
        <v>4272.7000000000007</v>
      </c>
      <c r="J417" s="112">
        <f t="shared" si="86"/>
        <v>0</v>
      </c>
      <c r="K417" s="111">
        <f>K418</f>
        <v>0</v>
      </c>
      <c r="L417" s="112">
        <f t="shared" si="86"/>
        <v>0</v>
      </c>
      <c r="M417" s="109">
        <f t="shared" si="86"/>
        <v>4133.6000000000004</v>
      </c>
      <c r="N417" s="109">
        <f t="shared" si="86"/>
        <v>139.1</v>
      </c>
      <c r="O417" s="109">
        <f t="shared" si="86"/>
        <v>4272.7000000000007</v>
      </c>
      <c r="P417" s="97"/>
      <c r="Q417" s="97"/>
    </row>
    <row r="418" spans="1:17" ht="31.5" x14ac:dyDescent="0.2">
      <c r="A418" s="40"/>
      <c r="B418" s="113" t="s">
        <v>87</v>
      </c>
      <c r="C418" s="113" t="s">
        <v>51</v>
      </c>
      <c r="D418" s="133" t="s">
        <v>421</v>
      </c>
      <c r="E418" s="133" t="s">
        <v>88</v>
      </c>
      <c r="F418" s="134" t="s">
        <v>11</v>
      </c>
      <c r="G418" s="111">
        <f t="shared" si="86"/>
        <v>4133.6000000000004</v>
      </c>
      <c r="H418" s="111">
        <f t="shared" si="86"/>
        <v>139.1</v>
      </c>
      <c r="I418" s="111">
        <f t="shared" si="86"/>
        <v>4272.7000000000007</v>
      </c>
      <c r="J418" s="114">
        <f t="shared" si="86"/>
        <v>0</v>
      </c>
      <c r="K418" s="111">
        <f>K419</f>
        <v>0</v>
      </c>
      <c r="L418" s="114">
        <f t="shared" si="86"/>
        <v>0</v>
      </c>
      <c r="M418" s="111">
        <f t="shared" si="86"/>
        <v>4133.6000000000004</v>
      </c>
      <c r="N418" s="111">
        <f t="shared" si="86"/>
        <v>139.1</v>
      </c>
      <c r="O418" s="111">
        <f t="shared" si="86"/>
        <v>4272.7000000000007</v>
      </c>
      <c r="P418" s="97"/>
      <c r="Q418" s="97"/>
    </row>
    <row r="419" spans="1:17" ht="31.5" x14ac:dyDescent="0.2">
      <c r="A419" s="40"/>
      <c r="B419" s="113" t="s">
        <v>422</v>
      </c>
      <c r="C419" s="113" t="s">
        <v>51</v>
      </c>
      <c r="D419" s="133" t="s">
        <v>421</v>
      </c>
      <c r="E419" s="133" t="s">
        <v>423</v>
      </c>
      <c r="F419" s="134" t="s">
        <v>11</v>
      </c>
      <c r="G419" s="111">
        <f t="shared" si="86"/>
        <v>4133.6000000000004</v>
      </c>
      <c r="H419" s="111">
        <f t="shared" si="86"/>
        <v>139.1</v>
      </c>
      <c r="I419" s="111">
        <f t="shared" si="86"/>
        <v>4272.7000000000007</v>
      </c>
      <c r="J419" s="114">
        <f t="shared" si="86"/>
        <v>0</v>
      </c>
      <c r="K419" s="111">
        <f>K420</f>
        <v>0</v>
      </c>
      <c r="L419" s="114">
        <f t="shared" si="86"/>
        <v>0</v>
      </c>
      <c r="M419" s="111">
        <f t="shared" si="86"/>
        <v>4133.6000000000004</v>
      </c>
      <c r="N419" s="111">
        <f t="shared" si="86"/>
        <v>139.1</v>
      </c>
      <c r="O419" s="111">
        <f t="shared" si="86"/>
        <v>4272.7000000000007</v>
      </c>
      <c r="P419" s="97"/>
      <c r="Q419" s="97"/>
    </row>
    <row r="420" spans="1:17" ht="47.25" x14ac:dyDescent="0.2">
      <c r="A420" s="40"/>
      <c r="B420" s="113" t="s">
        <v>424</v>
      </c>
      <c r="C420" s="113" t="s">
        <v>51</v>
      </c>
      <c r="D420" s="133" t="s">
        <v>421</v>
      </c>
      <c r="E420" s="133" t="s">
        <v>425</v>
      </c>
      <c r="F420" s="134" t="s">
        <v>11</v>
      </c>
      <c r="G420" s="111">
        <f t="shared" si="86"/>
        <v>4133.6000000000004</v>
      </c>
      <c r="H420" s="111">
        <f t="shared" si="86"/>
        <v>139.1</v>
      </c>
      <c r="I420" s="111">
        <f t="shared" si="86"/>
        <v>4272.7000000000007</v>
      </c>
      <c r="J420" s="114">
        <f t="shared" si="86"/>
        <v>0</v>
      </c>
      <c r="K420" s="111">
        <f>K421</f>
        <v>0</v>
      </c>
      <c r="L420" s="114">
        <f t="shared" si="86"/>
        <v>0</v>
      </c>
      <c r="M420" s="111">
        <f t="shared" si="86"/>
        <v>4133.6000000000004</v>
      </c>
      <c r="N420" s="111">
        <f t="shared" si="86"/>
        <v>139.1</v>
      </c>
      <c r="O420" s="111">
        <f t="shared" si="86"/>
        <v>4272.7000000000007</v>
      </c>
      <c r="P420" s="97"/>
      <c r="Q420" s="97"/>
    </row>
    <row r="421" spans="1:17" ht="33" customHeight="1" x14ac:dyDescent="0.2">
      <c r="A421" s="40"/>
      <c r="B421" s="113" t="s">
        <v>426</v>
      </c>
      <c r="C421" s="113" t="s">
        <v>51</v>
      </c>
      <c r="D421" s="133" t="s">
        <v>421</v>
      </c>
      <c r="E421" s="133" t="s">
        <v>427</v>
      </c>
      <c r="F421" s="134" t="s">
        <v>11</v>
      </c>
      <c r="G421" s="111">
        <f>G422</f>
        <v>4133.6000000000004</v>
      </c>
      <c r="H421" s="111">
        <f>H422</f>
        <v>139.1</v>
      </c>
      <c r="I421" s="111">
        <f>I422</f>
        <v>4272.7000000000007</v>
      </c>
      <c r="J421" s="114">
        <f t="shared" si="86"/>
        <v>0</v>
      </c>
      <c r="K421" s="111"/>
      <c r="L421" s="114">
        <f t="shared" si="86"/>
        <v>0</v>
      </c>
      <c r="M421" s="111">
        <f t="shared" si="86"/>
        <v>4133.6000000000004</v>
      </c>
      <c r="N421" s="111">
        <f t="shared" si="86"/>
        <v>139.1</v>
      </c>
      <c r="O421" s="111">
        <f t="shared" si="86"/>
        <v>4272.7000000000007</v>
      </c>
      <c r="P421" s="97"/>
      <c r="Q421" s="97"/>
    </row>
    <row r="422" spans="1:17" ht="31.5" x14ac:dyDescent="0.2">
      <c r="A422" s="40"/>
      <c r="B422" s="113" t="s">
        <v>112</v>
      </c>
      <c r="C422" s="113" t="s">
        <v>51</v>
      </c>
      <c r="D422" s="133" t="s">
        <v>421</v>
      </c>
      <c r="E422" s="133" t="s">
        <v>427</v>
      </c>
      <c r="F422" s="134" t="s">
        <v>113</v>
      </c>
      <c r="G422" s="111">
        <v>4133.6000000000004</v>
      </c>
      <c r="H422" s="111">
        <v>139.1</v>
      </c>
      <c r="I422" s="111">
        <f>SUM(G422:H422)</f>
        <v>4272.7000000000007</v>
      </c>
      <c r="J422" s="115">
        <v>0</v>
      </c>
      <c r="K422" s="109"/>
      <c r="L422" s="115">
        <v>0</v>
      </c>
      <c r="M422" s="111">
        <f>SUM(G422)</f>
        <v>4133.6000000000004</v>
      </c>
      <c r="N422" s="111">
        <f>H422+K422</f>
        <v>139.1</v>
      </c>
      <c r="O422" s="111">
        <f>SUM(M422:N422)</f>
        <v>4272.7000000000007</v>
      </c>
      <c r="P422" s="97"/>
      <c r="Q422" s="97"/>
    </row>
    <row r="423" spans="1:17" ht="15.75" x14ac:dyDescent="0.2">
      <c r="A423" s="33" t="s">
        <v>428</v>
      </c>
      <c r="B423" s="110" t="s">
        <v>429</v>
      </c>
      <c r="C423" s="110" t="s">
        <v>51</v>
      </c>
      <c r="D423" s="131" t="s">
        <v>430</v>
      </c>
      <c r="E423" s="131" t="s">
        <v>11</v>
      </c>
      <c r="F423" s="132" t="s">
        <v>11</v>
      </c>
      <c r="G423" s="109">
        <f t="shared" ref="G423:O427" si="87">G424</f>
        <v>63946</v>
      </c>
      <c r="H423" s="111">
        <f t="shared" si="87"/>
        <v>0</v>
      </c>
      <c r="I423" s="109">
        <f t="shared" si="87"/>
        <v>63946</v>
      </c>
      <c r="J423" s="112">
        <f t="shared" si="87"/>
        <v>0</v>
      </c>
      <c r="K423" s="111">
        <f>K424</f>
        <v>0</v>
      </c>
      <c r="L423" s="112">
        <f t="shared" si="87"/>
        <v>0</v>
      </c>
      <c r="M423" s="109">
        <f t="shared" si="87"/>
        <v>63946</v>
      </c>
      <c r="N423" s="109">
        <f t="shared" si="87"/>
        <v>0</v>
      </c>
      <c r="O423" s="109">
        <f t="shared" si="87"/>
        <v>63946</v>
      </c>
      <c r="P423" s="97"/>
      <c r="Q423" s="97"/>
    </row>
    <row r="424" spans="1:17" ht="31.5" x14ac:dyDescent="0.2">
      <c r="A424" s="40"/>
      <c r="B424" s="113" t="s">
        <v>87</v>
      </c>
      <c r="C424" s="113" t="s">
        <v>51</v>
      </c>
      <c r="D424" s="133" t="s">
        <v>430</v>
      </c>
      <c r="E424" s="133" t="s">
        <v>88</v>
      </c>
      <c r="F424" s="134" t="s">
        <v>11</v>
      </c>
      <c r="G424" s="111">
        <f t="shared" si="87"/>
        <v>63946</v>
      </c>
      <c r="H424" s="111">
        <f t="shared" si="87"/>
        <v>0</v>
      </c>
      <c r="I424" s="111">
        <f t="shared" si="87"/>
        <v>63946</v>
      </c>
      <c r="J424" s="114">
        <f t="shared" si="87"/>
        <v>0</v>
      </c>
      <c r="K424" s="111">
        <f>K425</f>
        <v>0</v>
      </c>
      <c r="L424" s="114">
        <f t="shared" si="87"/>
        <v>0</v>
      </c>
      <c r="M424" s="111">
        <f t="shared" si="87"/>
        <v>63946</v>
      </c>
      <c r="N424" s="111">
        <f t="shared" si="87"/>
        <v>0</v>
      </c>
      <c r="O424" s="111">
        <f t="shared" si="87"/>
        <v>63946</v>
      </c>
      <c r="P424" s="97"/>
      <c r="Q424" s="97"/>
    </row>
    <row r="425" spans="1:17" ht="31.5" x14ac:dyDescent="0.2">
      <c r="A425" s="40"/>
      <c r="B425" s="113" t="s">
        <v>422</v>
      </c>
      <c r="C425" s="113" t="s">
        <v>51</v>
      </c>
      <c r="D425" s="133" t="s">
        <v>430</v>
      </c>
      <c r="E425" s="133" t="s">
        <v>423</v>
      </c>
      <c r="F425" s="134" t="s">
        <v>11</v>
      </c>
      <c r="G425" s="111">
        <f t="shared" si="87"/>
        <v>63946</v>
      </c>
      <c r="H425" s="111">
        <f t="shared" si="87"/>
        <v>0</v>
      </c>
      <c r="I425" s="111">
        <f t="shared" si="87"/>
        <v>63946</v>
      </c>
      <c r="J425" s="114">
        <f t="shared" si="87"/>
        <v>0</v>
      </c>
      <c r="K425" s="111">
        <f>K426</f>
        <v>0</v>
      </c>
      <c r="L425" s="114">
        <f t="shared" si="87"/>
        <v>0</v>
      </c>
      <c r="M425" s="111">
        <f t="shared" si="87"/>
        <v>63946</v>
      </c>
      <c r="N425" s="111">
        <f t="shared" si="87"/>
        <v>0</v>
      </c>
      <c r="O425" s="111">
        <f t="shared" si="87"/>
        <v>63946</v>
      </c>
      <c r="P425" s="97"/>
      <c r="Q425" s="97"/>
    </row>
    <row r="426" spans="1:17" ht="31.5" x14ac:dyDescent="0.2">
      <c r="A426" s="40"/>
      <c r="B426" s="113" t="s">
        <v>431</v>
      </c>
      <c r="C426" s="113" t="s">
        <v>51</v>
      </c>
      <c r="D426" s="133" t="s">
        <v>430</v>
      </c>
      <c r="E426" s="133" t="s">
        <v>432</v>
      </c>
      <c r="F426" s="134" t="s">
        <v>11</v>
      </c>
      <c r="G426" s="111">
        <f t="shared" si="87"/>
        <v>63946</v>
      </c>
      <c r="H426" s="111">
        <f t="shared" si="87"/>
        <v>0</v>
      </c>
      <c r="I426" s="111">
        <f t="shared" si="87"/>
        <v>63946</v>
      </c>
      <c r="J426" s="114">
        <f t="shared" si="87"/>
        <v>0</v>
      </c>
      <c r="K426" s="111">
        <f>K427</f>
        <v>0</v>
      </c>
      <c r="L426" s="114">
        <f t="shared" si="87"/>
        <v>0</v>
      </c>
      <c r="M426" s="111">
        <f t="shared" si="87"/>
        <v>63946</v>
      </c>
      <c r="N426" s="111">
        <f t="shared" si="87"/>
        <v>0</v>
      </c>
      <c r="O426" s="111">
        <f t="shared" si="87"/>
        <v>63946</v>
      </c>
      <c r="P426" s="97"/>
      <c r="Q426" s="97"/>
    </row>
    <row r="427" spans="1:17" ht="21" customHeight="1" x14ac:dyDescent="0.2">
      <c r="A427" s="40"/>
      <c r="B427" s="113" t="s">
        <v>433</v>
      </c>
      <c r="C427" s="113" t="s">
        <v>51</v>
      </c>
      <c r="D427" s="133" t="s">
        <v>430</v>
      </c>
      <c r="E427" s="133" t="s">
        <v>434</v>
      </c>
      <c r="F427" s="134" t="s">
        <v>11</v>
      </c>
      <c r="G427" s="111">
        <f>G428</f>
        <v>63946</v>
      </c>
      <c r="H427" s="109"/>
      <c r="I427" s="111">
        <f>I428</f>
        <v>63946</v>
      </c>
      <c r="J427" s="114">
        <f t="shared" si="87"/>
        <v>0</v>
      </c>
      <c r="K427" s="111"/>
      <c r="L427" s="114">
        <f t="shared" si="87"/>
        <v>0</v>
      </c>
      <c r="M427" s="111">
        <f t="shared" si="87"/>
        <v>63946</v>
      </c>
      <c r="N427" s="111">
        <f t="shared" si="87"/>
        <v>0</v>
      </c>
      <c r="O427" s="111">
        <f t="shared" si="87"/>
        <v>63946</v>
      </c>
      <c r="P427" s="97"/>
      <c r="Q427" s="97"/>
    </row>
    <row r="428" spans="1:17" ht="31.5" x14ac:dyDescent="0.2">
      <c r="A428" s="40"/>
      <c r="B428" s="113" t="s">
        <v>112</v>
      </c>
      <c r="C428" s="113" t="s">
        <v>51</v>
      </c>
      <c r="D428" s="133" t="s">
        <v>430</v>
      </c>
      <c r="E428" s="133" t="s">
        <v>434</v>
      </c>
      <c r="F428" s="134" t="s">
        <v>113</v>
      </c>
      <c r="G428" s="111">
        <v>63946</v>
      </c>
      <c r="H428" s="109"/>
      <c r="I428" s="111">
        <f>SUM(G428)+H428</f>
        <v>63946</v>
      </c>
      <c r="J428" s="115">
        <v>0</v>
      </c>
      <c r="K428" s="109"/>
      <c r="L428" s="115">
        <v>0</v>
      </c>
      <c r="M428" s="111">
        <f>SUM(G428)</f>
        <v>63946</v>
      </c>
      <c r="N428" s="111">
        <f>SUM(H428)</f>
        <v>0</v>
      </c>
      <c r="O428" s="111">
        <f>SUM(M428)+N428</f>
        <v>63946</v>
      </c>
      <c r="P428" s="97"/>
      <c r="Q428" s="97"/>
    </row>
    <row r="429" spans="1:17" ht="15.75" x14ac:dyDescent="0.2">
      <c r="A429" s="33" t="s">
        <v>435</v>
      </c>
      <c r="B429" s="110" t="s">
        <v>436</v>
      </c>
      <c r="C429" s="110" t="s">
        <v>51</v>
      </c>
      <c r="D429" s="131" t="s">
        <v>437</v>
      </c>
      <c r="E429" s="131" t="s">
        <v>11</v>
      </c>
      <c r="F429" s="132" t="s">
        <v>11</v>
      </c>
      <c r="G429" s="109">
        <f t="shared" ref="G429:O433" si="88">G430</f>
        <v>1884.2</v>
      </c>
      <c r="H429" s="111">
        <f t="shared" si="88"/>
        <v>0</v>
      </c>
      <c r="I429" s="109">
        <f t="shared" si="88"/>
        <v>1884.2</v>
      </c>
      <c r="J429" s="112">
        <f t="shared" si="88"/>
        <v>3074.2</v>
      </c>
      <c r="K429" s="111">
        <f>K430</f>
        <v>0</v>
      </c>
      <c r="L429" s="112">
        <f t="shared" si="88"/>
        <v>3074.2</v>
      </c>
      <c r="M429" s="109">
        <f t="shared" si="88"/>
        <v>4958.3999999999996</v>
      </c>
      <c r="N429" s="109">
        <f t="shared" si="88"/>
        <v>0</v>
      </c>
      <c r="O429" s="109">
        <f t="shared" si="88"/>
        <v>4958.3999999999996</v>
      </c>
      <c r="P429" s="97"/>
      <c r="Q429" s="97"/>
    </row>
    <row r="430" spans="1:17" ht="31.5" x14ac:dyDescent="0.2">
      <c r="A430" s="40"/>
      <c r="B430" s="113" t="s">
        <v>245</v>
      </c>
      <c r="C430" s="113" t="s">
        <v>51</v>
      </c>
      <c r="D430" s="133" t="s">
        <v>437</v>
      </c>
      <c r="E430" s="133" t="s">
        <v>246</v>
      </c>
      <c r="F430" s="134" t="s">
        <v>11</v>
      </c>
      <c r="G430" s="111">
        <f t="shared" si="88"/>
        <v>1884.2</v>
      </c>
      <c r="H430" s="111">
        <f t="shared" si="88"/>
        <v>0</v>
      </c>
      <c r="I430" s="111">
        <f t="shared" si="88"/>
        <v>1884.2</v>
      </c>
      <c r="J430" s="114">
        <f t="shared" si="88"/>
        <v>3074.2</v>
      </c>
      <c r="K430" s="111">
        <f>K431</f>
        <v>0</v>
      </c>
      <c r="L430" s="114">
        <f t="shared" si="88"/>
        <v>3074.2</v>
      </c>
      <c r="M430" s="111">
        <f t="shared" si="88"/>
        <v>4958.3999999999996</v>
      </c>
      <c r="N430" s="111">
        <f t="shared" si="88"/>
        <v>0</v>
      </c>
      <c r="O430" s="111">
        <f t="shared" si="88"/>
        <v>4958.3999999999996</v>
      </c>
      <c r="P430" s="97"/>
      <c r="Q430" s="97"/>
    </row>
    <row r="431" spans="1:17" ht="31.5" x14ac:dyDescent="0.2">
      <c r="A431" s="40"/>
      <c r="B431" s="113" t="s">
        <v>438</v>
      </c>
      <c r="C431" s="113" t="s">
        <v>51</v>
      </c>
      <c r="D431" s="133" t="s">
        <v>437</v>
      </c>
      <c r="E431" s="133" t="s">
        <v>439</v>
      </c>
      <c r="F431" s="134" t="s">
        <v>11</v>
      </c>
      <c r="G431" s="111">
        <f t="shared" si="88"/>
        <v>1884.2</v>
      </c>
      <c r="H431" s="111">
        <f t="shared" si="88"/>
        <v>0</v>
      </c>
      <c r="I431" s="111">
        <f t="shared" si="88"/>
        <v>1884.2</v>
      </c>
      <c r="J431" s="114">
        <f t="shared" si="88"/>
        <v>3074.2</v>
      </c>
      <c r="K431" s="111">
        <f>K432</f>
        <v>0</v>
      </c>
      <c r="L431" s="114">
        <f t="shared" si="88"/>
        <v>3074.2</v>
      </c>
      <c r="M431" s="111">
        <f t="shared" si="88"/>
        <v>4958.3999999999996</v>
      </c>
      <c r="N431" s="111">
        <f t="shared" si="88"/>
        <v>0</v>
      </c>
      <c r="O431" s="111">
        <f t="shared" si="88"/>
        <v>4958.3999999999996</v>
      </c>
      <c r="P431" s="97"/>
      <c r="Q431" s="97"/>
    </row>
    <row r="432" spans="1:17" ht="47.25" x14ac:dyDescent="0.2">
      <c r="A432" s="40"/>
      <c r="B432" s="113" t="s">
        <v>599</v>
      </c>
      <c r="C432" s="113" t="s">
        <v>51</v>
      </c>
      <c r="D432" s="133" t="s">
        <v>437</v>
      </c>
      <c r="E432" s="133" t="s">
        <v>441</v>
      </c>
      <c r="F432" s="134" t="s">
        <v>11</v>
      </c>
      <c r="G432" s="111">
        <f t="shared" si="88"/>
        <v>1884.2</v>
      </c>
      <c r="H432" s="111">
        <f t="shared" si="88"/>
        <v>0</v>
      </c>
      <c r="I432" s="111">
        <f t="shared" si="88"/>
        <v>1884.2</v>
      </c>
      <c r="J432" s="114">
        <f t="shared" si="88"/>
        <v>3074.2</v>
      </c>
      <c r="K432" s="111">
        <f>K433</f>
        <v>0</v>
      </c>
      <c r="L432" s="114">
        <f t="shared" si="88"/>
        <v>3074.2</v>
      </c>
      <c r="M432" s="111">
        <f t="shared" si="88"/>
        <v>4958.3999999999996</v>
      </c>
      <c r="N432" s="111">
        <f t="shared" si="88"/>
        <v>0</v>
      </c>
      <c r="O432" s="111">
        <f t="shared" si="88"/>
        <v>4958.3999999999996</v>
      </c>
      <c r="P432" s="97"/>
      <c r="Q432" s="97"/>
    </row>
    <row r="433" spans="1:17" ht="31.5" x14ac:dyDescent="0.2">
      <c r="A433" s="40"/>
      <c r="B433" s="113" t="s">
        <v>442</v>
      </c>
      <c r="C433" s="113" t="s">
        <v>51</v>
      </c>
      <c r="D433" s="133" t="s">
        <v>437</v>
      </c>
      <c r="E433" s="133" t="s">
        <v>443</v>
      </c>
      <c r="F433" s="134" t="s">
        <v>11</v>
      </c>
      <c r="G433" s="111">
        <f>G434</f>
        <v>1884.2</v>
      </c>
      <c r="H433" s="109"/>
      <c r="I433" s="111">
        <f>I434</f>
        <v>1884.2</v>
      </c>
      <c r="J433" s="114">
        <f t="shared" si="88"/>
        <v>3074.2</v>
      </c>
      <c r="K433" s="111"/>
      <c r="L433" s="114">
        <f t="shared" si="88"/>
        <v>3074.2</v>
      </c>
      <c r="M433" s="111">
        <f t="shared" si="88"/>
        <v>4958.3999999999996</v>
      </c>
      <c r="N433" s="111">
        <f t="shared" si="88"/>
        <v>0</v>
      </c>
      <c r="O433" s="111">
        <f t="shared" si="88"/>
        <v>4958.3999999999996</v>
      </c>
      <c r="P433" s="97"/>
      <c r="Q433" s="97"/>
    </row>
    <row r="434" spans="1:17" ht="31.5" x14ac:dyDescent="0.2">
      <c r="A434" s="40"/>
      <c r="B434" s="113" t="s">
        <v>112</v>
      </c>
      <c r="C434" s="113" t="s">
        <v>51</v>
      </c>
      <c r="D434" s="133" t="s">
        <v>437</v>
      </c>
      <c r="E434" s="133" t="s">
        <v>443</v>
      </c>
      <c r="F434" s="134" t="s">
        <v>113</v>
      </c>
      <c r="G434" s="111">
        <v>1884.2</v>
      </c>
      <c r="H434" s="109"/>
      <c r="I434" s="111">
        <v>1884.2</v>
      </c>
      <c r="J434" s="115">
        <v>3074.2</v>
      </c>
      <c r="K434" s="109"/>
      <c r="L434" s="115">
        <v>3074.2</v>
      </c>
      <c r="M434" s="111">
        <f>SUM(G434+J434)</f>
        <v>4958.3999999999996</v>
      </c>
      <c r="N434" s="111">
        <f>SUM(H434)</f>
        <v>0</v>
      </c>
      <c r="O434" s="111">
        <f>SUM(I434+L434)</f>
        <v>4958.3999999999996</v>
      </c>
      <c r="P434" s="97"/>
      <c r="Q434" s="97"/>
    </row>
    <row r="435" spans="1:17" ht="15.75" x14ac:dyDescent="0.2">
      <c r="A435" s="33" t="s">
        <v>444</v>
      </c>
      <c r="B435" s="110" t="s">
        <v>445</v>
      </c>
      <c r="C435" s="110" t="s">
        <v>51</v>
      </c>
      <c r="D435" s="131" t="s">
        <v>446</v>
      </c>
      <c r="E435" s="131" t="s">
        <v>11</v>
      </c>
      <c r="F435" s="132" t="s">
        <v>11</v>
      </c>
      <c r="G435" s="109">
        <f t="shared" ref="G435:O439" si="89">G436</f>
        <v>120</v>
      </c>
      <c r="H435" s="111">
        <f t="shared" si="89"/>
        <v>0</v>
      </c>
      <c r="I435" s="109">
        <f t="shared" si="89"/>
        <v>120</v>
      </c>
      <c r="J435" s="112">
        <f t="shared" si="89"/>
        <v>0</v>
      </c>
      <c r="K435" s="111">
        <f>K436</f>
        <v>0</v>
      </c>
      <c r="L435" s="112">
        <f t="shared" si="89"/>
        <v>0</v>
      </c>
      <c r="M435" s="109">
        <f t="shared" si="89"/>
        <v>120</v>
      </c>
      <c r="N435" s="109">
        <f t="shared" si="89"/>
        <v>0</v>
      </c>
      <c r="O435" s="109">
        <f t="shared" si="89"/>
        <v>120</v>
      </c>
      <c r="P435" s="97"/>
      <c r="Q435" s="97"/>
    </row>
    <row r="436" spans="1:17" ht="31.5" x14ac:dyDescent="0.2">
      <c r="A436" s="40"/>
      <c r="B436" s="113" t="s">
        <v>87</v>
      </c>
      <c r="C436" s="113" t="s">
        <v>51</v>
      </c>
      <c r="D436" s="133" t="s">
        <v>446</v>
      </c>
      <c r="E436" s="133" t="s">
        <v>88</v>
      </c>
      <c r="F436" s="134" t="s">
        <v>11</v>
      </c>
      <c r="G436" s="111">
        <f t="shared" si="89"/>
        <v>120</v>
      </c>
      <c r="H436" s="111">
        <f t="shared" si="89"/>
        <v>0</v>
      </c>
      <c r="I436" s="111">
        <f t="shared" si="89"/>
        <v>120</v>
      </c>
      <c r="J436" s="114">
        <f t="shared" si="89"/>
        <v>0</v>
      </c>
      <c r="K436" s="111">
        <f>K437</f>
        <v>0</v>
      </c>
      <c r="L436" s="114">
        <f t="shared" si="89"/>
        <v>0</v>
      </c>
      <c r="M436" s="111">
        <f t="shared" si="89"/>
        <v>120</v>
      </c>
      <c r="N436" s="111">
        <f t="shared" si="89"/>
        <v>0</v>
      </c>
      <c r="O436" s="111">
        <f t="shared" si="89"/>
        <v>120</v>
      </c>
      <c r="P436" s="97"/>
      <c r="Q436" s="97"/>
    </row>
    <row r="437" spans="1:17" ht="47.25" x14ac:dyDescent="0.2">
      <c r="A437" s="40"/>
      <c r="B437" s="113" t="s">
        <v>89</v>
      </c>
      <c r="C437" s="113" t="s">
        <v>51</v>
      </c>
      <c r="D437" s="133" t="s">
        <v>446</v>
      </c>
      <c r="E437" s="133" t="s">
        <v>90</v>
      </c>
      <c r="F437" s="134" t="s">
        <v>11</v>
      </c>
      <c r="G437" s="111">
        <f t="shared" si="89"/>
        <v>120</v>
      </c>
      <c r="H437" s="111">
        <f t="shared" si="89"/>
        <v>0</v>
      </c>
      <c r="I437" s="111">
        <f t="shared" si="89"/>
        <v>120</v>
      </c>
      <c r="J437" s="114">
        <f t="shared" si="89"/>
        <v>0</v>
      </c>
      <c r="K437" s="111">
        <f>K438</f>
        <v>0</v>
      </c>
      <c r="L437" s="114">
        <f t="shared" si="89"/>
        <v>0</v>
      </c>
      <c r="M437" s="111">
        <f t="shared" si="89"/>
        <v>120</v>
      </c>
      <c r="N437" s="111">
        <f t="shared" si="89"/>
        <v>0</v>
      </c>
      <c r="O437" s="111">
        <f t="shared" si="89"/>
        <v>120</v>
      </c>
      <c r="P437" s="97"/>
      <c r="Q437" s="97"/>
    </row>
    <row r="438" spans="1:17" ht="36" customHeight="1" x14ac:dyDescent="0.2">
      <c r="A438" s="40"/>
      <c r="B438" s="113" t="s">
        <v>91</v>
      </c>
      <c r="C438" s="113" t="s">
        <v>51</v>
      </c>
      <c r="D438" s="133" t="s">
        <v>446</v>
      </c>
      <c r="E438" s="133" t="s">
        <v>92</v>
      </c>
      <c r="F438" s="134" t="s">
        <v>11</v>
      </c>
      <c r="G438" s="111">
        <f t="shared" si="89"/>
        <v>120</v>
      </c>
      <c r="H438" s="111">
        <f t="shared" si="89"/>
        <v>0</v>
      </c>
      <c r="I438" s="111">
        <f t="shared" si="89"/>
        <v>120</v>
      </c>
      <c r="J438" s="114">
        <f t="shared" si="89"/>
        <v>0</v>
      </c>
      <c r="K438" s="111">
        <f>K439</f>
        <v>0</v>
      </c>
      <c r="L438" s="114">
        <f t="shared" si="89"/>
        <v>0</v>
      </c>
      <c r="M438" s="111">
        <f t="shared" si="89"/>
        <v>120</v>
      </c>
      <c r="N438" s="111">
        <f t="shared" si="89"/>
        <v>0</v>
      </c>
      <c r="O438" s="111">
        <f t="shared" si="89"/>
        <v>120</v>
      </c>
      <c r="P438" s="97"/>
      <c r="Q438" s="97"/>
    </row>
    <row r="439" spans="1:17" ht="47.25" x14ac:dyDescent="0.2">
      <c r="A439" s="40"/>
      <c r="B439" s="113" t="s">
        <v>93</v>
      </c>
      <c r="C439" s="113" t="s">
        <v>51</v>
      </c>
      <c r="D439" s="133" t="s">
        <v>446</v>
      </c>
      <c r="E439" s="133" t="s">
        <v>94</v>
      </c>
      <c r="F439" s="134" t="s">
        <v>11</v>
      </c>
      <c r="G439" s="111">
        <f>G440</f>
        <v>120</v>
      </c>
      <c r="H439" s="111"/>
      <c r="I439" s="111">
        <f>I440</f>
        <v>120</v>
      </c>
      <c r="J439" s="114">
        <f t="shared" si="89"/>
        <v>0</v>
      </c>
      <c r="K439" s="111"/>
      <c r="L439" s="114">
        <f t="shared" si="89"/>
        <v>0</v>
      </c>
      <c r="M439" s="111">
        <f t="shared" si="89"/>
        <v>120</v>
      </c>
      <c r="N439" s="111">
        <f t="shared" si="89"/>
        <v>0</v>
      </c>
      <c r="O439" s="111">
        <f t="shared" si="89"/>
        <v>120</v>
      </c>
      <c r="P439" s="97"/>
      <c r="Q439" s="97"/>
    </row>
    <row r="440" spans="1:17" ht="33.6" customHeight="1" x14ac:dyDescent="0.2">
      <c r="A440" s="40"/>
      <c r="B440" s="113" t="s">
        <v>95</v>
      </c>
      <c r="C440" s="113" t="s">
        <v>51</v>
      </c>
      <c r="D440" s="133" t="s">
        <v>446</v>
      </c>
      <c r="E440" s="133" t="s">
        <v>94</v>
      </c>
      <c r="F440" s="134" t="s">
        <v>96</v>
      </c>
      <c r="G440" s="111">
        <v>120</v>
      </c>
      <c r="H440" s="106"/>
      <c r="I440" s="111">
        <v>120</v>
      </c>
      <c r="J440" s="115">
        <v>0</v>
      </c>
      <c r="K440" s="106"/>
      <c r="L440" s="115">
        <v>0</v>
      </c>
      <c r="M440" s="111">
        <v>120</v>
      </c>
      <c r="N440" s="111"/>
      <c r="O440" s="111">
        <v>120</v>
      </c>
      <c r="P440" s="97"/>
      <c r="Q440" s="97"/>
    </row>
    <row r="441" spans="1:17" ht="15.75" x14ac:dyDescent="0.2">
      <c r="A441" s="20" t="s">
        <v>447</v>
      </c>
      <c r="B441" s="107" t="s">
        <v>448</v>
      </c>
      <c r="C441" s="107" t="s">
        <v>51</v>
      </c>
      <c r="D441" s="129" t="s">
        <v>449</v>
      </c>
      <c r="E441" s="129" t="s">
        <v>11</v>
      </c>
      <c r="F441" s="130" t="s">
        <v>11</v>
      </c>
      <c r="G441" s="106">
        <f>G442</f>
        <v>1863.8</v>
      </c>
      <c r="H441" s="109">
        <f>H442+H447</f>
        <v>0</v>
      </c>
      <c r="I441" s="106">
        <f>I442</f>
        <v>1863.8</v>
      </c>
      <c r="J441" s="108">
        <f>J442</f>
        <v>0</v>
      </c>
      <c r="K441" s="109">
        <f>K442+K447</f>
        <v>0</v>
      </c>
      <c r="L441" s="108">
        <f>L442</f>
        <v>0</v>
      </c>
      <c r="M441" s="106">
        <f>M442</f>
        <v>1863.8</v>
      </c>
      <c r="N441" s="106">
        <f>N442</f>
        <v>0</v>
      </c>
      <c r="O441" s="106">
        <f>O442</f>
        <v>1863.8</v>
      </c>
      <c r="P441" s="97"/>
      <c r="Q441" s="97"/>
    </row>
    <row r="442" spans="1:17" ht="15.75" x14ac:dyDescent="0.2">
      <c r="A442" s="33" t="s">
        <v>450</v>
      </c>
      <c r="B442" s="110" t="s">
        <v>451</v>
      </c>
      <c r="C442" s="110" t="s">
        <v>51</v>
      </c>
      <c r="D442" s="131" t="s">
        <v>452</v>
      </c>
      <c r="E442" s="131" t="s">
        <v>11</v>
      </c>
      <c r="F442" s="132" t="s">
        <v>11</v>
      </c>
      <c r="G442" s="109">
        <f>G443+G448</f>
        <v>1863.8</v>
      </c>
      <c r="H442" s="111">
        <f t="shared" ref="G442:O444" si="90">H443</f>
        <v>0</v>
      </c>
      <c r="I442" s="109">
        <f>I443+I448</f>
        <v>1863.8</v>
      </c>
      <c r="J442" s="112">
        <f>J443+J448</f>
        <v>0</v>
      </c>
      <c r="K442" s="111">
        <f t="shared" si="90"/>
        <v>0</v>
      </c>
      <c r="L442" s="112">
        <f>L443+L448</f>
        <v>0</v>
      </c>
      <c r="M442" s="109">
        <f>M443+M448</f>
        <v>1863.8</v>
      </c>
      <c r="N442" s="109">
        <f>N443+N448</f>
        <v>0</v>
      </c>
      <c r="O442" s="109">
        <f>O443+O448</f>
        <v>1863.8</v>
      </c>
      <c r="P442" s="97"/>
      <c r="Q442" s="97"/>
    </row>
    <row r="443" spans="1:17" ht="31.5" x14ac:dyDescent="0.2">
      <c r="A443" s="40"/>
      <c r="B443" s="113" t="s">
        <v>453</v>
      </c>
      <c r="C443" s="113" t="s">
        <v>51</v>
      </c>
      <c r="D443" s="133" t="s">
        <v>452</v>
      </c>
      <c r="E443" s="133" t="s">
        <v>454</v>
      </c>
      <c r="F443" s="134" t="s">
        <v>11</v>
      </c>
      <c r="G443" s="111">
        <f t="shared" si="90"/>
        <v>1813.8</v>
      </c>
      <c r="H443" s="111">
        <f t="shared" si="90"/>
        <v>0</v>
      </c>
      <c r="I443" s="111">
        <f t="shared" si="90"/>
        <v>1813.8</v>
      </c>
      <c r="J443" s="114">
        <f t="shared" si="90"/>
        <v>0</v>
      </c>
      <c r="K443" s="111">
        <f t="shared" si="90"/>
        <v>0</v>
      </c>
      <c r="L443" s="114">
        <f t="shared" si="90"/>
        <v>0</v>
      </c>
      <c r="M443" s="111">
        <f t="shared" si="90"/>
        <v>1813.8</v>
      </c>
      <c r="N443" s="111">
        <f t="shared" si="90"/>
        <v>0</v>
      </c>
      <c r="O443" s="111">
        <f t="shared" si="90"/>
        <v>1813.8</v>
      </c>
      <c r="P443" s="97"/>
      <c r="Q443" s="97"/>
    </row>
    <row r="444" spans="1:17" ht="63" x14ac:dyDescent="0.2">
      <c r="A444" s="40"/>
      <c r="B444" s="113" t="s">
        <v>455</v>
      </c>
      <c r="C444" s="113" t="s">
        <v>51</v>
      </c>
      <c r="D444" s="133" t="s">
        <v>452</v>
      </c>
      <c r="E444" s="133" t="s">
        <v>456</v>
      </c>
      <c r="F444" s="134" t="s">
        <v>11</v>
      </c>
      <c r="G444" s="111">
        <f t="shared" si="90"/>
        <v>1813.8</v>
      </c>
      <c r="H444" s="111">
        <f>H445+H446</f>
        <v>0</v>
      </c>
      <c r="I444" s="111">
        <f t="shared" si="90"/>
        <v>1813.8</v>
      </c>
      <c r="J444" s="114">
        <f t="shared" si="90"/>
        <v>0</v>
      </c>
      <c r="K444" s="111">
        <f>K445+K446</f>
        <v>0</v>
      </c>
      <c r="L444" s="114">
        <f t="shared" si="90"/>
        <v>0</v>
      </c>
      <c r="M444" s="111">
        <f t="shared" si="90"/>
        <v>1813.8</v>
      </c>
      <c r="N444" s="111">
        <f t="shared" si="90"/>
        <v>0</v>
      </c>
      <c r="O444" s="111">
        <f t="shared" si="90"/>
        <v>1813.8</v>
      </c>
      <c r="P444" s="97"/>
      <c r="Q444" s="97"/>
    </row>
    <row r="445" spans="1:17" ht="47.25" x14ac:dyDescent="0.2">
      <c r="A445" s="40"/>
      <c r="B445" s="113" t="s">
        <v>457</v>
      </c>
      <c r="C445" s="113" t="s">
        <v>51</v>
      </c>
      <c r="D445" s="133" t="s">
        <v>452</v>
      </c>
      <c r="E445" s="133" t="s">
        <v>458</v>
      </c>
      <c r="F445" s="134" t="s">
        <v>11</v>
      </c>
      <c r="G445" s="111">
        <f>G446+G447</f>
        <v>1813.8</v>
      </c>
      <c r="H445" s="111"/>
      <c r="I445" s="111">
        <f>I446+I447</f>
        <v>1813.8</v>
      </c>
      <c r="J445" s="114">
        <f>J446+J447</f>
        <v>0</v>
      </c>
      <c r="K445" s="111"/>
      <c r="L445" s="114">
        <f>L446+L447</f>
        <v>0</v>
      </c>
      <c r="M445" s="111">
        <f>M446+M447</f>
        <v>1813.8</v>
      </c>
      <c r="N445" s="111">
        <f>N446+N447</f>
        <v>0</v>
      </c>
      <c r="O445" s="111">
        <f>O446+O447</f>
        <v>1813.8</v>
      </c>
      <c r="P445" s="97"/>
      <c r="Q445" s="97"/>
    </row>
    <row r="446" spans="1:17" ht="31.5" x14ac:dyDescent="0.2">
      <c r="A446" s="40"/>
      <c r="B446" s="113" t="s">
        <v>40</v>
      </c>
      <c r="C446" s="113" t="s">
        <v>51</v>
      </c>
      <c r="D446" s="133" t="s">
        <v>452</v>
      </c>
      <c r="E446" s="133" t="s">
        <v>458</v>
      </c>
      <c r="F446" s="134" t="s">
        <v>41</v>
      </c>
      <c r="G446" s="111">
        <v>300</v>
      </c>
      <c r="H446" s="111"/>
      <c r="I446" s="111">
        <v>300</v>
      </c>
      <c r="J446" s="115">
        <v>0</v>
      </c>
      <c r="K446" s="111"/>
      <c r="L446" s="115">
        <v>0</v>
      </c>
      <c r="M446" s="111">
        <v>300</v>
      </c>
      <c r="N446" s="111"/>
      <c r="O446" s="111">
        <v>300</v>
      </c>
      <c r="P446" s="97"/>
      <c r="Q446" s="97"/>
    </row>
    <row r="447" spans="1:17" ht="31.5" x14ac:dyDescent="0.2">
      <c r="A447" s="40"/>
      <c r="B447" s="113" t="s">
        <v>112</v>
      </c>
      <c r="C447" s="113" t="s">
        <v>51</v>
      </c>
      <c r="D447" s="133" t="s">
        <v>452</v>
      </c>
      <c r="E447" s="133" t="s">
        <v>458</v>
      </c>
      <c r="F447" s="134" t="s">
        <v>113</v>
      </c>
      <c r="G447" s="111">
        <v>1513.8</v>
      </c>
      <c r="H447" s="111"/>
      <c r="I447" s="111">
        <v>1513.8</v>
      </c>
      <c r="J447" s="115">
        <v>0</v>
      </c>
      <c r="K447" s="111"/>
      <c r="L447" s="115">
        <v>0</v>
      </c>
      <c r="M447" s="111">
        <v>1513.8</v>
      </c>
      <c r="N447" s="111"/>
      <c r="O447" s="111">
        <v>1513.8</v>
      </c>
      <c r="P447" s="97"/>
      <c r="Q447" s="97"/>
    </row>
    <row r="448" spans="1:17" ht="15.75" x14ac:dyDescent="0.2">
      <c r="A448" s="40"/>
      <c r="B448" s="113" t="s">
        <v>459</v>
      </c>
      <c r="C448" s="113" t="s">
        <v>51</v>
      </c>
      <c r="D448" s="133" t="s">
        <v>452</v>
      </c>
      <c r="E448" s="133" t="s">
        <v>460</v>
      </c>
      <c r="F448" s="134" t="s">
        <v>11</v>
      </c>
      <c r="G448" s="111">
        <f t="shared" ref="G448:O450" si="91">G449</f>
        <v>50</v>
      </c>
      <c r="H448" s="111">
        <f t="shared" si="91"/>
        <v>0</v>
      </c>
      <c r="I448" s="111">
        <f t="shared" si="91"/>
        <v>50</v>
      </c>
      <c r="J448" s="114">
        <f t="shared" si="91"/>
        <v>0</v>
      </c>
      <c r="K448" s="111">
        <f>K449</f>
        <v>0</v>
      </c>
      <c r="L448" s="114">
        <f t="shared" si="91"/>
        <v>0</v>
      </c>
      <c r="M448" s="111">
        <f t="shared" si="91"/>
        <v>50</v>
      </c>
      <c r="N448" s="111">
        <f t="shared" si="91"/>
        <v>0</v>
      </c>
      <c r="O448" s="111">
        <f t="shared" si="91"/>
        <v>50</v>
      </c>
      <c r="P448" s="97"/>
      <c r="Q448" s="97"/>
    </row>
    <row r="449" spans="1:17" ht="39.6" customHeight="1" x14ac:dyDescent="0.2">
      <c r="A449" s="40"/>
      <c r="B449" s="113" t="s">
        <v>461</v>
      </c>
      <c r="C449" s="113" t="s">
        <v>51</v>
      </c>
      <c r="D449" s="133" t="s">
        <v>452</v>
      </c>
      <c r="E449" s="133" t="s">
        <v>462</v>
      </c>
      <c r="F449" s="134" t="s">
        <v>11</v>
      </c>
      <c r="G449" s="111">
        <f t="shared" si="91"/>
        <v>50</v>
      </c>
      <c r="H449" s="111">
        <f t="shared" si="91"/>
        <v>0</v>
      </c>
      <c r="I449" s="111">
        <f t="shared" si="91"/>
        <v>50</v>
      </c>
      <c r="J449" s="114">
        <f t="shared" si="91"/>
        <v>0</v>
      </c>
      <c r="K449" s="111">
        <f>K450</f>
        <v>0</v>
      </c>
      <c r="L449" s="114">
        <f t="shared" si="91"/>
        <v>0</v>
      </c>
      <c r="M449" s="111">
        <f t="shared" si="91"/>
        <v>50</v>
      </c>
      <c r="N449" s="111">
        <f t="shared" si="91"/>
        <v>0</v>
      </c>
      <c r="O449" s="111">
        <f t="shared" si="91"/>
        <v>50</v>
      </c>
      <c r="P449" s="97"/>
      <c r="Q449" s="97"/>
    </row>
    <row r="450" spans="1:17" ht="31.5" x14ac:dyDescent="0.2">
      <c r="A450" s="40"/>
      <c r="B450" s="113" t="s">
        <v>463</v>
      </c>
      <c r="C450" s="113" t="s">
        <v>51</v>
      </c>
      <c r="D450" s="133" t="s">
        <v>452</v>
      </c>
      <c r="E450" s="133" t="s">
        <v>464</v>
      </c>
      <c r="F450" s="134" t="s">
        <v>11</v>
      </c>
      <c r="G450" s="111">
        <f>G451</f>
        <v>50</v>
      </c>
      <c r="H450" s="111"/>
      <c r="I450" s="111">
        <f>I451</f>
        <v>50</v>
      </c>
      <c r="J450" s="114">
        <f t="shared" si="91"/>
        <v>0</v>
      </c>
      <c r="K450" s="111"/>
      <c r="L450" s="114">
        <f t="shared" si="91"/>
        <v>0</v>
      </c>
      <c r="M450" s="111">
        <f t="shared" si="91"/>
        <v>50</v>
      </c>
      <c r="N450" s="111">
        <f t="shared" si="91"/>
        <v>0</v>
      </c>
      <c r="O450" s="111">
        <f t="shared" si="91"/>
        <v>50</v>
      </c>
      <c r="P450" s="97"/>
      <c r="Q450" s="97"/>
    </row>
    <row r="451" spans="1:17" ht="31.5" x14ac:dyDescent="0.2">
      <c r="A451" s="40"/>
      <c r="B451" s="113" t="s">
        <v>40</v>
      </c>
      <c r="C451" s="113" t="s">
        <v>51</v>
      </c>
      <c r="D451" s="133" t="s">
        <v>452</v>
      </c>
      <c r="E451" s="133" t="s">
        <v>464</v>
      </c>
      <c r="F451" s="134" t="s">
        <v>41</v>
      </c>
      <c r="G451" s="111">
        <v>50</v>
      </c>
      <c r="H451" s="106"/>
      <c r="I451" s="111">
        <v>50</v>
      </c>
      <c r="J451" s="115"/>
      <c r="K451" s="106">
        <f t="shared" ref="G451:O457" si="92">K452</f>
        <v>0</v>
      </c>
      <c r="L451" s="115"/>
      <c r="M451" s="111">
        <v>50</v>
      </c>
      <c r="N451" s="111"/>
      <c r="O451" s="111">
        <v>50</v>
      </c>
      <c r="P451" s="97"/>
      <c r="Q451" s="97"/>
    </row>
    <row r="452" spans="1:17" ht="31.5" x14ac:dyDescent="0.2">
      <c r="A452" s="20" t="s">
        <v>465</v>
      </c>
      <c r="B452" s="107" t="s">
        <v>466</v>
      </c>
      <c r="C452" s="107" t="s">
        <v>51</v>
      </c>
      <c r="D452" s="129" t="s">
        <v>467</v>
      </c>
      <c r="E452" s="129" t="s">
        <v>11</v>
      </c>
      <c r="F452" s="130" t="s">
        <v>11</v>
      </c>
      <c r="G452" s="106">
        <f t="shared" si="92"/>
        <v>10.5</v>
      </c>
      <c r="H452" s="109">
        <f t="shared" si="92"/>
        <v>10</v>
      </c>
      <c r="I452" s="106">
        <f t="shared" si="92"/>
        <v>20.5</v>
      </c>
      <c r="J452" s="108">
        <f t="shared" si="92"/>
        <v>0</v>
      </c>
      <c r="K452" s="109">
        <f t="shared" si="92"/>
        <v>0</v>
      </c>
      <c r="L452" s="108">
        <f t="shared" si="92"/>
        <v>0</v>
      </c>
      <c r="M452" s="106">
        <f t="shared" si="92"/>
        <v>10.5</v>
      </c>
      <c r="N452" s="106">
        <f t="shared" si="92"/>
        <v>10</v>
      </c>
      <c r="O452" s="106">
        <f t="shared" si="92"/>
        <v>20.5</v>
      </c>
      <c r="P452" s="97"/>
      <c r="Q452" s="97"/>
    </row>
    <row r="453" spans="1:17" ht="31.5" x14ac:dyDescent="0.2">
      <c r="A453" s="33" t="s">
        <v>468</v>
      </c>
      <c r="B453" s="110" t="s">
        <v>469</v>
      </c>
      <c r="C453" s="110" t="s">
        <v>51</v>
      </c>
      <c r="D453" s="131" t="s">
        <v>470</v>
      </c>
      <c r="E453" s="131" t="s">
        <v>11</v>
      </c>
      <c r="F453" s="132" t="s">
        <v>11</v>
      </c>
      <c r="G453" s="109">
        <f t="shared" si="92"/>
        <v>10.5</v>
      </c>
      <c r="H453" s="111">
        <f t="shared" si="92"/>
        <v>10</v>
      </c>
      <c r="I453" s="109">
        <f t="shared" si="92"/>
        <v>20.5</v>
      </c>
      <c r="J453" s="112">
        <f t="shared" si="92"/>
        <v>0</v>
      </c>
      <c r="K453" s="111">
        <f t="shared" si="92"/>
        <v>0</v>
      </c>
      <c r="L453" s="112">
        <f t="shared" si="92"/>
        <v>0</v>
      </c>
      <c r="M453" s="109">
        <f t="shared" si="92"/>
        <v>10.5</v>
      </c>
      <c r="N453" s="109">
        <f t="shared" si="92"/>
        <v>10</v>
      </c>
      <c r="O453" s="109">
        <f t="shared" si="92"/>
        <v>20.5</v>
      </c>
      <c r="P453" s="97"/>
      <c r="Q453" s="97"/>
    </row>
    <row r="454" spans="1:17" ht="31.5" x14ac:dyDescent="0.2">
      <c r="A454" s="40"/>
      <c r="B454" s="113" t="s">
        <v>128</v>
      </c>
      <c r="C454" s="113" t="s">
        <v>51</v>
      </c>
      <c r="D454" s="133" t="s">
        <v>470</v>
      </c>
      <c r="E454" s="133" t="s">
        <v>129</v>
      </c>
      <c r="F454" s="134" t="s">
        <v>11</v>
      </c>
      <c r="G454" s="111">
        <f t="shared" si="92"/>
        <v>10.5</v>
      </c>
      <c r="H454" s="111">
        <f t="shared" si="92"/>
        <v>10</v>
      </c>
      <c r="I454" s="111">
        <f t="shared" si="92"/>
        <v>20.5</v>
      </c>
      <c r="J454" s="114">
        <f t="shared" si="92"/>
        <v>0</v>
      </c>
      <c r="K454" s="111">
        <f t="shared" si="92"/>
        <v>0</v>
      </c>
      <c r="L454" s="114">
        <f t="shared" si="92"/>
        <v>0</v>
      </c>
      <c r="M454" s="111">
        <f t="shared" si="92"/>
        <v>10.5</v>
      </c>
      <c r="N454" s="111">
        <f t="shared" si="92"/>
        <v>10</v>
      </c>
      <c r="O454" s="111">
        <f t="shared" si="92"/>
        <v>20.5</v>
      </c>
      <c r="P454" s="97"/>
      <c r="Q454" s="97"/>
    </row>
    <row r="455" spans="1:17" ht="15.75" x14ac:dyDescent="0.2">
      <c r="A455" s="40"/>
      <c r="B455" s="113" t="s">
        <v>141</v>
      </c>
      <c r="C455" s="113" t="s">
        <v>51</v>
      </c>
      <c r="D455" s="133" t="s">
        <v>470</v>
      </c>
      <c r="E455" s="133" t="s">
        <v>142</v>
      </c>
      <c r="F455" s="134" t="s">
        <v>11</v>
      </c>
      <c r="G455" s="111">
        <f t="shared" si="92"/>
        <v>10.5</v>
      </c>
      <c r="H455" s="111">
        <f t="shared" si="92"/>
        <v>10</v>
      </c>
      <c r="I455" s="111">
        <f t="shared" si="92"/>
        <v>20.5</v>
      </c>
      <c r="J455" s="114">
        <f t="shared" si="92"/>
        <v>0</v>
      </c>
      <c r="K455" s="111">
        <f t="shared" si="92"/>
        <v>0</v>
      </c>
      <c r="L455" s="114">
        <f t="shared" si="92"/>
        <v>0</v>
      </c>
      <c r="M455" s="111">
        <f t="shared" si="92"/>
        <v>10.5</v>
      </c>
      <c r="N455" s="111">
        <f t="shared" si="92"/>
        <v>10</v>
      </c>
      <c r="O455" s="111">
        <f t="shared" si="92"/>
        <v>20.5</v>
      </c>
      <c r="P455" s="97"/>
      <c r="Q455" s="97"/>
    </row>
    <row r="456" spans="1:17" ht="24" customHeight="1" x14ac:dyDescent="0.2">
      <c r="A456" s="40"/>
      <c r="B456" s="113" t="s">
        <v>143</v>
      </c>
      <c r="C456" s="113" t="s">
        <v>51</v>
      </c>
      <c r="D456" s="133" t="s">
        <v>470</v>
      </c>
      <c r="E456" s="133" t="s">
        <v>144</v>
      </c>
      <c r="F456" s="134" t="s">
        <v>11</v>
      </c>
      <c r="G456" s="111">
        <f t="shared" si="92"/>
        <v>10.5</v>
      </c>
      <c r="H456" s="111">
        <f>SUM(H457)</f>
        <v>10</v>
      </c>
      <c r="I456" s="111">
        <f t="shared" si="92"/>
        <v>20.5</v>
      </c>
      <c r="J456" s="114">
        <f t="shared" si="92"/>
        <v>0</v>
      </c>
      <c r="K456" s="111">
        <f t="shared" si="92"/>
        <v>0</v>
      </c>
      <c r="L456" s="114">
        <f t="shared" si="92"/>
        <v>0</v>
      </c>
      <c r="M456" s="111">
        <f t="shared" si="92"/>
        <v>10.5</v>
      </c>
      <c r="N456" s="111">
        <f t="shared" si="92"/>
        <v>10</v>
      </c>
      <c r="O456" s="111">
        <f t="shared" si="92"/>
        <v>20.5</v>
      </c>
      <c r="P456" s="97"/>
      <c r="Q456" s="97"/>
    </row>
    <row r="457" spans="1:17" ht="15.75" x14ac:dyDescent="0.2">
      <c r="A457" s="40"/>
      <c r="B457" s="113" t="s">
        <v>471</v>
      </c>
      <c r="C457" s="113" t="s">
        <v>51</v>
      </c>
      <c r="D457" s="133" t="s">
        <v>470</v>
      </c>
      <c r="E457" s="133" t="s">
        <v>472</v>
      </c>
      <c r="F457" s="134" t="s">
        <v>11</v>
      </c>
      <c r="G457" s="111">
        <f t="shared" si="92"/>
        <v>10.5</v>
      </c>
      <c r="H457" s="111">
        <f t="shared" si="92"/>
        <v>10</v>
      </c>
      <c r="I457" s="111">
        <f t="shared" si="92"/>
        <v>20.5</v>
      </c>
      <c r="J457" s="114">
        <f t="shared" si="92"/>
        <v>0</v>
      </c>
      <c r="K457" s="111"/>
      <c r="L457" s="114">
        <f t="shared" si="92"/>
        <v>0</v>
      </c>
      <c r="M457" s="111">
        <f t="shared" si="92"/>
        <v>10.5</v>
      </c>
      <c r="N457" s="111">
        <f t="shared" si="92"/>
        <v>10</v>
      </c>
      <c r="O457" s="111">
        <f t="shared" si="92"/>
        <v>20.5</v>
      </c>
      <c r="P457" s="97"/>
      <c r="Q457" s="97"/>
    </row>
    <row r="458" spans="1:17" ht="31.5" x14ac:dyDescent="0.2">
      <c r="A458" s="40"/>
      <c r="B458" s="113" t="s">
        <v>473</v>
      </c>
      <c r="C458" s="113" t="s">
        <v>51</v>
      </c>
      <c r="D458" s="133" t="s">
        <v>470</v>
      </c>
      <c r="E458" s="133" t="s">
        <v>472</v>
      </c>
      <c r="F458" s="134" t="s">
        <v>474</v>
      </c>
      <c r="G458" s="111">
        <v>10.5</v>
      </c>
      <c r="H458" s="106">
        <v>10</v>
      </c>
      <c r="I458" s="111">
        <f>10.5+H458</f>
        <v>20.5</v>
      </c>
      <c r="J458" s="115">
        <v>0</v>
      </c>
      <c r="K458" s="106"/>
      <c r="L458" s="115">
        <v>0</v>
      </c>
      <c r="M458" s="111">
        <f>SUM(G458)</f>
        <v>10.5</v>
      </c>
      <c r="N458" s="111">
        <f>SUM(H458)</f>
        <v>10</v>
      </c>
      <c r="O458" s="111">
        <f>SUM(I458)</f>
        <v>20.5</v>
      </c>
      <c r="P458" s="97"/>
      <c r="Q458" s="97"/>
    </row>
    <row r="459" spans="1:17" ht="31.5" x14ac:dyDescent="0.2">
      <c r="A459" s="20" t="s">
        <v>475</v>
      </c>
      <c r="B459" s="107" t="s">
        <v>476</v>
      </c>
      <c r="C459" s="107" t="s">
        <v>477</v>
      </c>
      <c r="D459" s="129" t="s">
        <v>11</v>
      </c>
      <c r="E459" s="129" t="s">
        <v>11</v>
      </c>
      <c r="F459" s="130" t="s">
        <v>11</v>
      </c>
      <c r="G459" s="106">
        <f>G460</f>
        <v>141470.30000000002</v>
      </c>
      <c r="H459" s="106">
        <f>H460+H490+H500</f>
        <v>881.8</v>
      </c>
      <c r="I459" s="106">
        <f>I460</f>
        <v>142352.1</v>
      </c>
      <c r="J459" s="108">
        <f>J460</f>
        <v>22124.1</v>
      </c>
      <c r="K459" s="109">
        <f>K460+K490+K502</f>
        <v>0</v>
      </c>
      <c r="L459" s="108">
        <f>L460</f>
        <v>22124.1</v>
      </c>
      <c r="M459" s="106">
        <f>M460</f>
        <v>163594.40000000002</v>
      </c>
      <c r="N459" s="106">
        <f>N460</f>
        <v>881.8</v>
      </c>
      <c r="O459" s="106">
        <f>O460</f>
        <v>164476.20000000001</v>
      </c>
      <c r="P459" s="97"/>
      <c r="Q459" s="98"/>
    </row>
    <row r="460" spans="1:17" ht="15.75" x14ac:dyDescent="0.2">
      <c r="A460" s="20" t="s">
        <v>478</v>
      </c>
      <c r="B460" s="107" t="s">
        <v>479</v>
      </c>
      <c r="C460" s="107" t="s">
        <v>477</v>
      </c>
      <c r="D460" s="129" t="s">
        <v>480</v>
      </c>
      <c r="E460" s="129" t="s">
        <v>11</v>
      </c>
      <c r="F460" s="130" t="s">
        <v>11</v>
      </c>
      <c r="G460" s="106">
        <f>G461+G495+G503</f>
        <v>141470.30000000002</v>
      </c>
      <c r="H460" s="109">
        <f>H461+H503</f>
        <v>881.8</v>
      </c>
      <c r="I460" s="106">
        <f>I461+I495+I503</f>
        <v>142352.1</v>
      </c>
      <c r="J460" s="108">
        <f>J461+J495+J503</f>
        <v>22124.1</v>
      </c>
      <c r="K460" s="109">
        <f>K461+K495+K503</f>
        <v>0</v>
      </c>
      <c r="L460" s="108">
        <f>L461+L495+L503</f>
        <v>22124.1</v>
      </c>
      <c r="M460" s="106">
        <f>SUM(G460+J460)</f>
        <v>163594.40000000002</v>
      </c>
      <c r="N460" s="106">
        <f>N461+N495+N503</f>
        <v>881.8</v>
      </c>
      <c r="O460" s="106">
        <f>SUM(I460+L460)</f>
        <v>164476.20000000001</v>
      </c>
      <c r="P460" s="97"/>
      <c r="Q460" s="98"/>
    </row>
    <row r="461" spans="1:17" ht="15.75" x14ac:dyDescent="0.2">
      <c r="A461" s="33" t="s">
        <v>481</v>
      </c>
      <c r="B461" s="110" t="s">
        <v>482</v>
      </c>
      <c r="C461" s="110" t="s">
        <v>477</v>
      </c>
      <c r="D461" s="131" t="s">
        <v>483</v>
      </c>
      <c r="E461" s="131" t="s">
        <v>11</v>
      </c>
      <c r="F461" s="132" t="s">
        <v>11</v>
      </c>
      <c r="G461" s="109">
        <f>G462</f>
        <v>112379.50000000001</v>
      </c>
      <c r="H461" s="111">
        <f>H462+H470+H491</f>
        <v>336.2</v>
      </c>
      <c r="I461" s="109">
        <f>I462+I491</f>
        <v>112715.70000000001</v>
      </c>
      <c r="J461" s="112">
        <f>J462</f>
        <v>21450.3</v>
      </c>
      <c r="K461" s="111">
        <f>K462+K470</f>
        <v>0</v>
      </c>
      <c r="L461" s="112">
        <f>L462</f>
        <v>21450.3</v>
      </c>
      <c r="M461" s="109">
        <f>M462</f>
        <v>132703.1</v>
      </c>
      <c r="N461" s="109">
        <f>N462+N491</f>
        <v>336.2</v>
      </c>
      <c r="O461" s="109">
        <f>O462+O491</f>
        <v>133562.6</v>
      </c>
      <c r="P461" s="97"/>
      <c r="Q461" s="97"/>
    </row>
    <row r="462" spans="1:17" ht="31.5" x14ac:dyDescent="0.2">
      <c r="A462" s="40"/>
      <c r="B462" s="113" t="s">
        <v>484</v>
      </c>
      <c r="C462" s="113" t="s">
        <v>477</v>
      </c>
      <c r="D462" s="133" t="s">
        <v>483</v>
      </c>
      <c r="E462" s="133" t="s">
        <v>485</v>
      </c>
      <c r="F462" s="134" t="s">
        <v>11</v>
      </c>
      <c r="G462" s="111">
        <f>G463+G471</f>
        <v>112379.50000000001</v>
      </c>
      <c r="H462" s="111">
        <f>H463+H471</f>
        <v>336.2</v>
      </c>
      <c r="I462" s="111">
        <f>I463+I471</f>
        <v>112715.70000000001</v>
      </c>
      <c r="J462" s="114">
        <f>J463+J471</f>
        <v>21450.3</v>
      </c>
      <c r="K462" s="111">
        <f>K463+K471</f>
        <v>0</v>
      </c>
      <c r="L462" s="114">
        <f>L463+L471</f>
        <v>21450.3</v>
      </c>
      <c r="M462" s="111">
        <f>M463+M471</f>
        <v>132703.1</v>
      </c>
      <c r="N462" s="111">
        <f>N463+N471</f>
        <v>336.2</v>
      </c>
      <c r="O462" s="111">
        <f>O463+O471</f>
        <v>133562.6</v>
      </c>
      <c r="P462" s="97"/>
      <c r="Q462" s="97"/>
    </row>
    <row r="463" spans="1:17" ht="15.75" x14ac:dyDescent="0.2">
      <c r="A463" s="40"/>
      <c r="B463" s="113" t="s">
        <v>486</v>
      </c>
      <c r="C463" s="113" t="s">
        <v>477</v>
      </c>
      <c r="D463" s="133" t="s">
        <v>483</v>
      </c>
      <c r="E463" s="133" t="s">
        <v>487</v>
      </c>
      <c r="F463" s="134" t="s">
        <v>11</v>
      </c>
      <c r="G463" s="111">
        <f>G464</f>
        <v>7359.9</v>
      </c>
      <c r="H463" s="111">
        <f>H464</f>
        <v>0</v>
      </c>
      <c r="I463" s="111">
        <f>I464</f>
        <v>7359.9</v>
      </c>
      <c r="J463" s="114">
        <f>J464</f>
        <v>0</v>
      </c>
      <c r="K463" s="111">
        <f>K464+K466+K468</f>
        <v>0</v>
      </c>
      <c r="L463" s="114">
        <f>L464</f>
        <v>0</v>
      </c>
      <c r="M463" s="111">
        <f>M464</f>
        <v>6759.9</v>
      </c>
      <c r="N463" s="111">
        <f>N464</f>
        <v>0</v>
      </c>
      <c r="O463" s="111">
        <f>O464</f>
        <v>6759.9</v>
      </c>
      <c r="P463" s="97"/>
      <c r="Q463" s="97"/>
    </row>
    <row r="464" spans="1:17" ht="15.75" x14ac:dyDescent="0.2">
      <c r="A464" s="40"/>
      <c r="B464" s="113" t="s">
        <v>488</v>
      </c>
      <c r="C464" s="113" t="s">
        <v>477</v>
      </c>
      <c r="D464" s="133" t="s">
        <v>483</v>
      </c>
      <c r="E464" s="133" t="s">
        <v>489</v>
      </c>
      <c r="F464" s="134" t="s">
        <v>11</v>
      </c>
      <c r="G464" s="111">
        <f>G465+G467+G469</f>
        <v>7359.9</v>
      </c>
      <c r="H464" s="111">
        <f>H465+H467</f>
        <v>0</v>
      </c>
      <c r="I464" s="111">
        <f>SUM(G464+H464)</f>
        <v>7359.9</v>
      </c>
      <c r="J464" s="114">
        <f>J465+J467+J469</f>
        <v>0</v>
      </c>
      <c r="K464" s="111">
        <f>K465</f>
        <v>0</v>
      </c>
      <c r="L464" s="114">
        <f>L465+L467+L469</f>
        <v>0</v>
      </c>
      <c r="M464" s="111">
        <f>M465+M467+M469</f>
        <v>6759.9</v>
      </c>
      <c r="N464" s="111">
        <f>N465+N467</f>
        <v>0</v>
      </c>
      <c r="O464" s="111">
        <f>SUM(M464+N464)</f>
        <v>6759.9</v>
      </c>
      <c r="P464" s="97"/>
      <c r="Q464" s="97"/>
    </row>
    <row r="465" spans="1:17" ht="15.75" x14ac:dyDescent="0.2">
      <c r="A465" s="40"/>
      <c r="B465" s="113" t="s">
        <v>490</v>
      </c>
      <c r="C465" s="113" t="s">
        <v>477</v>
      </c>
      <c r="D465" s="133" t="s">
        <v>483</v>
      </c>
      <c r="E465" s="133" t="s">
        <v>491</v>
      </c>
      <c r="F465" s="134" t="s">
        <v>11</v>
      </c>
      <c r="G465" s="111">
        <f>G466</f>
        <v>6459.9</v>
      </c>
      <c r="H465" s="111">
        <f>H466</f>
        <v>0</v>
      </c>
      <c r="I465" s="111">
        <f>I466</f>
        <v>6459.9</v>
      </c>
      <c r="J465" s="114">
        <f>J466</f>
        <v>0</v>
      </c>
      <c r="K465" s="111"/>
      <c r="L465" s="114">
        <f>L466</f>
        <v>0</v>
      </c>
      <c r="M465" s="111">
        <f>M466</f>
        <v>6459.9</v>
      </c>
      <c r="N465" s="111">
        <f>N466</f>
        <v>0</v>
      </c>
      <c r="O465" s="111">
        <f>O466</f>
        <v>6459.9</v>
      </c>
      <c r="P465" s="97"/>
      <c r="Q465" s="97"/>
    </row>
    <row r="466" spans="1:17" ht="31.5" x14ac:dyDescent="0.2">
      <c r="A466" s="40"/>
      <c r="B466" s="113" t="s">
        <v>40</v>
      </c>
      <c r="C466" s="113" t="s">
        <v>477</v>
      </c>
      <c r="D466" s="133" t="s">
        <v>483</v>
      </c>
      <c r="E466" s="133" t="s">
        <v>491</v>
      </c>
      <c r="F466" s="134" t="s">
        <v>41</v>
      </c>
      <c r="G466" s="111">
        <v>6459.9</v>
      </c>
      <c r="H466" s="111"/>
      <c r="I466" s="111">
        <f>SUM(G466+H466)</f>
        <v>6459.9</v>
      </c>
      <c r="J466" s="115">
        <v>0</v>
      </c>
      <c r="K466" s="111"/>
      <c r="L466" s="115">
        <v>0</v>
      </c>
      <c r="M466" s="111">
        <f>SUM(G466)</f>
        <v>6459.9</v>
      </c>
      <c r="N466" s="111">
        <f>SUM(H466)</f>
        <v>0</v>
      </c>
      <c r="O466" s="111">
        <f>SUM(M466+N466)</f>
        <v>6459.9</v>
      </c>
      <c r="P466" s="97"/>
      <c r="Q466" s="97"/>
    </row>
    <row r="467" spans="1:17" ht="15.75" x14ac:dyDescent="0.2">
      <c r="A467" s="40"/>
      <c r="B467" s="113" t="s">
        <v>492</v>
      </c>
      <c r="C467" s="113" t="s">
        <v>477</v>
      </c>
      <c r="D467" s="133" t="s">
        <v>483</v>
      </c>
      <c r="E467" s="133" t="s">
        <v>493</v>
      </c>
      <c r="F467" s="134" t="s">
        <v>11</v>
      </c>
      <c r="G467" s="111">
        <f>G468</f>
        <v>900</v>
      </c>
      <c r="H467" s="111"/>
      <c r="I467" s="111">
        <f>I468</f>
        <v>900</v>
      </c>
      <c r="J467" s="114">
        <f>J468</f>
        <v>0</v>
      </c>
      <c r="K467" s="111"/>
      <c r="L467" s="114">
        <f>L468</f>
        <v>0</v>
      </c>
      <c r="M467" s="111">
        <f>M468</f>
        <v>300</v>
      </c>
      <c r="N467" s="111">
        <f>N468</f>
        <v>0</v>
      </c>
      <c r="O467" s="111">
        <f>O468</f>
        <v>300</v>
      </c>
      <c r="P467" s="97"/>
      <c r="Q467" s="97"/>
    </row>
    <row r="468" spans="1:17" ht="26.25" customHeight="1" x14ac:dyDescent="0.2">
      <c r="A468" s="40"/>
      <c r="B468" s="113" t="s">
        <v>40</v>
      </c>
      <c r="C468" s="113" t="s">
        <v>477</v>
      </c>
      <c r="D468" s="133" t="s">
        <v>483</v>
      </c>
      <c r="E468" s="133" t="s">
        <v>493</v>
      </c>
      <c r="F468" s="134" t="s">
        <v>41</v>
      </c>
      <c r="G468" s="111">
        <v>900</v>
      </c>
      <c r="H468" s="111"/>
      <c r="I468" s="111">
        <v>900</v>
      </c>
      <c r="J468" s="115">
        <v>0</v>
      </c>
      <c r="K468" s="111"/>
      <c r="L468" s="115">
        <v>0</v>
      </c>
      <c r="M468" s="111">
        <f>300000/1000</f>
        <v>300</v>
      </c>
      <c r="N468" s="111">
        <f>SUM(H468)</f>
        <v>0</v>
      </c>
      <c r="O468" s="111">
        <f>300000/1000+N468</f>
        <v>300</v>
      </c>
      <c r="P468" s="97"/>
      <c r="Q468" s="97"/>
    </row>
    <row r="469" spans="1:17" ht="15.75" hidden="1" x14ac:dyDescent="0.2">
      <c r="A469" s="40"/>
      <c r="B469" s="113" t="s">
        <v>378</v>
      </c>
      <c r="C469" s="113" t="s">
        <v>477</v>
      </c>
      <c r="D469" s="133" t="s">
        <v>483</v>
      </c>
      <c r="E469" s="133" t="s">
        <v>494</v>
      </c>
      <c r="F469" s="134" t="s">
        <v>11</v>
      </c>
      <c r="G469" s="111">
        <f>G470</f>
        <v>0</v>
      </c>
      <c r="H469" s="111"/>
      <c r="I469" s="111">
        <f>I470</f>
        <v>0</v>
      </c>
      <c r="J469" s="114">
        <f>J470</f>
        <v>0</v>
      </c>
      <c r="K469" s="111"/>
      <c r="L469" s="114">
        <f>L470</f>
        <v>0</v>
      </c>
      <c r="M469" s="111">
        <f>M470</f>
        <v>0</v>
      </c>
      <c r="N469" s="111">
        <f>N470</f>
        <v>0</v>
      </c>
      <c r="O469" s="111">
        <f>O470</f>
        <v>0</v>
      </c>
      <c r="P469" s="97"/>
      <c r="Q469" s="97"/>
    </row>
    <row r="470" spans="1:17" ht="31.5" hidden="1" x14ac:dyDescent="0.2">
      <c r="A470" s="40"/>
      <c r="B470" s="113" t="s">
        <v>40</v>
      </c>
      <c r="C470" s="113" t="s">
        <v>477</v>
      </c>
      <c r="D470" s="133" t="s">
        <v>483</v>
      </c>
      <c r="E470" s="133" t="s">
        <v>494</v>
      </c>
      <c r="F470" s="134" t="s">
        <v>41</v>
      </c>
      <c r="G470" s="111"/>
      <c r="H470" s="111"/>
      <c r="I470" s="111"/>
      <c r="J470" s="115">
        <v>0</v>
      </c>
      <c r="K470" s="111"/>
      <c r="L470" s="115">
        <v>0</v>
      </c>
      <c r="M470" s="111"/>
      <c r="N470" s="111"/>
      <c r="O470" s="111"/>
      <c r="P470" s="97"/>
      <c r="Q470" s="97"/>
    </row>
    <row r="471" spans="1:17" ht="47.25" x14ac:dyDescent="0.2">
      <c r="A471" s="40"/>
      <c r="B471" s="113" t="s">
        <v>495</v>
      </c>
      <c r="C471" s="113" t="s">
        <v>477</v>
      </c>
      <c r="D471" s="133" t="s">
        <v>483</v>
      </c>
      <c r="E471" s="133" t="s">
        <v>496</v>
      </c>
      <c r="F471" s="134" t="s">
        <v>11</v>
      </c>
      <c r="G471" s="111">
        <f>G472+G488+G478</f>
        <v>105019.60000000002</v>
      </c>
      <c r="H471" s="111">
        <f t="shared" ref="H471:M471" si="93">H472+H488</f>
        <v>336.2</v>
      </c>
      <c r="I471" s="111">
        <f>I472+I488+I478</f>
        <v>105355.80000000002</v>
      </c>
      <c r="J471" s="114">
        <f t="shared" si="93"/>
        <v>21450.3</v>
      </c>
      <c r="K471" s="111">
        <f t="shared" si="93"/>
        <v>0</v>
      </c>
      <c r="L471" s="114">
        <f t="shared" si="93"/>
        <v>21450.3</v>
      </c>
      <c r="M471" s="111">
        <f t="shared" si="93"/>
        <v>125943.2</v>
      </c>
      <c r="N471" s="111">
        <f>N472</f>
        <v>336.2</v>
      </c>
      <c r="O471" s="111">
        <f>O472+O488</f>
        <v>126802.7</v>
      </c>
      <c r="P471" s="97"/>
      <c r="Q471" s="97"/>
    </row>
    <row r="472" spans="1:17" ht="47.25" x14ac:dyDescent="0.2">
      <c r="A472" s="40"/>
      <c r="B472" s="113" t="s">
        <v>497</v>
      </c>
      <c r="C472" s="113" t="s">
        <v>477</v>
      </c>
      <c r="D472" s="133" t="s">
        <v>483</v>
      </c>
      <c r="E472" s="133" t="s">
        <v>498</v>
      </c>
      <c r="F472" s="134" t="s">
        <v>11</v>
      </c>
      <c r="G472" s="111">
        <f>G473+G482+G486+G480</f>
        <v>104241.90000000002</v>
      </c>
      <c r="H472" s="111">
        <f>H473+H482+H486+H480+H478</f>
        <v>336.2</v>
      </c>
      <c r="I472" s="111">
        <f>I473+I482+I486+I480</f>
        <v>104578.10000000002</v>
      </c>
      <c r="J472" s="114">
        <f>J473+J482+J486+J480+J484</f>
        <v>19887.8</v>
      </c>
      <c r="K472" s="111">
        <f>K473+K475+K480+K482+K486+K484</f>
        <v>0</v>
      </c>
      <c r="L472" s="114">
        <f>L473+L482+L486+L480+L484</f>
        <v>19887.8</v>
      </c>
      <c r="M472" s="111">
        <f>M473+M482+M486+M480+M484</f>
        <v>124126.3</v>
      </c>
      <c r="N472" s="111">
        <f>N473+N482+N486+N480+N478</f>
        <v>336.2</v>
      </c>
      <c r="O472" s="111">
        <f>O473+O482+O486+O480+O484+O478</f>
        <v>124985.8</v>
      </c>
      <c r="P472" s="97"/>
      <c r="Q472" s="97"/>
    </row>
    <row r="473" spans="1:17" ht="31.5" x14ac:dyDescent="0.2">
      <c r="A473" s="40"/>
      <c r="B473" s="113" t="s">
        <v>134</v>
      </c>
      <c r="C473" s="113" t="s">
        <v>477</v>
      </c>
      <c r="D473" s="133" t="s">
        <v>483</v>
      </c>
      <c r="E473" s="133" t="s">
        <v>499</v>
      </c>
      <c r="F473" s="134" t="s">
        <v>11</v>
      </c>
      <c r="G473" s="111">
        <f>G474+G475+G476+G477</f>
        <v>99695.200000000012</v>
      </c>
      <c r="H473" s="111">
        <f>SUM(H475)+H476</f>
        <v>0</v>
      </c>
      <c r="I473" s="111">
        <f>I474+I475+I476+I477</f>
        <v>99695.200000000012</v>
      </c>
      <c r="J473" s="114">
        <f>J474+J475+J476+J477</f>
        <v>15541.599999999999</v>
      </c>
      <c r="K473" s="111"/>
      <c r="L473" s="114">
        <f>L474+L475+L476+L477</f>
        <v>15541.599999999999</v>
      </c>
      <c r="M473" s="111">
        <f>M474+M475+M476+M477</f>
        <v>115233.3</v>
      </c>
      <c r="N473" s="111">
        <f>N474+N475+N477+N476</f>
        <v>0</v>
      </c>
      <c r="O473" s="111">
        <f>O474+O475+O476+O477</f>
        <v>115233.3</v>
      </c>
      <c r="P473" s="97"/>
      <c r="Q473" s="97"/>
    </row>
    <row r="474" spans="1:17" ht="48" customHeight="1" x14ac:dyDescent="0.2">
      <c r="A474" s="40"/>
      <c r="B474" s="113" t="s">
        <v>61</v>
      </c>
      <c r="C474" s="113" t="s">
        <v>477</v>
      </c>
      <c r="D474" s="133" t="s">
        <v>483</v>
      </c>
      <c r="E474" s="133" t="s">
        <v>499</v>
      </c>
      <c r="F474" s="134" t="s">
        <v>62</v>
      </c>
      <c r="G474" s="111">
        <v>16500.3</v>
      </c>
      <c r="H474" s="111"/>
      <c r="I474" s="111">
        <v>16500.3</v>
      </c>
      <c r="J474" s="115">
        <v>2349.1999999999998</v>
      </c>
      <c r="K474" s="111"/>
      <c r="L474" s="111">
        <v>2349.1999999999998</v>
      </c>
      <c r="M474" s="111">
        <f>G474+J474</f>
        <v>18849.5</v>
      </c>
      <c r="N474" s="111">
        <f>SUM(H474)</f>
        <v>0</v>
      </c>
      <c r="O474" s="111">
        <f>I474+L474</f>
        <v>18849.5</v>
      </c>
      <c r="P474" s="97"/>
      <c r="Q474" s="97"/>
    </row>
    <row r="475" spans="1:17" ht="31.5" x14ac:dyDescent="0.2">
      <c r="A475" s="40"/>
      <c r="B475" s="113" t="s">
        <v>40</v>
      </c>
      <c r="C475" s="113" t="s">
        <v>477</v>
      </c>
      <c r="D475" s="133" t="s">
        <v>483</v>
      </c>
      <c r="E475" s="133" t="s">
        <v>499</v>
      </c>
      <c r="F475" s="134" t="s">
        <v>41</v>
      </c>
      <c r="G475" s="111">
        <v>6034.3</v>
      </c>
      <c r="H475" s="111"/>
      <c r="I475" s="111">
        <f>SUM(G475)+H475</f>
        <v>6034.3</v>
      </c>
      <c r="J475" s="115">
        <v>0</v>
      </c>
      <c r="K475" s="111"/>
      <c r="L475" s="115">
        <v>0</v>
      </c>
      <c r="M475" s="111">
        <f>SUM(G475)</f>
        <v>6034.3</v>
      </c>
      <c r="N475" s="111">
        <f>SUM(H475)</f>
        <v>0</v>
      </c>
      <c r="O475" s="111">
        <f>SUM(I475)</f>
        <v>6034.3</v>
      </c>
      <c r="P475" s="97"/>
      <c r="Q475" s="97"/>
    </row>
    <row r="476" spans="1:17" ht="39" customHeight="1" x14ac:dyDescent="0.2">
      <c r="A476" s="40"/>
      <c r="B476" s="113" t="s">
        <v>95</v>
      </c>
      <c r="C476" s="113" t="s">
        <v>477</v>
      </c>
      <c r="D476" s="133" t="s">
        <v>483</v>
      </c>
      <c r="E476" s="133" t="s">
        <v>499</v>
      </c>
      <c r="F476" s="134" t="s">
        <v>96</v>
      </c>
      <c r="G476" s="111">
        <f>75925300/1000+1213.2</f>
        <v>77138.5</v>
      </c>
      <c r="H476" s="111"/>
      <c r="I476" s="111">
        <f>75925300/1000+1213.2+H476</f>
        <v>77138.5</v>
      </c>
      <c r="J476" s="115">
        <v>13192.4</v>
      </c>
      <c r="K476" s="111"/>
      <c r="L476" s="111">
        <v>13192.4</v>
      </c>
      <c r="M476" s="111">
        <f>G476+J476</f>
        <v>90330.9</v>
      </c>
      <c r="N476" s="111">
        <f>SUM(K476)</f>
        <v>0</v>
      </c>
      <c r="O476" s="111">
        <f>I476+L476</f>
        <v>90330.9</v>
      </c>
      <c r="P476" s="97"/>
      <c r="Q476" s="97"/>
    </row>
    <row r="477" spans="1:17" ht="15.75" x14ac:dyDescent="0.2">
      <c r="A477" s="40"/>
      <c r="B477" s="113" t="s">
        <v>338</v>
      </c>
      <c r="C477" s="113" t="s">
        <v>477</v>
      </c>
      <c r="D477" s="133" t="s">
        <v>483</v>
      </c>
      <c r="E477" s="133" t="s">
        <v>499</v>
      </c>
      <c r="F477" s="134" t="s">
        <v>71</v>
      </c>
      <c r="G477" s="111">
        <v>22.1</v>
      </c>
      <c r="H477" s="111"/>
      <c r="I477" s="111">
        <v>22.1</v>
      </c>
      <c r="J477" s="115">
        <v>0</v>
      </c>
      <c r="K477" s="111"/>
      <c r="L477" s="115">
        <v>0</v>
      </c>
      <c r="M477" s="111">
        <f>18600/1000</f>
        <v>18.600000000000001</v>
      </c>
      <c r="N477" s="111">
        <f>SUM(H477)</f>
        <v>0</v>
      </c>
      <c r="O477" s="111">
        <f>18600/1000+N477</f>
        <v>18.600000000000001</v>
      </c>
      <c r="P477" s="97"/>
      <c r="Q477" s="97"/>
    </row>
    <row r="478" spans="1:17" ht="31.5" x14ac:dyDescent="0.2">
      <c r="A478" s="40"/>
      <c r="B478" s="113" t="s">
        <v>392</v>
      </c>
      <c r="C478" s="113">
        <v>993</v>
      </c>
      <c r="D478" s="133" t="s">
        <v>483</v>
      </c>
      <c r="E478" s="136" t="s">
        <v>600</v>
      </c>
      <c r="F478" s="134"/>
      <c r="G478" s="111">
        <v>523.29999999999995</v>
      </c>
      <c r="H478" s="111"/>
      <c r="I478" s="111">
        <f>SUM(H478)+G478</f>
        <v>523.29999999999995</v>
      </c>
      <c r="J478" s="115"/>
      <c r="K478" s="111"/>
      <c r="L478" s="115"/>
      <c r="M478" s="111">
        <f>SUM(G478)</f>
        <v>523.29999999999995</v>
      </c>
      <c r="N478" s="111">
        <f>SUM(H478)</f>
        <v>0</v>
      </c>
      <c r="O478" s="111">
        <f>SUM(I478)</f>
        <v>523.29999999999995</v>
      </c>
      <c r="P478" s="97"/>
      <c r="Q478" s="97"/>
    </row>
    <row r="479" spans="1:17" ht="47.25" x14ac:dyDescent="0.2">
      <c r="A479" s="40"/>
      <c r="B479" s="113" t="s">
        <v>95</v>
      </c>
      <c r="C479" s="113">
        <v>993</v>
      </c>
      <c r="D479" s="133" t="s">
        <v>483</v>
      </c>
      <c r="E479" s="136" t="s">
        <v>600</v>
      </c>
      <c r="F479" s="134">
        <v>600</v>
      </c>
      <c r="G479" s="111">
        <v>523.29999999999995</v>
      </c>
      <c r="H479" s="111"/>
      <c r="I479" s="111">
        <f>SUM(H479)+G479</f>
        <v>523.29999999999995</v>
      </c>
      <c r="J479" s="115"/>
      <c r="K479" s="111"/>
      <c r="L479" s="115"/>
      <c r="M479" s="111">
        <f>SUM(G479)</f>
        <v>523.29999999999995</v>
      </c>
      <c r="N479" s="111">
        <f>SUM(H479)</f>
        <v>0</v>
      </c>
      <c r="O479" s="111">
        <f>SUM(I479)</f>
        <v>523.29999999999995</v>
      </c>
      <c r="P479" s="97"/>
      <c r="Q479" s="97"/>
    </row>
    <row r="480" spans="1:17" ht="31.5" x14ac:dyDescent="0.2">
      <c r="A480" s="40"/>
      <c r="B480" s="113" t="s">
        <v>500</v>
      </c>
      <c r="C480" s="113">
        <v>993</v>
      </c>
      <c r="D480" s="133" t="s">
        <v>483</v>
      </c>
      <c r="E480" s="136" t="s">
        <v>501</v>
      </c>
      <c r="F480" s="134"/>
      <c r="G480" s="111">
        <f>SUM(F480)+G481</f>
        <v>2706.6</v>
      </c>
      <c r="H480" s="111">
        <f>SUM(H481)</f>
        <v>0</v>
      </c>
      <c r="I480" s="111">
        <f>SUM(G480)+H480</f>
        <v>2706.6</v>
      </c>
      <c r="J480" s="115">
        <f>SUM(J481)</f>
        <v>0</v>
      </c>
      <c r="K480" s="111">
        <f>SUM(K481)</f>
        <v>0</v>
      </c>
      <c r="L480" s="115">
        <f>SUM(J480)+K480</f>
        <v>0</v>
      </c>
      <c r="M480" s="111">
        <f>SUM(G480+J480)</f>
        <v>2706.6</v>
      </c>
      <c r="N480" s="111">
        <f>SUM(K480)+H480</f>
        <v>0</v>
      </c>
      <c r="O480" s="111">
        <f>SUM(I480)+L480</f>
        <v>2706.6</v>
      </c>
      <c r="P480" s="97"/>
      <c r="Q480" s="97"/>
    </row>
    <row r="481" spans="1:17" ht="47.25" x14ac:dyDescent="0.2">
      <c r="A481" s="40"/>
      <c r="B481" s="113" t="s">
        <v>95</v>
      </c>
      <c r="C481" s="113">
        <v>993</v>
      </c>
      <c r="D481" s="133" t="s">
        <v>483</v>
      </c>
      <c r="E481" s="136" t="s">
        <v>501</v>
      </c>
      <c r="F481" s="134">
        <v>600</v>
      </c>
      <c r="G481" s="111">
        <v>2706.6</v>
      </c>
      <c r="H481" s="111"/>
      <c r="I481" s="111">
        <f>SUM(G481)+H481</f>
        <v>2706.6</v>
      </c>
      <c r="J481" s="115">
        <v>0</v>
      </c>
      <c r="K481" s="111"/>
      <c r="L481" s="115">
        <f>SUM(J481)+K481</f>
        <v>0</v>
      </c>
      <c r="M481" s="111">
        <f>SUM(G481+J481)</f>
        <v>2706.6</v>
      </c>
      <c r="N481" s="111">
        <f>SUM(K481)+H481</f>
        <v>0</v>
      </c>
      <c r="O481" s="111">
        <f>SUM(I481)+L481</f>
        <v>2706.6</v>
      </c>
      <c r="P481" s="97"/>
      <c r="Q481" s="97"/>
    </row>
    <row r="482" spans="1:17" ht="47.25" x14ac:dyDescent="0.2">
      <c r="A482" s="40"/>
      <c r="B482" s="113" t="s">
        <v>283</v>
      </c>
      <c r="C482" s="113" t="s">
        <v>477</v>
      </c>
      <c r="D482" s="133" t="s">
        <v>483</v>
      </c>
      <c r="E482" s="133" t="s">
        <v>502</v>
      </c>
      <c r="F482" s="134" t="s">
        <v>11</v>
      </c>
      <c r="G482" s="111">
        <f>G483</f>
        <v>1214</v>
      </c>
      <c r="H482" s="111">
        <f>SUM(H483)</f>
        <v>336.2</v>
      </c>
      <c r="I482" s="111">
        <f>SUM(G482)+H482</f>
        <v>1550.2</v>
      </c>
      <c r="J482" s="114">
        <f t="shared" ref="J482:O482" si="94">J483</f>
        <v>0</v>
      </c>
      <c r="K482" s="111">
        <f t="shared" si="94"/>
        <v>0</v>
      </c>
      <c r="L482" s="114">
        <f t="shared" si="94"/>
        <v>0</v>
      </c>
      <c r="M482" s="111">
        <f t="shared" si="94"/>
        <v>1214</v>
      </c>
      <c r="N482" s="111">
        <f t="shared" si="94"/>
        <v>336.2</v>
      </c>
      <c r="O482" s="111">
        <f t="shared" si="94"/>
        <v>1550.2</v>
      </c>
      <c r="P482" s="97"/>
      <c r="Q482" s="97"/>
    </row>
    <row r="483" spans="1:17" ht="36" customHeight="1" x14ac:dyDescent="0.2">
      <c r="A483" s="40"/>
      <c r="B483" s="113" t="s">
        <v>95</v>
      </c>
      <c r="C483" s="113" t="s">
        <v>477</v>
      </c>
      <c r="D483" s="133" t="s">
        <v>483</v>
      </c>
      <c r="E483" s="133" t="s">
        <v>502</v>
      </c>
      <c r="F483" s="134" t="s">
        <v>96</v>
      </c>
      <c r="G483" s="111">
        <v>1214</v>
      </c>
      <c r="H483" s="111">
        <v>336.2</v>
      </c>
      <c r="I483" s="111">
        <f>SUM(G483)+H483</f>
        <v>1550.2</v>
      </c>
      <c r="J483" s="115"/>
      <c r="K483" s="111">
        <v>0</v>
      </c>
      <c r="L483" s="115">
        <f>SUM(J483:K483)</f>
        <v>0</v>
      </c>
      <c r="M483" s="111">
        <f>SUM(G483)</f>
        <v>1214</v>
      </c>
      <c r="N483" s="111">
        <f>H483+K483</f>
        <v>336.2</v>
      </c>
      <c r="O483" s="111">
        <f>SUM(M483)+N483</f>
        <v>1550.2</v>
      </c>
      <c r="P483" s="97"/>
      <c r="Q483" s="97"/>
    </row>
    <row r="484" spans="1:17" ht="79.150000000000006" customHeight="1" x14ac:dyDescent="0.2">
      <c r="A484" s="40"/>
      <c r="B484" s="118" t="s">
        <v>587</v>
      </c>
      <c r="C484" s="113" t="s">
        <v>477</v>
      </c>
      <c r="D484" s="133" t="s">
        <v>483</v>
      </c>
      <c r="E484" s="136" t="s">
        <v>586</v>
      </c>
      <c r="F484" s="134" t="s">
        <v>11</v>
      </c>
      <c r="G484" s="111"/>
      <c r="H484" s="111"/>
      <c r="I484" s="111"/>
      <c r="J484" s="115">
        <f t="shared" ref="J484:O484" si="95">J485</f>
        <v>500</v>
      </c>
      <c r="K484" s="111">
        <f t="shared" si="95"/>
        <v>0</v>
      </c>
      <c r="L484" s="115">
        <f t="shared" si="95"/>
        <v>500</v>
      </c>
      <c r="M484" s="111">
        <f t="shared" si="95"/>
        <v>500</v>
      </c>
      <c r="N484" s="111">
        <f t="shared" si="95"/>
        <v>0</v>
      </c>
      <c r="O484" s="111">
        <f t="shared" si="95"/>
        <v>500</v>
      </c>
      <c r="P484" s="97"/>
      <c r="Q484" s="97"/>
    </row>
    <row r="485" spans="1:17" ht="36" customHeight="1" x14ac:dyDescent="0.2">
      <c r="A485" s="40"/>
      <c r="B485" s="113" t="s">
        <v>95</v>
      </c>
      <c r="C485" s="113" t="s">
        <v>477</v>
      </c>
      <c r="D485" s="133" t="s">
        <v>483</v>
      </c>
      <c r="E485" s="136" t="s">
        <v>586</v>
      </c>
      <c r="F485" s="134" t="s">
        <v>96</v>
      </c>
      <c r="G485" s="111"/>
      <c r="H485" s="111"/>
      <c r="I485" s="111"/>
      <c r="J485" s="115">
        <v>500</v>
      </c>
      <c r="K485" s="111"/>
      <c r="L485" s="115">
        <f>SUM(J485:K485)</f>
        <v>500</v>
      </c>
      <c r="M485" s="111">
        <f>G485+J485</f>
        <v>500</v>
      </c>
      <c r="N485" s="111">
        <f>H485+K485</f>
        <v>0</v>
      </c>
      <c r="O485" s="111">
        <f>SUM(M485:N485)</f>
        <v>500</v>
      </c>
      <c r="P485" s="97"/>
      <c r="Q485" s="97"/>
    </row>
    <row r="486" spans="1:17" ht="31.5" x14ac:dyDescent="0.2">
      <c r="A486" s="40"/>
      <c r="B486" s="113" t="s">
        <v>503</v>
      </c>
      <c r="C486" s="113" t="s">
        <v>477</v>
      </c>
      <c r="D486" s="133" t="s">
        <v>483</v>
      </c>
      <c r="E486" s="133" t="s">
        <v>504</v>
      </c>
      <c r="F486" s="134" t="s">
        <v>11</v>
      </c>
      <c r="G486" s="111">
        <f>G487</f>
        <v>626.1</v>
      </c>
      <c r="H486" s="111">
        <f>SUM(H487)</f>
        <v>0</v>
      </c>
      <c r="I486" s="111">
        <f>I487</f>
        <v>626.1</v>
      </c>
      <c r="J486" s="114">
        <f>J487</f>
        <v>3846.2</v>
      </c>
      <c r="K486" s="111"/>
      <c r="L486" s="114">
        <f>L487</f>
        <v>3846.2</v>
      </c>
      <c r="M486" s="111">
        <f>M487</f>
        <v>4472.3999999999996</v>
      </c>
      <c r="N486" s="111">
        <f>N487</f>
        <v>0</v>
      </c>
      <c r="O486" s="111">
        <f>O487</f>
        <v>4472.3999999999996</v>
      </c>
      <c r="P486" s="97"/>
      <c r="Q486" s="97"/>
    </row>
    <row r="487" spans="1:17" ht="36" customHeight="1" x14ac:dyDescent="0.2">
      <c r="A487" s="40"/>
      <c r="B487" s="113" t="s">
        <v>95</v>
      </c>
      <c r="C487" s="113" t="s">
        <v>477</v>
      </c>
      <c r="D487" s="133" t="s">
        <v>483</v>
      </c>
      <c r="E487" s="133" t="s">
        <v>504</v>
      </c>
      <c r="F487" s="134" t="s">
        <v>96</v>
      </c>
      <c r="G487" s="111">
        <v>626.1</v>
      </c>
      <c r="H487" s="111"/>
      <c r="I487" s="111">
        <v>626.1</v>
      </c>
      <c r="J487" s="115">
        <v>3846.2</v>
      </c>
      <c r="K487" s="111"/>
      <c r="L487" s="115">
        <v>3846.2</v>
      </c>
      <c r="M487" s="111">
        <f>626.2+J487</f>
        <v>4472.3999999999996</v>
      </c>
      <c r="N487" s="111">
        <f>SUM(H487)</f>
        <v>0</v>
      </c>
      <c r="O487" s="111">
        <f>626.2+L487+N487</f>
        <v>4472.3999999999996</v>
      </c>
      <c r="P487" s="97"/>
      <c r="Q487" s="97"/>
    </row>
    <row r="488" spans="1:17" ht="16.899999999999999" customHeight="1" x14ac:dyDescent="0.2">
      <c r="A488" s="40"/>
      <c r="B488" s="135" t="s">
        <v>505</v>
      </c>
      <c r="C488" s="113">
        <v>993</v>
      </c>
      <c r="D488" s="133" t="s">
        <v>483</v>
      </c>
      <c r="E488" s="133" t="s">
        <v>506</v>
      </c>
      <c r="F488" s="134"/>
      <c r="G488" s="111">
        <v>254.4</v>
      </c>
      <c r="H488" s="111"/>
      <c r="I488" s="111">
        <v>254.4</v>
      </c>
      <c r="J488" s="115">
        <v>1562.5</v>
      </c>
      <c r="K488" s="111"/>
      <c r="L488" s="115">
        <v>1562.5</v>
      </c>
      <c r="M488" s="111">
        <f>254.4+J488</f>
        <v>1816.9</v>
      </c>
      <c r="N488" s="111"/>
      <c r="O488" s="111">
        <f>254.4+L488</f>
        <v>1816.9</v>
      </c>
      <c r="P488" s="97"/>
      <c r="Q488" s="97"/>
    </row>
    <row r="489" spans="1:17" ht="36" customHeight="1" x14ac:dyDescent="0.2">
      <c r="A489" s="40"/>
      <c r="B489" s="135" t="s">
        <v>507</v>
      </c>
      <c r="C489" s="113">
        <v>993</v>
      </c>
      <c r="D489" s="133" t="s">
        <v>483</v>
      </c>
      <c r="E489" s="133" t="s">
        <v>508</v>
      </c>
      <c r="F489" s="134"/>
      <c r="G489" s="111">
        <v>254.4</v>
      </c>
      <c r="H489" s="111"/>
      <c r="I489" s="111">
        <v>254.4</v>
      </c>
      <c r="J489" s="115">
        <v>1562.5</v>
      </c>
      <c r="K489" s="111"/>
      <c r="L489" s="115">
        <v>1562.5</v>
      </c>
      <c r="M489" s="111">
        <f>254.4+J489</f>
        <v>1816.9</v>
      </c>
      <c r="N489" s="111"/>
      <c r="O489" s="111">
        <f>254.4+L489</f>
        <v>1816.9</v>
      </c>
      <c r="P489" s="97"/>
      <c r="Q489" s="97"/>
    </row>
    <row r="490" spans="1:17" ht="36" customHeight="1" x14ac:dyDescent="0.2">
      <c r="A490" s="40"/>
      <c r="B490" s="113" t="s">
        <v>95</v>
      </c>
      <c r="C490" s="113">
        <v>993</v>
      </c>
      <c r="D490" s="133" t="s">
        <v>483</v>
      </c>
      <c r="E490" s="133" t="s">
        <v>508</v>
      </c>
      <c r="F490" s="134">
        <v>600</v>
      </c>
      <c r="G490" s="111">
        <v>254.4</v>
      </c>
      <c r="H490" s="109"/>
      <c r="I490" s="111">
        <v>254.4</v>
      </c>
      <c r="J490" s="115">
        <v>1562.5</v>
      </c>
      <c r="K490" s="109"/>
      <c r="L490" s="115">
        <v>1562.5</v>
      </c>
      <c r="M490" s="111">
        <f>254.4+J490</f>
        <v>1816.9</v>
      </c>
      <c r="N490" s="111"/>
      <c r="O490" s="111">
        <f>254.4+L490</f>
        <v>1816.9</v>
      </c>
      <c r="P490" s="97"/>
      <c r="Q490" s="97"/>
    </row>
    <row r="491" spans="1:17" ht="36" customHeight="1" x14ac:dyDescent="0.2">
      <c r="A491" s="40"/>
      <c r="B491" s="135" t="s">
        <v>459</v>
      </c>
      <c r="C491" s="113">
        <v>993</v>
      </c>
      <c r="D491" s="133" t="s">
        <v>483</v>
      </c>
      <c r="E491" s="133">
        <v>1300000000</v>
      </c>
      <c r="F491" s="134"/>
      <c r="G491" s="111"/>
      <c r="H491" s="109">
        <f>SUM(H492)</f>
        <v>0</v>
      </c>
      <c r="I491" s="111">
        <f>SUM(H492)</f>
        <v>0</v>
      </c>
      <c r="J491" s="115"/>
      <c r="K491" s="109"/>
      <c r="L491" s="115"/>
      <c r="M491" s="111"/>
      <c r="N491" s="111">
        <f t="shared" ref="N491:O494" si="96">SUM(H491)</f>
        <v>0</v>
      </c>
      <c r="O491" s="111">
        <f t="shared" si="96"/>
        <v>0</v>
      </c>
      <c r="P491" s="97"/>
      <c r="Q491" s="97"/>
    </row>
    <row r="492" spans="1:17" ht="36" customHeight="1" x14ac:dyDescent="0.2">
      <c r="A492" s="40"/>
      <c r="B492" s="135" t="s">
        <v>461</v>
      </c>
      <c r="C492" s="113">
        <v>993</v>
      </c>
      <c r="D492" s="133" t="s">
        <v>483</v>
      </c>
      <c r="E492" s="136" t="s">
        <v>462</v>
      </c>
      <c r="F492" s="134"/>
      <c r="G492" s="111"/>
      <c r="H492" s="109">
        <f>SUM(H493)</f>
        <v>0</v>
      </c>
      <c r="I492" s="111">
        <f>SUM(H493)</f>
        <v>0</v>
      </c>
      <c r="J492" s="115"/>
      <c r="K492" s="109"/>
      <c r="L492" s="115"/>
      <c r="M492" s="111"/>
      <c r="N492" s="111">
        <f t="shared" si="96"/>
        <v>0</v>
      </c>
      <c r="O492" s="111">
        <f t="shared" si="96"/>
        <v>0</v>
      </c>
      <c r="P492" s="97"/>
      <c r="Q492" s="97"/>
    </row>
    <row r="493" spans="1:17" ht="36" customHeight="1" x14ac:dyDescent="0.2">
      <c r="A493" s="40"/>
      <c r="B493" s="135" t="s">
        <v>463</v>
      </c>
      <c r="C493" s="113">
        <v>993</v>
      </c>
      <c r="D493" s="133" t="s">
        <v>483</v>
      </c>
      <c r="E493" s="136" t="s">
        <v>464</v>
      </c>
      <c r="F493" s="134"/>
      <c r="G493" s="111"/>
      <c r="H493" s="109">
        <f>SUM(H494)</f>
        <v>0</v>
      </c>
      <c r="I493" s="111">
        <f>SUM(H494)</f>
        <v>0</v>
      </c>
      <c r="J493" s="115"/>
      <c r="K493" s="109"/>
      <c r="L493" s="115"/>
      <c r="M493" s="111"/>
      <c r="N493" s="111">
        <f t="shared" si="96"/>
        <v>0</v>
      </c>
      <c r="O493" s="111">
        <f t="shared" si="96"/>
        <v>0</v>
      </c>
      <c r="P493" s="97"/>
      <c r="Q493" s="97"/>
    </row>
    <row r="494" spans="1:17" ht="36" customHeight="1" x14ac:dyDescent="0.2">
      <c r="A494" s="40"/>
      <c r="B494" s="113" t="s">
        <v>40</v>
      </c>
      <c r="C494" s="113">
        <v>993</v>
      </c>
      <c r="D494" s="133" t="s">
        <v>483</v>
      </c>
      <c r="E494" s="136" t="s">
        <v>464</v>
      </c>
      <c r="F494" s="134">
        <v>200</v>
      </c>
      <c r="G494" s="111"/>
      <c r="H494" s="109"/>
      <c r="I494" s="151">
        <f>SUM(H494)</f>
        <v>0</v>
      </c>
      <c r="J494" s="115"/>
      <c r="K494" s="109"/>
      <c r="L494" s="115"/>
      <c r="M494" s="111"/>
      <c r="N494" s="111">
        <f t="shared" si="96"/>
        <v>0</v>
      </c>
      <c r="O494" s="111">
        <f t="shared" si="96"/>
        <v>0</v>
      </c>
      <c r="P494" s="97"/>
      <c r="Q494" s="97"/>
    </row>
    <row r="495" spans="1:17" ht="15.75" x14ac:dyDescent="0.2">
      <c r="A495" s="33" t="s">
        <v>509</v>
      </c>
      <c r="B495" s="110" t="s">
        <v>510</v>
      </c>
      <c r="C495" s="110" t="s">
        <v>477</v>
      </c>
      <c r="D495" s="131" t="s">
        <v>511</v>
      </c>
      <c r="E495" s="131" t="s">
        <v>11</v>
      </c>
      <c r="F495" s="132" t="s">
        <v>11</v>
      </c>
      <c r="G495" s="109">
        <f t="shared" ref="G495:O499" si="97">G496</f>
        <v>11335.7</v>
      </c>
      <c r="H495" s="111">
        <f t="shared" si="97"/>
        <v>0</v>
      </c>
      <c r="I495" s="109">
        <f t="shared" si="97"/>
        <v>11335.7</v>
      </c>
      <c r="J495" s="112">
        <f t="shared" si="97"/>
        <v>266.2</v>
      </c>
      <c r="K495" s="111">
        <f>K496</f>
        <v>0</v>
      </c>
      <c r="L495" s="112">
        <f t="shared" si="97"/>
        <v>266.2</v>
      </c>
      <c r="M495" s="109">
        <f>M496</f>
        <v>11601.900000000001</v>
      </c>
      <c r="N495" s="109">
        <f t="shared" si="97"/>
        <v>0</v>
      </c>
      <c r="O495" s="109">
        <f t="shared" si="97"/>
        <v>11601.900000000001</v>
      </c>
      <c r="P495" s="97"/>
      <c r="Q495" s="97"/>
    </row>
    <row r="496" spans="1:17" ht="31.5" x14ac:dyDescent="0.2">
      <c r="A496" s="40"/>
      <c r="B496" s="113" t="s">
        <v>484</v>
      </c>
      <c r="C496" s="113" t="s">
        <v>477</v>
      </c>
      <c r="D496" s="133" t="s">
        <v>511</v>
      </c>
      <c r="E496" s="133" t="s">
        <v>485</v>
      </c>
      <c r="F496" s="134" t="s">
        <v>11</v>
      </c>
      <c r="G496" s="111">
        <f t="shared" si="97"/>
        <v>11335.7</v>
      </c>
      <c r="H496" s="111">
        <f t="shared" si="97"/>
        <v>0</v>
      </c>
      <c r="I496" s="111">
        <f t="shared" si="97"/>
        <v>11335.7</v>
      </c>
      <c r="J496" s="114">
        <f t="shared" si="97"/>
        <v>266.2</v>
      </c>
      <c r="K496" s="111">
        <f>K497</f>
        <v>0</v>
      </c>
      <c r="L496" s="114">
        <f t="shared" si="97"/>
        <v>266.2</v>
      </c>
      <c r="M496" s="111">
        <f t="shared" si="97"/>
        <v>11601.900000000001</v>
      </c>
      <c r="N496" s="111">
        <f t="shared" si="97"/>
        <v>0</v>
      </c>
      <c r="O496" s="111">
        <f t="shared" si="97"/>
        <v>11601.900000000001</v>
      </c>
      <c r="P496" s="97"/>
      <c r="Q496" s="97"/>
    </row>
    <row r="497" spans="1:17" ht="47.25" x14ac:dyDescent="0.2">
      <c r="A497" s="40"/>
      <c r="B497" s="113" t="s">
        <v>495</v>
      </c>
      <c r="C497" s="113" t="s">
        <v>477</v>
      </c>
      <c r="D497" s="133" t="s">
        <v>511</v>
      </c>
      <c r="E497" s="133" t="s">
        <v>496</v>
      </c>
      <c r="F497" s="134" t="s">
        <v>11</v>
      </c>
      <c r="G497" s="111">
        <f t="shared" si="97"/>
        <v>11335.7</v>
      </c>
      <c r="H497" s="111">
        <f t="shared" si="97"/>
        <v>0</v>
      </c>
      <c r="I497" s="111">
        <f t="shared" si="97"/>
        <v>11335.7</v>
      </c>
      <c r="J497" s="114">
        <f t="shared" si="97"/>
        <v>266.2</v>
      </c>
      <c r="K497" s="111">
        <f>K498</f>
        <v>0</v>
      </c>
      <c r="L497" s="114">
        <f t="shared" si="97"/>
        <v>266.2</v>
      </c>
      <c r="M497" s="111">
        <f t="shared" si="97"/>
        <v>11601.900000000001</v>
      </c>
      <c r="N497" s="111">
        <f t="shared" si="97"/>
        <v>0</v>
      </c>
      <c r="O497" s="111">
        <f t="shared" si="97"/>
        <v>11601.900000000001</v>
      </c>
      <c r="P497" s="97"/>
      <c r="Q497" s="97"/>
    </row>
    <row r="498" spans="1:17" ht="47.25" x14ac:dyDescent="0.2">
      <c r="A498" s="40"/>
      <c r="B498" s="113" t="s">
        <v>497</v>
      </c>
      <c r="C498" s="113" t="s">
        <v>477</v>
      </c>
      <c r="D498" s="133" t="s">
        <v>511</v>
      </c>
      <c r="E498" s="133" t="s">
        <v>498</v>
      </c>
      <c r="F498" s="134" t="s">
        <v>11</v>
      </c>
      <c r="G498" s="111">
        <f>G499+G501</f>
        <v>11335.7</v>
      </c>
      <c r="H498" s="111">
        <f>SUM(H499)</f>
        <v>0</v>
      </c>
      <c r="I498" s="111">
        <f>I499+I501</f>
        <v>11335.7</v>
      </c>
      <c r="J498" s="114">
        <f t="shared" si="97"/>
        <v>266.2</v>
      </c>
      <c r="K498" s="111">
        <f>K499</f>
        <v>0</v>
      </c>
      <c r="L498" s="114">
        <f t="shared" si="97"/>
        <v>266.2</v>
      </c>
      <c r="M498" s="111">
        <f>M499+M501</f>
        <v>11601.900000000001</v>
      </c>
      <c r="N498" s="111">
        <f>SUM(K498)</f>
        <v>0</v>
      </c>
      <c r="O498" s="111">
        <f>O499+O501</f>
        <v>11601.900000000001</v>
      </c>
      <c r="P498" s="97"/>
      <c r="Q498" s="97"/>
    </row>
    <row r="499" spans="1:17" ht="31.5" x14ac:dyDescent="0.2">
      <c r="A499" s="40"/>
      <c r="B499" s="113" t="s">
        <v>134</v>
      </c>
      <c r="C499" s="113" t="s">
        <v>477</v>
      </c>
      <c r="D499" s="133" t="s">
        <v>511</v>
      </c>
      <c r="E499" s="133" t="s">
        <v>499</v>
      </c>
      <c r="F499" s="134" t="s">
        <v>11</v>
      </c>
      <c r="G499" s="111">
        <f>G500</f>
        <v>10735.7</v>
      </c>
      <c r="H499" s="109"/>
      <c r="I499" s="111">
        <f>I500</f>
        <v>10735.7</v>
      </c>
      <c r="J499" s="114">
        <f t="shared" si="97"/>
        <v>266.2</v>
      </c>
      <c r="K499" s="109"/>
      <c r="L499" s="114">
        <f t="shared" si="97"/>
        <v>266.2</v>
      </c>
      <c r="M499" s="111">
        <f t="shared" si="97"/>
        <v>11001.900000000001</v>
      </c>
      <c r="N499" s="111">
        <f t="shared" si="97"/>
        <v>0</v>
      </c>
      <c r="O499" s="111">
        <f t="shared" si="97"/>
        <v>11001.900000000001</v>
      </c>
      <c r="P499" s="97"/>
      <c r="Q499" s="97"/>
    </row>
    <row r="500" spans="1:17" ht="36.6" customHeight="1" x14ac:dyDescent="0.2">
      <c r="A500" s="40"/>
      <c r="B500" s="113" t="s">
        <v>95</v>
      </c>
      <c r="C500" s="113" t="s">
        <v>477</v>
      </c>
      <c r="D500" s="133" t="s">
        <v>511</v>
      </c>
      <c r="E500" s="133" t="s">
        <v>499</v>
      </c>
      <c r="F500" s="134" t="s">
        <v>96</v>
      </c>
      <c r="G500" s="111">
        <f>10735700/1000</f>
        <v>10735.7</v>
      </c>
      <c r="H500" s="109"/>
      <c r="I500" s="111">
        <f>10735700/1000+H500</f>
        <v>10735.7</v>
      </c>
      <c r="J500" s="115">
        <v>266.2</v>
      </c>
      <c r="K500" s="109"/>
      <c r="L500" s="115">
        <v>266.2</v>
      </c>
      <c r="M500" s="111">
        <f>G500+J500</f>
        <v>11001.900000000001</v>
      </c>
      <c r="N500" s="111">
        <f>SUM(K500)</f>
        <v>0</v>
      </c>
      <c r="O500" s="111">
        <f>I500+L500</f>
        <v>11001.900000000001</v>
      </c>
      <c r="P500" s="97"/>
      <c r="Q500" s="97"/>
    </row>
    <row r="501" spans="1:17" ht="36.6" customHeight="1" x14ac:dyDescent="0.2">
      <c r="A501" s="40"/>
      <c r="B501" s="113" t="s">
        <v>283</v>
      </c>
      <c r="C501" s="113">
        <v>993</v>
      </c>
      <c r="D501" s="133" t="s">
        <v>511</v>
      </c>
      <c r="E501" s="133" t="s">
        <v>502</v>
      </c>
      <c r="F501" s="134"/>
      <c r="G501" s="111">
        <f>SUM(G502)</f>
        <v>600</v>
      </c>
      <c r="H501" s="109"/>
      <c r="I501" s="111">
        <f>SUM(G501)</f>
        <v>600</v>
      </c>
      <c r="J501" s="115"/>
      <c r="K501" s="109"/>
      <c r="L501" s="115"/>
      <c r="M501" s="111">
        <f t="shared" ref="M501:O502" si="98">SUM(G501)</f>
        <v>600</v>
      </c>
      <c r="N501" s="111">
        <f t="shared" si="98"/>
        <v>0</v>
      </c>
      <c r="O501" s="111">
        <f t="shared" si="98"/>
        <v>600</v>
      </c>
      <c r="P501" s="97"/>
      <c r="Q501" s="97"/>
    </row>
    <row r="502" spans="1:17" ht="36.6" customHeight="1" x14ac:dyDescent="0.2">
      <c r="A502" s="40"/>
      <c r="B502" s="113" t="s">
        <v>95</v>
      </c>
      <c r="C502" s="113">
        <v>993</v>
      </c>
      <c r="D502" s="133" t="s">
        <v>511</v>
      </c>
      <c r="E502" s="133" t="s">
        <v>502</v>
      </c>
      <c r="F502" s="134">
        <v>600</v>
      </c>
      <c r="G502" s="111">
        <v>600</v>
      </c>
      <c r="H502" s="109"/>
      <c r="I502" s="111">
        <f>SUM(G502)</f>
        <v>600</v>
      </c>
      <c r="J502" s="115"/>
      <c r="K502" s="109"/>
      <c r="L502" s="115"/>
      <c r="M502" s="111">
        <f t="shared" si="98"/>
        <v>600</v>
      </c>
      <c r="N502" s="111">
        <f t="shared" si="98"/>
        <v>0</v>
      </c>
      <c r="O502" s="111">
        <f t="shared" si="98"/>
        <v>600</v>
      </c>
      <c r="P502" s="97"/>
      <c r="Q502" s="97"/>
    </row>
    <row r="503" spans="1:17" ht="31.5" x14ac:dyDescent="0.2">
      <c r="A503" s="33" t="s">
        <v>512</v>
      </c>
      <c r="B503" s="110" t="s">
        <v>513</v>
      </c>
      <c r="C503" s="110" t="s">
        <v>477</v>
      </c>
      <c r="D503" s="131" t="s">
        <v>514</v>
      </c>
      <c r="E503" s="131" t="s">
        <v>11</v>
      </c>
      <c r="F503" s="132" t="s">
        <v>11</v>
      </c>
      <c r="G503" s="109">
        <f>G504</f>
        <v>17755.099999999999</v>
      </c>
      <c r="H503" s="111">
        <f>H504+H515</f>
        <v>545.6</v>
      </c>
      <c r="I503" s="109">
        <f>I504</f>
        <v>18300.7</v>
      </c>
      <c r="J503" s="112">
        <f>J504</f>
        <v>407.6</v>
      </c>
      <c r="K503" s="111">
        <f>K504+K515</f>
        <v>0</v>
      </c>
      <c r="L503" s="112">
        <f>L504</f>
        <v>407.6</v>
      </c>
      <c r="M503" s="109">
        <f>M504</f>
        <v>18161.7</v>
      </c>
      <c r="N503" s="109">
        <f>N504</f>
        <v>545.6</v>
      </c>
      <c r="O503" s="109">
        <f>O504</f>
        <v>18708.3</v>
      </c>
      <c r="P503" s="97"/>
      <c r="Q503" s="97"/>
    </row>
    <row r="504" spans="1:17" ht="31.5" x14ac:dyDescent="0.2">
      <c r="A504" s="40"/>
      <c r="B504" s="113" t="s">
        <v>484</v>
      </c>
      <c r="C504" s="113" t="s">
        <v>477</v>
      </c>
      <c r="D504" s="133" t="s">
        <v>514</v>
      </c>
      <c r="E504" s="133" t="s">
        <v>485</v>
      </c>
      <c r="F504" s="134" t="s">
        <v>11</v>
      </c>
      <c r="G504" s="111">
        <f>G505+G516</f>
        <v>17755.099999999999</v>
      </c>
      <c r="H504" s="111">
        <f>H505+H509+H516</f>
        <v>545.6</v>
      </c>
      <c r="I504" s="111">
        <f>I505+I516</f>
        <v>18300.7</v>
      </c>
      <c r="J504" s="114">
        <f>J505+J516</f>
        <v>407.6</v>
      </c>
      <c r="K504" s="111">
        <f>K505+K509</f>
        <v>0</v>
      </c>
      <c r="L504" s="114">
        <f>L505+L516</f>
        <v>407.6</v>
      </c>
      <c r="M504" s="111">
        <f>M505+M516</f>
        <v>18161.7</v>
      </c>
      <c r="N504" s="111">
        <f>N505+N516</f>
        <v>545.6</v>
      </c>
      <c r="O504" s="111">
        <f>O505+O516</f>
        <v>18708.3</v>
      </c>
      <c r="P504" s="97"/>
      <c r="Q504" s="97"/>
    </row>
    <row r="505" spans="1:17" ht="47.25" x14ac:dyDescent="0.2">
      <c r="A505" s="40"/>
      <c r="B505" s="113" t="s">
        <v>495</v>
      </c>
      <c r="C505" s="113" t="s">
        <v>477</v>
      </c>
      <c r="D505" s="133" t="s">
        <v>514</v>
      </c>
      <c r="E505" s="133" t="s">
        <v>496</v>
      </c>
      <c r="F505" s="134" t="s">
        <v>11</v>
      </c>
      <c r="G505" s="111">
        <f>G506+G511</f>
        <v>15664.5</v>
      </c>
      <c r="H505" s="111">
        <f>H506+H511</f>
        <v>545.6</v>
      </c>
      <c r="I505" s="111">
        <f>I506+I511</f>
        <v>16210.1</v>
      </c>
      <c r="J505" s="114">
        <f>J506+J511</f>
        <v>407.6</v>
      </c>
      <c r="K505" s="111">
        <f>K506</f>
        <v>0</v>
      </c>
      <c r="L505" s="114">
        <f>L506+L511</f>
        <v>407.6</v>
      </c>
      <c r="M505" s="111">
        <f>M506+M511</f>
        <v>16071.1</v>
      </c>
      <c r="N505" s="111">
        <f>N506+N511</f>
        <v>545.6</v>
      </c>
      <c r="O505" s="111">
        <f>O506+O511</f>
        <v>16617.7</v>
      </c>
      <c r="P505" s="97"/>
      <c r="Q505" s="97"/>
    </row>
    <row r="506" spans="1:17" ht="47.25" x14ac:dyDescent="0.2">
      <c r="A506" s="40"/>
      <c r="B506" s="113" t="s">
        <v>497</v>
      </c>
      <c r="C506" s="113" t="s">
        <v>477</v>
      </c>
      <c r="D506" s="133" t="s">
        <v>514</v>
      </c>
      <c r="E506" s="133" t="s">
        <v>498</v>
      </c>
      <c r="F506" s="134" t="s">
        <v>11</v>
      </c>
      <c r="G506" s="111">
        <f>G507</f>
        <v>4948</v>
      </c>
      <c r="H506" s="111">
        <f>H507+H508+H510</f>
        <v>0</v>
      </c>
      <c r="I506" s="111">
        <f>I507</f>
        <v>4948</v>
      </c>
      <c r="J506" s="114">
        <f>J507</f>
        <v>407.6</v>
      </c>
      <c r="K506" s="111"/>
      <c r="L506" s="114">
        <f>L507</f>
        <v>407.6</v>
      </c>
      <c r="M506" s="111">
        <f>M507</f>
        <v>5354.6</v>
      </c>
      <c r="N506" s="111">
        <f>N507</f>
        <v>0</v>
      </c>
      <c r="O506" s="111">
        <f>O507</f>
        <v>5355.6</v>
      </c>
      <c r="P506" s="97"/>
      <c r="Q506" s="97"/>
    </row>
    <row r="507" spans="1:17" ht="31.5" x14ac:dyDescent="0.2">
      <c r="A507" s="40"/>
      <c r="B507" s="113" t="s">
        <v>134</v>
      </c>
      <c r="C507" s="113" t="s">
        <v>477</v>
      </c>
      <c r="D507" s="133" t="s">
        <v>514</v>
      </c>
      <c r="E507" s="133" t="s">
        <v>499</v>
      </c>
      <c r="F507" s="134" t="s">
        <v>11</v>
      </c>
      <c r="G507" s="111">
        <f>G508+G509+G510</f>
        <v>4948</v>
      </c>
      <c r="H507" s="111"/>
      <c r="I507" s="111">
        <v>4948</v>
      </c>
      <c r="J507" s="114">
        <f>J508+J509</f>
        <v>407.6</v>
      </c>
      <c r="K507" s="111"/>
      <c r="L507" s="114">
        <f>L508+L509</f>
        <v>407.6</v>
      </c>
      <c r="M507" s="111">
        <f>M508+M509</f>
        <v>5354.6</v>
      </c>
      <c r="N507" s="111">
        <f>N508+N509+N510</f>
        <v>0</v>
      </c>
      <c r="O507" s="111">
        <f>O508+O509+O510</f>
        <v>5355.6</v>
      </c>
      <c r="P507" s="97"/>
      <c r="Q507" s="97"/>
    </row>
    <row r="508" spans="1:17" ht="78.75" x14ac:dyDescent="0.2">
      <c r="A508" s="40"/>
      <c r="B508" s="113" t="s">
        <v>61</v>
      </c>
      <c r="C508" s="113" t="s">
        <v>477</v>
      </c>
      <c r="D508" s="133" t="s">
        <v>514</v>
      </c>
      <c r="E508" s="133" t="s">
        <v>499</v>
      </c>
      <c r="F508" s="134" t="s">
        <v>62</v>
      </c>
      <c r="G508" s="111">
        <v>4348.6000000000004</v>
      </c>
      <c r="H508" s="111"/>
      <c r="I508" s="111">
        <v>4348.6000000000004</v>
      </c>
      <c r="J508" s="115">
        <v>407.6</v>
      </c>
      <c r="K508" s="111"/>
      <c r="L508" s="115">
        <f>SUM(J508)</f>
        <v>407.6</v>
      </c>
      <c r="M508" s="111">
        <f>G508+J508</f>
        <v>4756.2000000000007</v>
      </c>
      <c r="N508" s="111">
        <f>SUM(H508)</f>
        <v>0</v>
      </c>
      <c r="O508" s="111">
        <f>I508+L508</f>
        <v>4756.2000000000007</v>
      </c>
      <c r="P508" s="97"/>
      <c r="Q508" s="97"/>
    </row>
    <row r="509" spans="1:17" ht="31.5" x14ac:dyDescent="0.2">
      <c r="A509" s="40"/>
      <c r="B509" s="113" t="s">
        <v>40</v>
      </c>
      <c r="C509" s="113" t="s">
        <v>477</v>
      </c>
      <c r="D509" s="133" t="s">
        <v>514</v>
      </c>
      <c r="E509" s="133" t="s">
        <v>499</v>
      </c>
      <c r="F509" s="134" t="s">
        <v>41</v>
      </c>
      <c r="G509" s="111">
        <v>598.4</v>
      </c>
      <c r="H509" s="111"/>
      <c r="I509" s="111">
        <f>SUM(G509+H509)</f>
        <v>598.4</v>
      </c>
      <c r="J509" s="115"/>
      <c r="K509" s="111"/>
      <c r="L509" s="115"/>
      <c r="M509" s="111">
        <f>SUM(G509)</f>
        <v>598.4</v>
      </c>
      <c r="N509" s="111">
        <f>SUM(H509)</f>
        <v>0</v>
      </c>
      <c r="O509" s="111">
        <f>SUM(M509+N509)</f>
        <v>598.4</v>
      </c>
      <c r="P509" s="97"/>
      <c r="Q509" s="97"/>
    </row>
    <row r="510" spans="1:17" ht="15.75" x14ac:dyDescent="0.2">
      <c r="A510" s="40"/>
      <c r="B510" s="113" t="s">
        <v>70</v>
      </c>
      <c r="C510" s="113">
        <v>993</v>
      </c>
      <c r="D510" s="133" t="s">
        <v>514</v>
      </c>
      <c r="E510" s="133" t="s">
        <v>499</v>
      </c>
      <c r="F510" s="134">
        <v>800</v>
      </c>
      <c r="G510" s="111">
        <v>1</v>
      </c>
      <c r="H510" s="111"/>
      <c r="I510" s="111">
        <v>1</v>
      </c>
      <c r="J510" s="115"/>
      <c r="K510" s="111"/>
      <c r="L510" s="115"/>
      <c r="M510" s="111">
        <f>SUM(G510)</f>
        <v>1</v>
      </c>
      <c r="N510" s="111">
        <f>SUM(H510)</f>
        <v>0</v>
      </c>
      <c r="O510" s="111">
        <f>SUM(I510)</f>
        <v>1</v>
      </c>
      <c r="P510" s="97"/>
      <c r="Q510" s="97"/>
    </row>
    <row r="511" spans="1:17" ht="47.25" x14ac:dyDescent="0.2">
      <c r="A511" s="40"/>
      <c r="B511" s="113" t="s">
        <v>515</v>
      </c>
      <c r="C511" s="113" t="s">
        <v>477</v>
      </c>
      <c r="D511" s="133" t="s">
        <v>514</v>
      </c>
      <c r="E511" s="133" t="s">
        <v>516</v>
      </c>
      <c r="F511" s="134" t="s">
        <v>11</v>
      </c>
      <c r="G511" s="111">
        <f>G512</f>
        <v>10716.5</v>
      </c>
      <c r="H511" s="111">
        <f>H512</f>
        <v>545.6</v>
      </c>
      <c r="I511" s="111">
        <f>I512</f>
        <v>11262.1</v>
      </c>
      <c r="J511" s="114">
        <f>J512</f>
        <v>0</v>
      </c>
      <c r="K511" s="111">
        <f>K512+K513+K514</f>
        <v>0</v>
      </c>
      <c r="L511" s="114">
        <f>L512</f>
        <v>0</v>
      </c>
      <c r="M511" s="111">
        <f>M512</f>
        <v>10716.5</v>
      </c>
      <c r="N511" s="111">
        <f>N512</f>
        <v>545.6</v>
      </c>
      <c r="O511" s="111">
        <f>O512</f>
        <v>11262.1</v>
      </c>
      <c r="P511" s="97"/>
      <c r="Q511" s="97"/>
    </row>
    <row r="512" spans="1:17" ht="31.5" x14ac:dyDescent="0.2">
      <c r="A512" s="40"/>
      <c r="B512" s="113" t="s">
        <v>134</v>
      </c>
      <c r="C512" s="113" t="s">
        <v>477</v>
      </c>
      <c r="D512" s="133" t="s">
        <v>514</v>
      </c>
      <c r="E512" s="133" t="s">
        <v>517</v>
      </c>
      <c r="F512" s="134" t="s">
        <v>11</v>
      </c>
      <c r="G512" s="111">
        <f>G513+G514+G515</f>
        <v>10716.5</v>
      </c>
      <c r="H512" s="111">
        <f>SUM(H513+H514)</f>
        <v>545.6</v>
      </c>
      <c r="I512" s="111">
        <f>I513+I514+I515</f>
        <v>11262.1</v>
      </c>
      <c r="J512" s="114">
        <f>J513+J514+J515</f>
        <v>0</v>
      </c>
      <c r="K512" s="111"/>
      <c r="L512" s="114">
        <f>L513+L514+L515</f>
        <v>0</v>
      </c>
      <c r="M512" s="111">
        <f>M513+M514+M515</f>
        <v>10716.5</v>
      </c>
      <c r="N512" s="111">
        <f>N513+N514+N515</f>
        <v>545.6</v>
      </c>
      <c r="O512" s="111">
        <f>O513+O514+O515</f>
        <v>11262.1</v>
      </c>
      <c r="P512" s="97"/>
      <c r="Q512" s="97"/>
    </row>
    <row r="513" spans="1:17" ht="78.75" x14ac:dyDescent="0.2">
      <c r="A513" s="40"/>
      <c r="B513" s="113" t="s">
        <v>61</v>
      </c>
      <c r="C513" s="113" t="s">
        <v>477</v>
      </c>
      <c r="D513" s="133" t="s">
        <v>514</v>
      </c>
      <c r="E513" s="133" t="s">
        <v>517</v>
      </c>
      <c r="F513" s="134" t="s">
        <v>62</v>
      </c>
      <c r="G513" s="111">
        <v>9288.5</v>
      </c>
      <c r="H513" s="111">
        <v>545.6</v>
      </c>
      <c r="I513" s="111">
        <f>SUM(G513)+H513</f>
        <v>9834.1</v>
      </c>
      <c r="J513" s="115">
        <v>0</v>
      </c>
      <c r="K513" s="111"/>
      <c r="L513" s="115">
        <v>0</v>
      </c>
      <c r="M513" s="111">
        <f t="shared" ref="M513:O514" si="99">SUM(G513)</f>
        <v>9288.5</v>
      </c>
      <c r="N513" s="111">
        <f t="shared" si="99"/>
        <v>545.6</v>
      </c>
      <c r="O513" s="111">
        <f t="shared" si="99"/>
        <v>9834.1</v>
      </c>
      <c r="P513" s="97"/>
      <c r="Q513" s="97"/>
    </row>
    <row r="514" spans="1:17" ht="31.5" x14ac:dyDescent="0.2">
      <c r="A514" s="40"/>
      <c r="B514" s="113" t="s">
        <v>40</v>
      </c>
      <c r="C514" s="113" t="s">
        <v>477</v>
      </c>
      <c r="D514" s="133" t="s">
        <v>514</v>
      </c>
      <c r="E514" s="133" t="s">
        <v>517</v>
      </c>
      <c r="F514" s="134" t="s">
        <v>41</v>
      </c>
      <c r="G514" s="111">
        <v>1426.9</v>
      </c>
      <c r="H514" s="111"/>
      <c r="I514" s="111">
        <f>SUM(G514)</f>
        <v>1426.9</v>
      </c>
      <c r="J514" s="115">
        <v>0</v>
      </c>
      <c r="K514" s="111"/>
      <c r="L514" s="115">
        <v>0</v>
      </c>
      <c r="M514" s="111">
        <f t="shared" si="99"/>
        <v>1426.9</v>
      </c>
      <c r="N514" s="111">
        <f t="shared" si="99"/>
        <v>0</v>
      </c>
      <c r="O514" s="111">
        <f t="shared" si="99"/>
        <v>1426.9</v>
      </c>
      <c r="P514" s="97"/>
      <c r="Q514" s="97"/>
    </row>
    <row r="515" spans="1:17" ht="15.75" x14ac:dyDescent="0.2">
      <c r="A515" s="40"/>
      <c r="B515" s="113" t="s">
        <v>70</v>
      </c>
      <c r="C515" s="113" t="s">
        <v>477</v>
      </c>
      <c r="D515" s="133" t="s">
        <v>514</v>
      </c>
      <c r="E515" s="133" t="s">
        <v>517</v>
      </c>
      <c r="F515" s="134" t="s">
        <v>71</v>
      </c>
      <c r="G515" s="111">
        <f>1100/1000</f>
        <v>1.1000000000000001</v>
      </c>
      <c r="H515" s="111"/>
      <c r="I515" s="111">
        <f>1100/1000</f>
        <v>1.1000000000000001</v>
      </c>
      <c r="J515" s="115">
        <v>0</v>
      </c>
      <c r="K515" s="111"/>
      <c r="L515" s="115">
        <v>0</v>
      </c>
      <c r="M515" s="111">
        <f>1100/1000</f>
        <v>1.1000000000000001</v>
      </c>
      <c r="N515" s="111"/>
      <c r="O515" s="111">
        <f>1100/1000</f>
        <v>1.1000000000000001</v>
      </c>
      <c r="P515" s="97"/>
      <c r="Q515" s="97"/>
    </row>
    <row r="516" spans="1:17" ht="31.5" x14ac:dyDescent="0.2">
      <c r="A516" s="40"/>
      <c r="B516" s="113" t="s">
        <v>518</v>
      </c>
      <c r="C516" s="113" t="s">
        <v>477</v>
      </c>
      <c r="D516" s="133" t="s">
        <v>514</v>
      </c>
      <c r="E516" s="133" t="s">
        <v>519</v>
      </c>
      <c r="F516" s="134" t="s">
        <v>11</v>
      </c>
      <c r="G516" s="111">
        <f t="shared" ref="G516:O517" si="100">G517</f>
        <v>2090.6</v>
      </c>
      <c r="H516" s="111">
        <f t="shared" si="100"/>
        <v>0</v>
      </c>
      <c r="I516" s="111">
        <f t="shared" si="100"/>
        <v>2090.6</v>
      </c>
      <c r="J516" s="114">
        <f t="shared" si="100"/>
        <v>0</v>
      </c>
      <c r="K516" s="111">
        <f t="shared" si="100"/>
        <v>0</v>
      </c>
      <c r="L516" s="114">
        <f t="shared" si="100"/>
        <v>0</v>
      </c>
      <c r="M516" s="111">
        <f t="shared" si="100"/>
        <v>2090.6</v>
      </c>
      <c r="N516" s="111">
        <f t="shared" si="100"/>
        <v>0</v>
      </c>
      <c r="O516" s="111">
        <f t="shared" si="100"/>
        <v>2090.6</v>
      </c>
      <c r="P516" s="97"/>
      <c r="Q516" s="97"/>
    </row>
    <row r="517" spans="1:17" ht="31.5" x14ac:dyDescent="0.2">
      <c r="A517" s="40"/>
      <c r="B517" s="113" t="s">
        <v>520</v>
      </c>
      <c r="C517" s="113" t="s">
        <v>477</v>
      </c>
      <c r="D517" s="133" t="s">
        <v>514</v>
      </c>
      <c r="E517" s="133" t="s">
        <v>521</v>
      </c>
      <c r="F517" s="134" t="s">
        <v>11</v>
      </c>
      <c r="G517" s="111">
        <f t="shared" si="100"/>
        <v>2090.6</v>
      </c>
      <c r="H517" s="111">
        <f>H518</f>
        <v>0</v>
      </c>
      <c r="I517" s="111">
        <f t="shared" si="100"/>
        <v>2090.6</v>
      </c>
      <c r="J517" s="114">
        <f t="shared" si="100"/>
        <v>0</v>
      </c>
      <c r="K517" s="111">
        <f>K518+K519</f>
        <v>0</v>
      </c>
      <c r="L517" s="114">
        <f t="shared" si="100"/>
        <v>0</v>
      </c>
      <c r="M517" s="111">
        <f t="shared" si="100"/>
        <v>2090.6</v>
      </c>
      <c r="N517" s="111">
        <f>SUM(H517)</f>
        <v>0</v>
      </c>
      <c r="O517" s="111">
        <f t="shared" si="100"/>
        <v>2090.6</v>
      </c>
      <c r="P517" s="97"/>
      <c r="Q517" s="97"/>
    </row>
    <row r="518" spans="1:17" ht="31.5" x14ac:dyDescent="0.2">
      <c r="A518" s="40"/>
      <c r="B518" s="113" t="s">
        <v>38</v>
      </c>
      <c r="C518" s="113" t="s">
        <v>477</v>
      </c>
      <c r="D518" s="133" t="s">
        <v>514</v>
      </c>
      <c r="E518" s="133" t="s">
        <v>522</v>
      </c>
      <c r="F518" s="134" t="s">
        <v>11</v>
      </c>
      <c r="G518" s="111">
        <f>G519+G520+G521</f>
        <v>2090.6</v>
      </c>
      <c r="H518" s="111"/>
      <c r="I518" s="111">
        <f>I519+I520+I521</f>
        <v>2090.6</v>
      </c>
      <c r="J518" s="114">
        <f>J519+J520</f>
        <v>0</v>
      </c>
      <c r="K518" s="111"/>
      <c r="L518" s="114">
        <f>L519+L520</f>
        <v>0</v>
      </c>
      <c r="M518" s="111">
        <f>M519+M520+M521</f>
        <v>2090.6</v>
      </c>
      <c r="N518" s="111"/>
      <c r="O518" s="111">
        <f>O519+O520+O521</f>
        <v>2090.6</v>
      </c>
      <c r="P518" s="97"/>
      <c r="Q518" s="97"/>
    </row>
    <row r="519" spans="1:17" ht="78.75" x14ac:dyDescent="0.2">
      <c r="A519" s="40"/>
      <c r="B519" s="113" t="s">
        <v>61</v>
      </c>
      <c r="C519" s="113" t="s">
        <v>477</v>
      </c>
      <c r="D519" s="133" t="s">
        <v>514</v>
      </c>
      <c r="E519" s="133" t="s">
        <v>522</v>
      </c>
      <c r="F519" s="134" t="s">
        <v>62</v>
      </c>
      <c r="G519" s="111">
        <v>2080.1</v>
      </c>
      <c r="H519" s="111"/>
      <c r="I519" s="111">
        <f>SUM(G519)+H519</f>
        <v>2080.1</v>
      </c>
      <c r="J519" s="115">
        <v>0</v>
      </c>
      <c r="K519" s="111"/>
      <c r="L519" s="115">
        <v>0</v>
      </c>
      <c r="M519" s="111">
        <f t="shared" ref="M519:O521" si="101">SUM(G519)</f>
        <v>2080.1</v>
      </c>
      <c r="N519" s="111">
        <f t="shared" si="101"/>
        <v>0</v>
      </c>
      <c r="O519" s="111">
        <f t="shared" si="101"/>
        <v>2080.1</v>
      </c>
      <c r="P519" s="97"/>
      <c r="Q519" s="97"/>
    </row>
    <row r="520" spans="1:17" ht="31.5" x14ac:dyDescent="0.2">
      <c r="A520" s="40"/>
      <c r="B520" s="113" t="s">
        <v>40</v>
      </c>
      <c r="C520" s="113" t="s">
        <v>477</v>
      </c>
      <c r="D520" s="133" t="s">
        <v>514</v>
      </c>
      <c r="E520" s="133" t="s">
        <v>522</v>
      </c>
      <c r="F520" s="134" t="s">
        <v>41</v>
      </c>
      <c r="G520" s="111">
        <v>9.5</v>
      </c>
      <c r="H520" s="106"/>
      <c r="I520" s="111">
        <f>SUM(G520)</f>
        <v>9.5</v>
      </c>
      <c r="J520" s="115">
        <v>0</v>
      </c>
      <c r="K520" s="106"/>
      <c r="L520" s="115">
        <v>0</v>
      </c>
      <c r="M520" s="111">
        <f t="shared" si="101"/>
        <v>9.5</v>
      </c>
      <c r="N520" s="111">
        <f t="shared" si="101"/>
        <v>0</v>
      </c>
      <c r="O520" s="111">
        <f t="shared" si="101"/>
        <v>9.5</v>
      </c>
      <c r="P520" s="97"/>
      <c r="Q520" s="97"/>
    </row>
    <row r="521" spans="1:17" ht="15.75" x14ac:dyDescent="0.2">
      <c r="A521" s="40"/>
      <c r="B521" s="113" t="s">
        <v>70</v>
      </c>
      <c r="C521" s="113" t="s">
        <v>477</v>
      </c>
      <c r="D521" s="133" t="s">
        <v>514</v>
      </c>
      <c r="E521" s="133" t="s">
        <v>522</v>
      </c>
      <c r="F521" s="134">
        <v>800</v>
      </c>
      <c r="G521" s="111">
        <v>1</v>
      </c>
      <c r="H521" s="106">
        <v>0</v>
      </c>
      <c r="I521" s="111">
        <f>SUM(H521)+G521</f>
        <v>1</v>
      </c>
      <c r="J521" s="115"/>
      <c r="K521" s="106"/>
      <c r="L521" s="115"/>
      <c r="M521" s="111">
        <f t="shared" si="101"/>
        <v>1</v>
      </c>
      <c r="N521" s="111">
        <f t="shared" si="101"/>
        <v>0</v>
      </c>
      <c r="O521" s="111">
        <f t="shared" si="101"/>
        <v>1</v>
      </c>
      <c r="P521" s="97"/>
      <c r="Q521" s="97"/>
    </row>
    <row r="522" spans="1:17" ht="47.25" x14ac:dyDescent="0.2">
      <c r="A522" s="20" t="s">
        <v>523</v>
      </c>
      <c r="B522" s="107" t="s">
        <v>524</v>
      </c>
      <c r="C522" s="107" t="s">
        <v>525</v>
      </c>
      <c r="D522" s="129" t="s">
        <v>11</v>
      </c>
      <c r="E522" s="129" t="s">
        <v>11</v>
      </c>
      <c r="F522" s="130" t="s">
        <v>11</v>
      </c>
      <c r="G522" s="106">
        <f>G523+G538</f>
        <v>24798.1</v>
      </c>
      <c r="H522" s="106">
        <f>H523+H538</f>
        <v>0</v>
      </c>
      <c r="I522" s="106">
        <f>I523+I538</f>
        <v>24798.1</v>
      </c>
      <c r="J522" s="108">
        <f>J523+J538</f>
        <v>0</v>
      </c>
      <c r="K522" s="106">
        <f>K523</f>
        <v>0</v>
      </c>
      <c r="L522" s="108">
        <f>L523+L538</f>
        <v>0</v>
      </c>
      <c r="M522" s="106">
        <f>M523+M538</f>
        <v>24798.1</v>
      </c>
      <c r="N522" s="106">
        <f>N523+N538</f>
        <v>0</v>
      </c>
      <c r="O522" s="106">
        <f>O523+O538</f>
        <v>24798.1</v>
      </c>
      <c r="P522" s="97"/>
      <c r="Q522" s="97"/>
    </row>
    <row r="523" spans="1:17" ht="15.75" x14ac:dyDescent="0.2">
      <c r="A523" s="20" t="s">
        <v>526</v>
      </c>
      <c r="B523" s="107" t="s">
        <v>30</v>
      </c>
      <c r="C523" s="107" t="s">
        <v>525</v>
      </c>
      <c r="D523" s="129" t="s">
        <v>31</v>
      </c>
      <c r="E523" s="129" t="s">
        <v>11</v>
      </c>
      <c r="F523" s="130" t="s">
        <v>11</v>
      </c>
      <c r="G523" s="106">
        <f t="shared" ref="G523:O525" si="102">G524</f>
        <v>13161.599999999999</v>
      </c>
      <c r="H523" s="109">
        <f t="shared" si="102"/>
        <v>0</v>
      </c>
      <c r="I523" s="106">
        <f t="shared" si="102"/>
        <v>13161.599999999999</v>
      </c>
      <c r="J523" s="108">
        <f t="shared" si="102"/>
        <v>0</v>
      </c>
      <c r="K523" s="109">
        <f>K524</f>
        <v>0</v>
      </c>
      <c r="L523" s="108">
        <f t="shared" si="102"/>
        <v>0</v>
      </c>
      <c r="M523" s="106">
        <f t="shared" si="102"/>
        <v>13161.599999999999</v>
      </c>
      <c r="N523" s="106">
        <f t="shared" si="102"/>
        <v>0</v>
      </c>
      <c r="O523" s="106">
        <f t="shared" si="102"/>
        <v>13161.599999999999</v>
      </c>
      <c r="P523" s="97"/>
      <c r="Q523" s="97"/>
    </row>
    <row r="524" spans="1:17" ht="15.75" x14ac:dyDescent="0.2">
      <c r="A524" s="33" t="s">
        <v>527</v>
      </c>
      <c r="B524" s="110" t="s">
        <v>85</v>
      </c>
      <c r="C524" s="110" t="s">
        <v>525</v>
      </c>
      <c r="D524" s="131" t="s">
        <v>86</v>
      </c>
      <c r="E524" s="131" t="s">
        <v>11</v>
      </c>
      <c r="F524" s="132" t="s">
        <v>11</v>
      </c>
      <c r="G524" s="109">
        <f t="shared" si="102"/>
        <v>13161.599999999999</v>
      </c>
      <c r="H524" s="111">
        <f t="shared" si="102"/>
        <v>0</v>
      </c>
      <c r="I524" s="109">
        <f t="shared" si="102"/>
        <v>13161.599999999999</v>
      </c>
      <c r="J524" s="112">
        <f t="shared" si="102"/>
        <v>0</v>
      </c>
      <c r="K524" s="111">
        <f>K525</f>
        <v>0</v>
      </c>
      <c r="L524" s="112">
        <f t="shared" si="102"/>
        <v>0</v>
      </c>
      <c r="M524" s="109">
        <f t="shared" si="102"/>
        <v>13161.599999999999</v>
      </c>
      <c r="N524" s="109">
        <f t="shared" si="102"/>
        <v>0</v>
      </c>
      <c r="O524" s="109">
        <f t="shared" si="102"/>
        <v>13161.599999999999</v>
      </c>
      <c r="P524" s="97"/>
      <c r="Q524" s="97"/>
    </row>
    <row r="525" spans="1:17" ht="31.5" x14ac:dyDescent="0.2">
      <c r="A525" s="40"/>
      <c r="B525" s="113" t="s">
        <v>128</v>
      </c>
      <c r="C525" s="113" t="s">
        <v>525</v>
      </c>
      <c r="D525" s="133" t="s">
        <v>86</v>
      </c>
      <c r="E525" s="133" t="s">
        <v>129</v>
      </c>
      <c r="F525" s="134" t="s">
        <v>11</v>
      </c>
      <c r="G525" s="111">
        <f t="shared" si="102"/>
        <v>13161.599999999999</v>
      </c>
      <c r="H525" s="111">
        <f t="shared" si="102"/>
        <v>0</v>
      </c>
      <c r="I525" s="111">
        <f t="shared" si="102"/>
        <v>13161.599999999999</v>
      </c>
      <c r="J525" s="114">
        <f t="shared" si="102"/>
        <v>0</v>
      </c>
      <c r="K525" s="111">
        <f>K526+K530</f>
        <v>0</v>
      </c>
      <c r="L525" s="114">
        <f t="shared" si="102"/>
        <v>0</v>
      </c>
      <c r="M525" s="111">
        <f t="shared" si="102"/>
        <v>13161.599999999999</v>
      </c>
      <c r="N525" s="111">
        <f t="shared" si="102"/>
        <v>0</v>
      </c>
      <c r="O525" s="111">
        <f t="shared" si="102"/>
        <v>13161.599999999999</v>
      </c>
      <c r="P525" s="97"/>
      <c r="Q525" s="97"/>
    </row>
    <row r="526" spans="1:17" ht="31.5" x14ac:dyDescent="0.2">
      <c r="A526" s="40"/>
      <c r="B526" s="113" t="s">
        <v>528</v>
      </c>
      <c r="C526" s="113" t="s">
        <v>525</v>
      </c>
      <c r="D526" s="133" t="s">
        <v>86</v>
      </c>
      <c r="E526" s="133" t="s">
        <v>529</v>
      </c>
      <c r="F526" s="134" t="s">
        <v>11</v>
      </c>
      <c r="G526" s="111">
        <f>G527+G531</f>
        <v>13161.599999999999</v>
      </c>
      <c r="H526" s="111">
        <f>H527+H531</f>
        <v>0</v>
      </c>
      <c r="I526" s="111">
        <f>I527+I531</f>
        <v>13161.599999999999</v>
      </c>
      <c r="J526" s="114">
        <f>J527+J531</f>
        <v>0</v>
      </c>
      <c r="K526" s="111">
        <f>K527</f>
        <v>0</v>
      </c>
      <c r="L526" s="114">
        <f>L527+L531</f>
        <v>0</v>
      </c>
      <c r="M526" s="111">
        <f>M527+M531</f>
        <v>13161.599999999999</v>
      </c>
      <c r="N526" s="111">
        <f>N527+N531</f>
        <v>0</v>
      </c>
      <c r="O526" s="111">
        <f>O527+O531</f>
        <v>13161.599999999999</v>
      </c>
      <c r="P526" s="97"/>
      <c r="Q526" s="97"/>
    </row>
    <row r="527" spans="1:17" ht="47.25" x14ac:dyDescent="0.2">
      <c r="A527" s="40"/>
      <c r="B527" s="113" t="s">
        <v>530</v>
      </c>
      <c r="C527" s="113" t="s">
        <v>525</v>
      </c>
      <c r="D527" s="133" t="s">
        <v>86</v>
      </c>
      <c r="E527" s="133" t="s">
        <v>531</v>
      </c>
      <c r="F527" s="134" t="s">
        <v>11</v>
      </c>
      <c r="G527" s="111">
        <f>G528</f>
        <v>3784.2</v>
      </c>
      <c r="H527" s="111">
        <f>H528</f>
        <v>0</v>
      </c>
      <c r="I527" s="111">
        <f>I528</f>
        <v>3784.2</v>
      </c>
      <c r="J527" s="114">
        <f>J528</f>
        <v>0</v>
      </c>
      <c r="K527" s="111"/>
      <c r="L527" s="114">
        <f>L528</f>
        <v>0</v>
      </c>
      <c r="M527" s="111">
        <f>M528</f>
        <v>3784.2</v>
      </c>
      <c r="N527" s="111">
        <f>N528</f>
        <v>0</v>
      </c>
      <c r="O527" s="111">
        <f>O528</f>
        <v>3784.2</v>
      </c>
      <c r="P527" s="97"/>
      <c r="Q527" s="97"/>
    </row>
    <row r="528" spans="1:17" ht="31.5" x14ac:dyDescent="0.2">
      <c r="A528" s="40"/>
      <c r="B528" s="113" t="s">
        <v>38</v>
      </c>
      <c r="C528" s="113" t="s">
        <v>525</v>
      </c>
      <c r="D528" s="133" t="s">
        <v>86</v>
      </c>
      <c r="E528" s="133" t="s">
        <v>532</v>
      </c>
      <c r="F528" s="134" t="s">
        <v>11</v>
      </c>
      <c r="G528" s="111">
        <f>G529+G530</f>
        <v>3784.2</v>
      </c>
      <c r="H528" s="111">
        <f>SUM(H529)+H530</f>
        <v>0</v>
      </c>
      <c r="I528" s="111">
        <f>I529+I530</f>
        <v>3784.2</v>
      </c>
      <c r="J528" s="114">
        <f>J529+J530</f>
        <v>0</v>
      </c>
      <c r="K528" s="111"/>
      <c r="L528" s="114">
        <f>L529+L530</f>
        <v>0</v>
      </c>
      <c r="M528" s="111">
        <f>M529+M530</f>
        <v>3784.2</v>
      </c>
      <c r="N528" s="111">
        <f>N529+N530</f>
        <v>0</v>
      </c>
      <c r="O528" s="111">
        <f>O529+O530</f>
        <v>3784.2</v>
      </c>
      <c r="P528" s="97"/>
      <c r="Q528" s="97"/>
    </row>
    <row r="529" spans="1:17" ht="78.75" x14ac:dyDescent="0.2">
      <c r="A529" s="40"/>
      <c r="B529" s="113" t="s">
        <v>61</v>
      </c>
      <c r="C529" s="113" t="s">
        <v>525</v>
      </c>
      <c r="D529" s="133" t="s">
        <v>86</v>
      </c>
      <c r="E529" s="133" t="s">
        <v>532</v>
      </c>
      <c r="F529" s="134" t="s">
        <v>62</v>
      </c>
      <c r="G529" s="111">
        <v>3766.6</v>
      </c>
      <c r="H529" s="111"/>
      <c r="I529" s="111">
        <f>SUM(G529)+H529</f>
        <v>3766.6</v>
      </c>
      <c r="J529" s="115">
        <v>0</v>
      </c>
      <c r="K529" s="111"/>
      <c r="L529" s="115">
        <v>0</v>
      </c>
      <c r="M529" s="111">
        <f t="shared" ref="M529:O530" si="103">SUM(G529)</f>
        <v>3766.6</v>
      </c>
      <c r="N529" s="111">
        <f t="shared" si="103"/>
        <v>0</v>
      </c>
      <c r="O529" s="111">
        <f t="shared" si="103"/>
        <v>3766.6</v>
      </c>
      <c r="P529" s="97"/>
      <c r="Q529" s="97"/>
    </row>
    <row r="530" spans="1:17" ht="31.5" x14ac:dyDescent="0.2">
      <c r="A530" s="40"/>
      <c r="B530" s="113" t="s">
        <v>40</v>
      </c>
      <c r="C530" s="113" t="s">
        <v>525</v>
      </c>
      <c r="D530" s="133" t="s">
        <v>86</v>
      </c>
      <c r="E530" s="133" t="s">
        <v>532</v>
      </c>
      <c r="F530" s="134" t="s">
        <v>41</v>
      </c>
      <c r="G530" s="111">
        <v>17.600000000000001</v>
      </c>
      <c r="H530" s="111"/>
      <c r="I530" s="111">
        <f>SUM(G530)</f>
        <v>17.600000000000001</v>
      </c>
      <c r="J530" s="115">
        <v>0</v>
      </c>
      <c r="K530" s="111">
        <f>K531</f>
        <v>0</v>
      </c>
      <c r="L530" s="115">
        <v>0</v>
      </c>
      <c r="M530" s="111">
        <f t="shared" si="103"/>
        <v>17.600000000000001</v>
      </c>
      <c r="N530" s="111">
        <f t="shared" si="103"/>
        <v>0</v>
      </c>
      <c r="O530" s="111">
        <f t="shared" si="103"/>
        <v>17.600000000000001</v>
      </c>
      <c r="P530" s="97"/>
      <c r="Q530" s="97"/>
    </row>
    <row r="531" spans="1:17" ht="47.25" x14ac:dyDescent="0.2">
      <c r="A531" s="40"/>
      <c r="B531" s="113" t="s">
        <v>533</v>
      </c>
      <c r="C531" s="113" t="s">
        <v>525</v>
      </c>
      <c r="D531" s="133" t="s">
        <v>86</v>
      </c>
      <c r="E531" s="133" t="s">
        <v>534</v>
      </c>
      <c r="F531" s="134" t="s">
        <v>11</v>
      </c>
      <c r="G531" s="111">
        <f>G532+G536</f>
        <v>9377.4</v>
      </c>
      <c r="H531" s="111">
        <f>SUM(H532)+H536</f>
        <v>0</v>
      </c>
      <c r="I531" s="111">
        <f>I532+I536</f>
        <v>9377.4</v>
      </c>
      <c r="J531" s="114">
        <f>J532</f>
        <v>0</v>
      </c>
      <c r="K531" s="111">
        <f>K532+K533</f>
        <v>0</v>
      </c>
      <c r="L531" s="114">
        <f>L532</f>
        <v>0</v>
      </c>
      <c r="M531" s="111">
        <f>M532+M536</f>
        <v>9377.4</v>
      </c>
      <c r="N531" s="111">
        <f>N532+N536</f>
        <v>0</v>
      </c>
      <c r="O531" s="111">
        <f>O532+O536</f>
        <v>9377.4</v>
      </c>
      <c r="P531" s="97"/>
      <c r="Q531" s="97"/>
    </row>
    <row r="532" spans="1:17" ht="47.25" x14ac:dyDescent="0.2">
      <c r="A532" s="40"/>
      <c r="B532" s="113" t="s">
        <v>535</v>
      </c>
      <c r="C532" s="113" t="s">
        <v>525</v>
      </c>
      <c r="D532" s="133" t="s">
        <v>86</v>
      </c>
      <c r="E532" s="133" t="s">
        <v>536</v>
      </c>
      <c r="F532" s="134" t="s">
        <v>11</v>
      </c>
      <c r="G532" s="111">
        <f>G533+G534</f>
        <v>1517.4</v>
      </c>
      <c r="H532" s="111">
        <f>H533+H534</f>
        <v>0</v>
      </c>
      <c r="I532" s="111">
        <f>I533+I534</f>
        <v>1517.4</v>
      </c>
      <c r="J532" s="114">
        <f>J533+J534</f>
        <v>0</v>
      </c>
      <c r="K532" s="111"/>
      <c r="L532" s="114">
        <f>L533+L534</f>
        <v>0</v>
      </c>
      <c r="M532" s="111">
        <f>M533+M534</f>
        <v>1517.4</v>
      </c>
      <c r="N532" s="111">
        <f>N533+N534</f>
        <v>0</v>
      </c>
      <c r="O532" s="111">
        <f>O533+O534</f>
        <v>1517.4</v>
      </c>
      <c r="P532" s="97"/>
      <c r="Q532" s="97"/>
    </row>
    <row r="533" spans="1:17" ht="31.5" x14ac:dyDescent="0.2">
      <c r="A533" s="40"/>
      <c r="B533" s="113" t="s">
        <v>40</v>
      </c>
      <c r="C533" s="113" t="s">
        <v>525</v>
      </c>
      <c r="D533" s="133" t="s">
        <v>86</v>
      </c>
      <c r="E533" s="133" t="s">
        <v>536</v>
      </c>
      <c r="F533" s="134" t="s">
        <v>41</v>
      </c>
      <c r="G533" s="111">
        <v>1517.4</v>
      </c>
      <c r="H533" s="111"/>
      <c r="I533" s="111">
        <f>SUM(G533)+H533</f>
        <v>1517.4</v>
      </c>
      <c r="J533" s="115">
        <v>0</v>
      </c>
      <c r="K533" s="111"/>
      <c r="L533" s="115">
        <v>0</v>
      </c>
      <c r="M533" s="111">
        <f>SUM(G533)</f>
        <v>1517.4</v>
      </c>
      <c r="N533" s="111">
        <f>SUM(H533)</f>
        <v>0</v>
      </c>
      <c r="O533" s="111">
        <f>SUM(I533)</f>
        <v>1517.4</v>
      </c>
      <c r="P533" s="97"/>
      <c r="Q533" s="97"/>
    </row>
    <row r="534" spans="1:17" ht="15.75" x14ac:dyDescent="0.2">
      <c r="A534" s="40"/>
      <c r="B534" s="113" t="s">
        <v>70</v>
      </c>
      <c r="C534" s="113" t="s">
        <v>525</v>
      </c>
      <c r="D534" s="133" t="s">
        <v>86</v>
      </c>
      <c r="E534" s="133" t="s">
        <v>536</v>
      </c>
      <c r="F534" s="134" t="s">
        <v>71</v>
      </c>
      <c r="G534" s="111">
        <v>0</v>
      </c>
      <c r="H534" s="106"/>
      <c r="I534" s="111">
        <v>0</v>
      </c>
      <c r="J534" s="115">
        <v>0</v>
      </c>
      <c r="K534" s="106">
        <f>K538</f>
        <v>0</v>
      </c>
      <c r="L534" s="115">
        <v>0</v>
      </c>
      <c r="M534" s="111">
        <v>0</v>
      </c>
      <c r="N534" s="111">
        <f>SUM(H534)</f>
        <v>0</v>
      </c>
      <c r="O534" s="111">
        <v>0</v>
      </c>
      <c r="P534" s="97"/>
      <c r="Q534" s="97"/>
    </row>
    <row r="535" spans="1:17" ht="0.75" customHeight="1" x14ac:dyDescent="0.2">
      <c r="A535" s="40"/>
      <c r="B535" s="113"/>
      <c r="C535" s="113">
        <v>995</v>
      </c>
      <c r="D535" s="133" t="s">
        <v>86</v>
      </c>
      <c r="E535" s="133">
        <v>1230300000</v>
      </c>
      <c r="F535" s="134"/>
      <c r="G535" s="111"/>
      <c r="H535" s="106"/>
      <c r="I535" s="111"/>
      <c r="J535" s="115"/>
      <c r="K535" s="106"/>
      <c r="L535" s="115"/>
      <c r="M535" s="111"/>
      <c r="N535" s="111"/>
      <c r="O535" s="111"/>
      <c r="P535" s="97"/>
      <c r="Q535" s="97"/>
    </row>
    <row r="536" spans="1:17" ht="47.25" x14ac:dyDescent="0.2">
      <c r="A536" s="40"/>
      <c r="B536" s="113" t="s">
        <v>597</v>
      </c>
      <c r="C536" s="113"/>
      <c r="D536" s="133" t="s">
        <v>86</v>
      </c>
      <c r="E536" s="133">
        <v>1230320330</v>
      </c>
      <c r="F536" s="134"/>
      <c r="G536" s="111">
        <v>7860</v>
      </c>
      <c r="H536" s="111">
        <f>SUM(H537)</f>
        <v>0</v>
      </c>
      <c r="I536" s="111">
        <f>SUM(H536)+G536</f>
        <v>7860</v>
      </c>
      <c r="J536" s="115"/>
      <c r="K536" s="106"/>
      <c r="L536" s="115"/>
      <c r="M536" s="111">
        <f t="shared" ref="M536:O537" si="104">SUM(G536)</f>
        <v>7860</v>
      </c>
      <c r="N536" s="111">
        <f t="shared" si="104"/>
        <v>0</v>
      </c>
      <c r="O536" s="111">
        <f t="shared" si="104"/>
        <v>7860</v>
      </c>
      <c r="P536" s="97"/>
      <c r="Q536" s="97"/>
    </row>
    <row r="537" spans="1:17" ht="31.5" x14ac:dyDescent="0.2">
      <c r="A537" s="40"/>
      <c r="B537" s="113" t="s">
        <v>225</v>
      </c>
      <c r="C537" s="113">
        <v>995</v>
      </c>
      <c r="D537" s="133" t="s">
        <v>86</v>
      </c>
      <c r="E537" s="133">
        <v>1230320330</v>
      </c>
      <c r="F537" s="134">
        <v>400</v>
      </c>
      <c r="G537" s="111">
        <v>7860</v>
      </c>
      <c r="H537" s="111"/>
      <c r="I537" s="111">
        <f>SUM(G537)</f>
        <v>7860</v>
      </c>
      <c r="J537" s="115"/>
      <c r="K537" s="106"/>
      <c r="L537" s="115"/>
      <c r="M537" s="111">
        <f t="shared" si="104"/>
        <v>7860</v>
      </c>
      <c r="N537" s="111">
        <f t="shared" si="104"/>
        <v>0</v>
      </c>
      <c r="O537" s="111">
        <f t="shared" si="104"/>
        <v>7860</v>
      </c>
      <c r="P537" s="97"/>
      <c r="Q537" s="97"/>
    </row>
    <row r="538" spans="1:17" ht="15.75" x14ac:dyDescent="0.2">
      <c r="A538" s="20" t="s">
        <v>537</v>
      </c>
      <c r="B538" s="107" t="s">
        <v>213</v>
      </c>
      <c r="C538" s="107" t="s">
        <v>525</v>
      </c>
      <c r="D538" s="129" t="s">
        <v>214</v>
      </c>
      <c r="E538" s="129" t="s">
        <v>11</v>
      </c>
      <c r="F538" s="130" t="s">
        <v>11</v>
      </c>
      <c r="G538" s="106">
        <f t="shared" ref="G538:O543" si="105">G539</f>
        <v>11636.5</v>
      </c>
      <c r="H538" s="109">
        <f t="shared" si="105"/>
        <v>0</v>
      </c>
      <c r="I538" s="106">
        <f t="shared" si="105"/>
        <v>11636.5</v>
      </c>
      <c r="J538" s="108">
        <f t="shared" si="105"/>
        <v>0</v>
      </c>
      <c r="K538" s="109">
        <f t="shared" si="105"/>
        <v>0</v>
      </c>
      <c r="L538" s="108">
        <f t="shared" si="105"/>
        <v>0</v>
      </c>
      <c r="M538" s="106">
        <f t="shared" si="105"/>
        <v>11636.5</v>
      </c>
      <c r="N538" s="106">
        <f t="shared" si="105"/>
        <v>0</v>
      </c>
      <c r="O538" s="106">
        <f t="shared" si="105"/>
        <v>11636.5</v>
      </c>
      <c r="P538" s="97"/>
      <c r="Q538" s="97"/>
    </row>
    <row r="539" spans="1:17" ht="26.45" customHeight="1" x14ac:dyDescent="0.2">
      <c r="A539" s="33" t="s">
        <v>538</v>
      </c>
      <c r="B539" s="110" t="s">
        <v>261</v>
      </c>
      <c r="C539" s="110" t="s">
        <v>525</v>
      </c>
      <c r="D539" s="131" t="s">
        <v>262</v>
      </c>
      <c r="E539" s="131" t="s">
        <v>11</v>
      </c>
      <c r="F539" s="132" t="s">
        <v>11</v>
      </c>
      <c r="G539" s="109">
        <f t="shared" si="105"/>
        <v>11636.5</v>
      </c>
      <c r="H539" s="111">
        <f t="shared" si="105"/>
        <v>0</v>
      </c>
      <c r="I539" s="109">
        <f t="shared" si="105"/>
        <v>11636.5</v>
      </c>
      <c r="J539" s="112">
        <f t="shared" si="105"/>
        <v>0</v>
      </c>
      <c r="K539" s="111">
        <f t="shared" si="105"/>
        <v>0</v>
      </c>
      <c r="L539" s="112">
        <f t="shared" si="105"/>
        <v>0</v>
      </c>
      <c r="M539" s="109">
        <f t="shared" si="105"/>
        <v>11636.5</v>
      </c>
      <c r="N539" s="109">
        <f t="shared" si="105"/>
        <v>0</v>
      </c>
      <c r="O539" s="109">
        <f t="shared" si="105"/>
        <v>11636.5</v>
      </c>
      <c r="P539" s="97"/>
      <c r="Q539" s="97"/>
    </row>
    <row r="540" spans="1:17" ht="31.5" x14ac:dyDescent="0.2">
      <c r="A540" s="40"/>
      <c r="B540" s="113" t="s">
        <v>128</v>
      </c>
      <c r="C540" s="113" t="s">
        <v>525</v>
      </c>
      <c r="D540" s="133" t="s">
        <v>262</v>
      </c>
      <c r="E540" s="133" t="s">
        <v>129</v>
      </c>
      <c r="F540" s="134" t="s">
        <v>11</v>
      </c>
      <c r="G540" s="111">
        <f t="shared" si="105"/>
        <v>11636.5</v>
      </c>
      <c r="H540" s="111">
        <f t="shared" si="105"/>
        <v>0</v>
      </c>
      <c r="I540" s="111">
        <f t="shared" si="105"/>
        <v>11636.5</v>
      </c>
      <c r="J540" s="114">
        <f t="shared" si="105"/>
        <v>0</v>
      </c>
      <c r="K540" s="111">
        <f t="shared" si="105"/>
        <v>0</v>
      </c>
      <c r="L540" s="114">
        <f t="shared" si="105"/>
        <v>0</v>
      </c>
      <c r="M540" s="111">
        <f t="shared" si="105"/>
        <v>11636.5</v>
      </c>
      <c r="N540" s="111">
        <f t="shared" si="105"/>
        <v>0</v>
      </c>
      <c r="O540" s="111">
        <f t="shared" si="105"/>
        <v>11636.5</v>
      </c>
      <c r="P540" s="97"/>
      <c r="Q540" s="97"/>
    </row>
    <row r="541" spans="1:17" ht="31.5" x14ac:dyDescent="0.2">
      <c r="A541" s="40"/>
      <c r="B541" s="113" t="s">
        <v>528</v>
      </c>
      <c r="C541" s="113" t="s">
        <v>525</v>
      </c>
      <c r="D541" s="133" t="s">
        <v>262</v>
      </c>
      <c r="E541" s="133" t="s">
        <v>529</v>
      </c>
      <c r="F541" s="134" t="s">
        <v>11</v>
      </c>
      <c r="G541" s="111">
        <f t="shared" si="105"/>
        <v>11636.5</v>
      </c>
      <c r="H541" s="111">
        <f t="shared" si="105"/>
        <v>0</v>
      </c>
      <c r="I541" s="111">
        <f t="shared" si="105"/>
        <v>11636.5</v>
      </c>
      <c r="J541" s="114">
        <f t="shared" si="105"/>
        <v>0</v>
      </c>
      <c r="K541" s="111">
        <f t="shared" si="105"/>
        <v>0</v>
      </c>
      <c r="L541" s="114">
        <f t="shared" si="105"/>
        <v>0</v>
      </c>
      <c r="M541" s="111">
        <f t="shared" si="105"/>
        <v>11636.5</v>
      </c>
      <c r="N541" s="111">
        <f t="shared" si="105"/>
        <v>0</v>
      </c>
      <c r="O541" s="111">
        <f t="shared" si="105"/>
        <v>11636.5</v>
      </c>
      <c r="P541" s="97"/>
      <c r="Q541" s="97"/>
    </row>
    <row r="542" spans="1:17" ht="47.25" x14ac:dyDescent="0.2">
      <c r="A542" s="40"/>
      <c r="B542" s="113" t="s">
        <v>539</v>
      </c>
      <c r="C542" s="113" t="s">
        <v>525</v>
      </c>
      <c r="D542" s="133" t="s">
        <v>262</v>
      </c>
      <c r="E542" s="133" t="s">
        <v>540</v>
      </c>
      <c r="F542" s="134" t="s">
        <v>11</v>
      </c>
      <c r="G542" s="111">
        <f t="shared" si="105"/>
        <v>11636.5</v>
      </c>
      <c r="H542" s="111">
        <f t="shared" si="105"/>
        <v>0</v>
      </c>
      <c r="I542" s="111">
        <f t="shared" si="105"/>
        <v>11636.5</v>
      </c>
      <c r="J542" s="114">
        <f t="shared" si="105"/>
        <v>0</v>
      </c>
      <c r="K542" s="111">
        <f t="shared" si="105"/>
        <v>0</v>
      </c>
      <c r="L542" s="114">
        <f t="shared" si="105"/>
        <v>0</v>
      </c>
      <c r="M542" s="111">
        <f t="shared" si="105"/>
        <v>11636.5</v>
      </c>
      <c r="N542" s="111">
        <f t="shared" si="105"/>
        <v>0</v>
      </c>
      <c r="O542" s="111">
        <f t="shared" si="105"/>
        <v>11636.5</v>
      </c>
      <c r="P542" s="97"/>
      <c r="Q542" s="97"/>
    </row>
    <row r="543" spans="1:17" ht="32.25" thickBot="1" x14ac:dyDescent="0.25">
      <c r="A543" s="40"/>
      <c r="B543" s="113" t="s">
        <v>134</v>
      </c>
      <c r="C543" s="113" t="s">
        <v>525</v>
      </c>
      <c r="D543" s="133" t="s">
        <v>262</v>
      </c>
      <c r="E543" s="133" t="s">
        <v>541</v>
      </c>
      <c r="F543" s="134" t="s">
        <v>11</v>
      </c>
      <c r="G543" s="111">
        <f t="shared" si="105"/>
        <v>11636.5</v>
      </c>
      <c r="H543" s="122">
        <f>SUM(H544)</f>
        <v>0</v>
      </c>
      <c r="I543" s="111">
        <f t="shared" si="105"/>
        <v>11636.5</v>
      </c>
      <c r="J543" s="114">
        <f t="shared" si="105"/>
        <v>0</v>
      </c>
      <c r="K543" s="122"/>
      <c r="L543" s="114">
        <f t="shared" si="105"/>
        <v>0</v>
      </c>
      <c r="M543" s="111">
        <f t="shared" si="105"/>
        <v>11636.5</v>
      </c>
      <c r="N543" s="111">
        <f t="shared" si="105"/>
        <v>0</v>
      </c>
      <c r="O543" s="111">
        <f t="shared" si="105"/>
        <v>11636.5</v>
      </c>
      <c r="P543" s="97"/>
      <c r="Q543" s="97"/>
    </row>
    <row r="544" spans="1:17" ht="48" thickBot="1" x14ac:dyDescent="0.25">
      <c r="A544" s="49"/>
      <c r="B544" s="123" t="s">
        <v>95</v>
      </c>
      <c r="C544" s="123" t="s">
        <v>525</v>
      </c>
      <c r="D544" s="146" t="s">
        <v>262</v>
      </c>
      <c r="E544" s="146" t="s">
        <v>541</v>
      </c>
      <c r="F544" s="147" t="s">
        <v>96</v>
      </c>
      <c r="G544" s="122">
        <v>11636.5</v>
      </c>
      <c r="H544" s="124"/>
      <c r="I544" s="122">
        <f>SUM(G544)</f>
        <v>11636.5</v>
      </c>
      <c r="J544" s="125">
        <v>0</v>
      </c>
      <c r="K544" s="124"/>
      <c r="L544" s="125">
        <v>0</v>
      </c>
      <c r="M544" s="122">
        <f>SUM(G544)</f>
        <v>11636.5</v>
      </c>
      <c r="N544" s="122">
        <f>SUM(H544)</f>
        <v>0</v>
      </c>
      <c r="O544" s="122">
        <f>SUM(I544)</f>
        <v>11636.5</v>
      </c>
      <c r="P544" s="97"/>
      <c r="Q544" s="97"/>
    </row>
    <row r="546" spans="2:15" x14ac:dyDescent="0.2">
      <c r="B546" s="302" t="s">
        <v>542</v>
      </c>
      <c r="C546" s="266"/>
      <c r="D546" s="266"/>
      <c r="E546" s="266"/>
      <c r="F546" s="266"/>
      <c r="G546" s="266"/>
      <c r="H546" s="266"/>
      <c r="I546" s="266"/>
      <c r="J546" s="266"/>
      <c r="K546" s="266"/>
      <c r="L546" s="266"/>
      <c r="M546" s="266"/>
      <c r="N546" s="266"/>
      <c r="O546" s="266"/>
    </row>
    <row r="547" spans="2:15" x14ac:dyDescent="0.2">
      <c r="B547" s="266"/>
      <c r="C547" s="266"/>
      <c r="D547" s="266"/>
      <c r="E547" s="266"/>
      <c r="F547" s="266"/>
      <c r="G547" s="266"/>
      <c r="H547" s="266"/>
      <c r="I547" s="266"/>
      <c r="J547" s="266"/>
      <c r="K547" s="266"/>
      <c r="L547" s="266"/>
      <c r="M547" s="266"/>
      <c r="N547" s="266"/>
      <c r="O547" s="266"/>
    </row>
    <row r="548" spans="2:15" x14ac:dyDescent="0.2">
      <c r="B548" s="266"/>
      <c r="C548" s="266"/>
      <c r="D548" s="266"/>
      <c r="E548" s="266"/>
      <c r="F548" s="266"/>
      <c r="G548" s="266"/>
      <c r="H548" s="266"/>
      <c r="I548" s="266"/>
      <c r="J548" s="266"/>
      <c r="K548" s="266"/>
      <c r="L548" s="266"/>
      <c r="M548" s="266"/>
      <c r="N548" s="266"/>
      <c r="O548" s="266"/>
    </row>
  </sheetData>
  <mergeCells count="21">
    <mergeCell ref="J7:O7"/>
    <mergeCell ref="J1:O1"/>
    <mergeCell ref="J3:O3"/>
    <mergeCell ref="J4:O4"/>
    <mergeCell ref="J5:O5"/>
    <mergeCell ref="J6:O6"/>
    <mergeCell ref="A18:A19"/>
    <mergeCell ref="B18:B19"/>
    <mergeCell ref="C18:F18"/>
    <mergeCell ref="G18:O18"/>
    <mergeCell ref="A9:O9"/>
    <mergeCell ref="A10:O10"/>
    <mergeCell ref="A11:O11"/>
    <mergeCell ref="C14:F14"/>
    <mergeCell ref="B15:C15"/>
    <mergeCell ref="D15:F15"/>
    <mergeCell ref="C20:F20"/>
    <mergeCell ref="G20:O20"/>
    <mergeCell ref="B546:O548"/>
    <mergeCell ref="B16:G16"/>
    <mergeCell ref="B17:G17"/>
  </mergeCells>
  <pageMargins left="0.19685039370078741" right="0.31496062992125984" top="0.31496062992125984" bottom="0.39370078740157483" header="0.51181102362204722" footer="0.19685039370078741"/>
  <pageSetup paperSize="9" scale="55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46"/>
  <sheetViews>
    <sheetView view="pageBreakPreview" topLeftCell="A279" zoomScale="60" zoomScaleNormal="60" workbookViewId="0">
      <selection activeCell="R287" sqref="R287:S287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6.855468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.28515625" customWidth="1"/>
    <col min="11" max="11" width="15.42578125" customWidth="1"/>
    <col min="12" max="12" width="18.28515625" customWidth="1"/>
    <col min="13" max="13" width="22.28515625" customWidth="1"/>
    <col min="14" max="14" width="17.140625" customWidth="1"/>
    <col min="15" max="16" width="18.28515625" customWidth="1"/>
    <col min="17" max="17" width="11.7109375" customWidth="1"/>
    <col min="18" max="18" width="10" bestFit="1" customWidth="1"/>
  </cols>
  <sheetData>
    <row r="1" spans="1:15" ht="43.5" customHeight="1" x14ac:dyDescent="0.25">
      <c r="B1" s="5"/>
      <c r="C1" s="5"/>
      <c r="D1" s="5"/>
      <c r="E1" s="5"/>
      <c r="F1" s="5"/>
      <c r="G1" s="5"/>
      <c r="H1" s="5"/>
      <c r="I1" s="5"/>
      <c r="J1" s="279"/>
      <c r="K1" s="279"/>
      <c r="L1" s="279"/>
      <c r="M1" s="279"/>
      <c r="N1" s="279"/>
      <c r="O1" s="279"/>
    </row>
    <row r="2" spans="1:15" ht="43.5" customHeight="1" x14ac:dyDescent="0.25">
      <c r="B2" s="5"/>
      <c r="C2" s="5"/>
      <c r="D2" s="5"/>
      <c r="E2" s="5"/>
      <c r="F2" s="5"/>
      <c r="G2" s="5"/>
      <c r="H2" s="5"/>
      <c r="I2" s="5"/>
      <c r="J2" s="154" t="s">
        <v>601</v>
      </c>
      <c r="K2" s="154"/>
      <c r="L2" s="154"/>
      <c r="M2" s="154"/>
      <c r="N2" s="154"/>
      <c r="O2" s="154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1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2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3</v>
      </c>
      <c r="K5" s="279"/>
      <c r="L5" s="279"/>
      <c r="M5" s="279"/>
      <c r="N5" s="279"/>
      <c r="O5" s="279"/>
    </row>
    <row r="6" spans="1:15" ht="15" customHeight="1" x14ac:dyDescent="0.25">
      <c r="B6" s="1"/>
      <c r="C6" s="1"/>
      <c r="D6" s="1"/>
      <c r="E6" s="1"/>
      <c r="F6" s="1"/>
      <c r="G6" s="1"/>
      <c r="H6" s="1"/>
      <c r="I6" s="1"/>
      <c r="J6" s="279" t="s">
        <v>589</v>
      </c>
      <c r="K6" s="279"/>
      <c r="L6" s="279"/>
      <c r="M6" s="279"/>
      <c r="N6" s="279"/>
      <c r="O6" s="279"/>
    </row>
    <row r="7" spans="1:15" ht="15.6" customHeight="1" x14ac:dyDescent="0.25">
      <c r="B7" s="6"/>
      <c r="C7" s="6"/>
      <c r="D7" s="6"/>
      <c r="E7" s="6"/>
      <c r="F7" s="6"/>
      <c r="G7" s="6"/>
      <c r="H7" s="6"/>
      <c r="I7" s="6"/>
      <c r="J7" s="279"/>
      <c r="K7" s="279"/>
      <c r="L7" s="279"/>
      <c r="M7" s="279"/>
      <c r="N7" s="279"/>
      <c r="O7" s="279"/>
    </row>
    <row r="8" spans="1:15" ht="15" customHeight="1" x14ac:dyDescent="0.2">
      <c r="B8" s="6"/>
      <c r="C8" s="6"/>
      <c r="D8" s="6"/>
      <c r="E8" s="6"/>
      <c r="F8" s="6"/>
      <c r="G8" s="3"/>
      <c r="H8" s="3"/>
      <c r="I8" s="3"/>
    </row>
    <row r="9" spans="1:15" ht="15.6" customHeight="1" x14ac:dyDescent="0.3">
      <c r="A9" s="297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" customHeight="1" x14ac:dyDescent="0.3">
      <c r="A11" s="297" t="s">
        <v>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ht="15.6" hidden="1" customHeight="1" x14ac:dyDescent="0.2">
      <c r="B12" s="6"/>
      <c r="C12" s="6"/>
      <c r="D12" s="6"/>
      <c r="E12" s="6"/>
      <c r="F12" s="6"/>
      <c r="G12" s="3"/>
      <c r="H12" s="3"/>
      <c r="I12" s="3"/>
    </row>
    <row r="13" spans="1:15" ht="18.600000000000001" customHeight="1" thickBot="1" x14ac:dyDescent="0.25">
      <c r="B13" s="6"/>
      <c r="C13" s="6"/>
      <c r="D13" s="7"/>
      <c r="E13" s="7"/>
      <c r="F13" s="7"/>
      <c r="G13" s="3"/>
      <c r="H13" s="3"/>
      <c r="I13" s="3"/>
      <c r="O13" s="8" t="s">
        <v>8</v>
      </c>
    </row>
    <row r="14" spans="1:15" ht="15" hidden="1" customHeight="1" x14ac:dyDescent="0.2">
      <c r="B14" s="149" t="s">
        <v>9</v>
      </c>
      <c r="C14" s="278"/>
      <c r="D14" s="278"/>
      <c r="E14" s="278"/>
      <c r="F14" s="278"/>
      <c r="G14" s="3"/>
      <c r="H14" s="3"/>
      <c r="I14" s="3"/>
    </row>
    <row r="15" spans="1:15" ht="6.6" hidden="1" customHeight="1" x14ac:dyDescent="0.2">
      <c r="B15" s="261" t="s">
        <v>10</v>
      </c>
      <c r="C15" s="261"/>
      <c r="D15" s="261"/>
      <c r="E15" s="261"/>
      <c r="F15" s="261"/>
      <c r="G15" s="3"/>
      <c r="H15" s="3"/>
      <c r="I15" s="3"/>
    </row>
    <row r="16" spans="1:15" ht="7.15" hidden="1" customHeight="1" thickBot="1" x14ac:dyDescent="0.25">
      <c r="B16" s="261" t="s">
        <v>11</v>
      </c>
      <c r="C16" s="261"/>
      <c r="D16" s="261"/>
      <c r="E16" s="261"/>
      <c r="F16" s="261"/>
      <c r="G16" s="261"/>
      <c r="H16" s="149"/>
      <c r="I16" s="149"/>
    </row>
    <row r="17" spans="1:17" ht="13.9" hidden="1" customHeight="1" thickBot="1" x14ac:dyDescent="0.25">
      <c r="B17" s="262" t="s">
        <v>11</v>
      </c>
      <c r="C17" s="262"/>
      <c r="D17" s="262"/>
      <c r="E17" s="262"/>
      <c r="F17" s="262"/>
      <c r="G17" s="262"/>
      <c r="H17" s="150"/>
      <c r="I17" s="150"/>
    </row>
    <row r="18" spans="1:17" ht="13.9" customHeight="1" x14ac:dyDescent="0.2">
      <c r="A18" s="289" t="s">
        <v>12</v>
      </c>
      <c r="B18" s="291" t="s">
        <v>13</v>
      </c>
      <c r="C18" s="291" t="s">
        <v>14</v>
      </c>
      <c r="D18" s="291"/>
      <c r="E18" s="291"/>
      <c r="F18" s="293"/>
      <c r="G18" s="294" t="s">
        <v>15</v>
      </c>
      <c r="H18" s="295"/>
      <c r="I18" s="295"/>
      <c r="J18" s="291"/>
      <c r="K18" s="293"/>
      <c r="L18" s="293"/>
      <c r="M18" s="293"/>
      <c r="N18" s="293"/>
      <c r="O18" s="296"/>
    </row>
    <row r="19" spans="1:17" ht="30" customHeight="1" x14ac:dyDescent="0.2">
      <c r="A19" s="290"/>
      <c r="B19" s="292"/>
      <c r="C19" s="148" t="s">
        <v>16</v>
      </c>
      <c r="D19" s="148" t="s">
        <v>17</v>
      </c>
      <c r="E19" s="148" t="s">
        <v>18</v>
      </c>
      <c r="F19" s="12" t="s">
        <v>19</v>
      </c>
      <c r="G19" s="13" t="s">
        <v>20</v>
      </c>
      <c r="H19" s="62" t="s">
        <v>21</v>
      </c>
      <c r="I19" s="62" t="s">
        <v>15</v>
      </c>
      <c r="J19" s="102" t="s">
        <v>22</v>
      </c>
      <c r="K19" s="103" t="s">
        <v>21</v>
      </c>
      <c r="L19" s="103" t="s">
        <v>15</v>
      </c>
      <c r="M19" s="13" t="s">
        <v>20</v>
      </c>
      <c r="N19" s="62" t="s">
        <v>21</v>
      </c>
      <c r="O19" s="9" t="s">
        <v>23</v>
      </c>
    </row>
    <row r="20" spans="1:17" ht="13.9" customHeight="1" thickBot="1" x14ac:dyDescent="0.25">
      <c r="A20" s="10" t="s">
        <v>24</v>
      </c>
      <c r="B20" s="11">
        <v>2</v>
      </c>
      <c r="C20" s="298">
        <v>3</v>
      </c>
      <c r="D20" s="299"/>
      <c r="E20" s="299"/>
      <c r="F20" s="299"/>
      <c r="G20" s="300">
        <v>4</v>
      </c>
      <c r="H20" s="299"/>
      <c r="I20" s="299"/>
      <c r="J20" s="299"/>
      <c r="K20" s="299"/>
      <c r="L20" s="299"/>
      <c r="M20" s="299"/>
      <c r="N20" s="299"/>
      <c r="O20" s="301"/>
    </row>
    <row r="21" spans="1:17" ht="20.45" customHeight="1" x14ac:dyDescent="0.2">
      <c r="A21" s="27"/>
      <c r="B21" s="126" t="s">
        <v>25</v>
      </c>
      <c r="C21" s="127"/>
      <c r="D21" s="127"/>
      <c r="E21" s="127"/>
      <c r="F21" s="128"/>
      <c r="G21" s="104">
        <f>G22+G34+G457+G520</f>
        <v>712517.3</v>
      </c>
      <c r="H21" s="104">
        <f>H22+H34+H457+H520+H29</f>
        <v>17895.499999999996</v>
      </c>
      <c r="I21" s="104">
        <f>I22+I34+I457+I520</f>
        <v>730412.80000000016</v>
      </c>
      <c r="J21" s="105">
        <f>J22+J34+J457+J520</f>
        <v>2665803.7000000007</v>
      </c>
      <c r="K21" s="106">
        <f>SUM(K34+K22+K457+K520)</f>
        <v>9081.1</v>
      </c>
      <c r="L21" s="105">
        <f>L22+L34+L457+L520</f>
        <v>2674884.8000000007</v>
      </c>
      <c r="M21" s="153">
        <f>M22+M34+M457+M520</f>
        <v>3378032.7999999993</v>
      </c>
      <c r="N21" s="153">
        <f>N22+N34+N457+N520</f>
        <v>26976.600000000002</v>
      </c>
      <c r="O21" s="104">
        <f>O22+O34+O457+O520</f>
        <v>3405009.3999999994</v>
      </c>
      <c r="P21" s="97"/>
      <c r="Q21" s="97"/>
    </row>
    <row r="22" spans="1:17" ht="31.5" x14ac:dyDescent="0.2">
      <c r="A22" s="20" t="s">
        <v>26</v>
      </c>
      <c r="B22" s="107" t="s">
        <v>27</v>
      </c>
      <c r="C22" s="107" t="s">
        <v>28</v>
      </c>
      <c r="D22" s="129" t="s">
        <v>11</v>
      </c>
      <c r="E22" s="129" t="s">
        <v>11</v>
      </c>
      <c r="F22" s="130" t="s">
        <v>11</v>
      </c>
      <c r="G22" s="106">
        <f>G23</f>
        <v>1395.6</v>
      </c>
      <c r="H22" s="106">
        <f>H23+H28</f>
        <v>0</v>
      </c>
      <c r="I22" s="106">
        <f>I23</f>
        <v>1601.8999999999999</v>
      </c>
      <c r="J22" s="108">
        <f>J23</f>
        <v>0</v>
      </c>
      <c r="K22" s="106">
        <f>K23+K28</f>
        <v>0</v>
      </c>
      <c r="L22" s="108">
        <f>L23</f>
        <v>0</v>
      </c>
      <c r="M22" s="106">
        <f>M23</f>
        <v>1395.6</v>
      </c>
      <c r="N22" s="106">
        <f>N23</f>
        <v>206.3</v>
      </c>
      <c r="O22" s="106">
        <f>O23</f>
        <v>1601.8999999999999</v>
      </c>
      <c r="P22" s="97"/>
      <c r="Q22" s="97"/>
    </row>
    <row r="23" spans="1:17" ht="15.75" x14ac:dyDescent="0.2">
      <c r="A23" s="20" t="s">
        <v>29</v>
      </c>
      <c r="B23" s="107" t="s">
        <v>30</v>
      </c>
      <c r="C23" s="107" t="s">
        <v>28</v>
      </c>
      <c r="D23" s="129" t="s">
        <v>31</v>
      </c>
      <c r="E23" s="129" t="s">
        <v>11</v>
      </c>
      <c r="F23" s="130" t="s">
        <v>11</v>
      </c>
      <c r="G23" s="106">
        <f>G24+G29</f>
        <v>1395.6</v>
      </c>
      <c r="H23" s="109">
        <f>H24</f>
        <v>0</v>
      </c>
      <c r="I23" s="106">
        <f>I24+I29</f>
        <v>1601.8999999999999</v>
      </c>
      <c r="J23" s="108">
        <f>J24+J29</f>
        <v>0</v>
      </c>
      <c r="K23" s="109">
        <f>K24</f>
        <v>0</v>
      </c>
      <c r="L23" s="108">
        <f>L24+L29</f>
        <v>0</v>
      </c>
      <c r="M23" s="106">
        <f>M24+M29</f>
        <v>1395.6</v>
      </c>
      <c r="N23" s="106">
        <f>N24+N29</f>
        <v>206.3</v>
      </c>
      <c r="O23" s="106">
        <f>O24+O29</f>
        <v>1601.8999999999999</v>
      </c>
      <c r="P23" s="97"/>
      <c r="Q23" s="97"/>
    </row>
    <row r="24" spans="1:17" ht="63" x14ac:dyDescent="0.2">
      <c r="A24" s="33" t="s">
        <v>32</v>
      </c>
      <c r="B24" s="110" t="s">
        <v>33</v>
      </c>
      <c r="C24" s="110" t="s">
        <v>28</v>
      </c>
      <c r="D24" s="131" t="s">
        <v>34</v>
      </c>
      <c r="E24" s="131" t="s">
        <v>11</v>
      </c>
      <c r="F24" s="132" t="s">
        <v>11</v>
      </c>
      <c r="G24" s="109">
        <f>G25</f>
        <v>8.1</v>
      </c>
      <c r="H24" s="111">
        <f>H25</f>
        <v>0</v>
      </c>
      <c r="I24" s="109">
        <f>I25</f>
        <v>8.1</v>
      </c>
      <c r="J24" s="112">
        <f t="shared" ref="J24:O27" si="0">J25</f>
        <v>0</v>
      </c>
      <c r="K24" s="111">
        <f>K25</f>
        <v>0</v>
      </c>
      <c r="L24" s="112">
        <f t="shared" si="0"/>
        <v>0</v>
      </c>
      <c r="M24" s="109">
        <f t="shared" si="0"/>
        <v>8.1</v>
      </c>
      <c r="N24" s="109">
        <f t="shared" si="0"/>
        <v>0</v>
      </c>
      <c r="O24" s="109">
        <f t="shared" si="0"/>
        <v>8.1</v>
      </c>
      <c r="P24" s="97"/>
      <c r="Q24" s="97"/>
    </row>
    <row r="25" spans="1:17" ht="31.5" x14ac:dyDescent="0.2">
      <c r="A25" s="40"/>
      <c r="B25" s="113" t="s">
        <v>35</v>
      </c>
      <c r="C25" s="113" t="s">
        <v>28</v>
      </c>
      <c r="D25" s="133" t="s">
        <v>34</v>
      </c>
      <c r="E25" s="133" t="s">
        <v>36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0"/>
        <v>0</v>
      </c>
      <c r="K25" s="111">
        <f>K26</f>
        <v>0</v>
      </c>
      <c r="L25" s="114">
        <f t="shared" si="0"/>
        <v>0</v>
      </c>
      <c r="M25" s="111">
        <f t="shared" si="0"/>
        <v>8.1</v>
      </c>
      <c r="N25" s="111">
        <f t="shared" si="0"/>
        <v>0</v>
      </c>
      <c r="O25" s="111">
        <f t="shared" si="0"/>
        <v>8.1</v>
      </c>
      <c r="P25" s="97"/>
      <c r="Q25" s="97"/>
    </row>
    <row r="26" spans="1:17" ht="31.5" x14ac:dyDescent="0.2">
      <c r="A26" s="40"/>
      <c r="B26" s="113" t="s">
        <v>27</v>
      </c>
      <c r="C26" s="113" t="s">
        <v>28</v>
      </c>
      <c r="D26" s="133" t="s">
        <v>34</v>
      </c>
      <c r="E26" s="133" t="s">
        <v>37</v>
      </c>
      <c r="F26" s="134" t="s">
        <v>11</v>
      </c>
      <c r="G26" s="111">
        <f>G27</f>
        <v>8.1</v>
      </c>
      <c r="H26" s="111">
        <f>H27</f>
        <v>0</v>
      </c>
      <c r="I26" s="111">
        <f>I27</f>
        <v>8.1</v>
      </c>
      <c r="J26" s="114">
        <f t="shared" si="0"/>
        <v>0</v>
      </c>
      <c r="K26" s="111">
        <f>K27</f>
        <v>0</v>
      </c>
      <c r="L26" s="114">
        <f t="shared" si="0"/>
        <v>0</v>
      </c>
      <c r="M26" s="111">
        <f t="shared" si="0"/>
        <v>8.1</v>
      </c>
      <c r="N26" s="111">
        <f t="shared" si="0"/>
        <v>0</v>
      </c>
      <c r="O26" s="111">
        <f t="shared" si="0"/>
        <v>8.1</v>
      </c>
      <c r="P26" s="97"/>
      <c r="Q26" s="97"/>
    </row>
    <row r="27" spans="1:17" ht="31.5" x14ac:dyDescent="0.2">
      <c r="A27" s="40"/>
      <c r="B27" s="113" t="s">
        <v>38</v>
      </c>
      <c r="C27" s="113" t="s">
        <v>28</v>
      </c>
      <c r="D27" s="133" t="s">
        <v>34</v>
      </c>
      <c r="E27" s="133" t="s">
        <v>39</v>
      </c>
      <c r="F27" s="134" t="s">
        <v>11</v>
      </c>
      <c r="G27" s="111">
        <f>G28</f>
        <v>8.1</v>
      </c>
      <c r="H27" s="111"/>
      <c r="I27" s="111">
        <f>I28</f>
        <v>8.1</v>
      </c>
      <c r="J27" s="114">
        <f t="shared" si="0"/>
        <v>0</v>
      </c>
      <c r="K27" s="111"/>
      <c r="L27" s="114">
        <f t="shared" si="0"/>
        <v>0</v>
      </c>
      <c r="M27" s="111">
        <f t="shared" si="0"/>
        <v>8.1</v>
      </c>
      <c r="N27" s="111">
        <f t="shared" si="0"/>
        <v>0</v>
      </c>
      <c r="O27" s="111">
        <f t="shared" si="0"/>
        <v>8.1</v>
      </c>
      <c r="P27" s="97"/>
      <c r="Q27" s="97"/>
    </row>
    <row r="28" spans="1:17" ht="31.5" x14ac:dyDescent="0.2">
      <c r="A28" s="40"/>
      <c r="B28" s="113" t="s">
        <v>40</v>
      </c>
      <c r="C28" s="113" t="s">
        <v>28</v>
      </c>
      <c r="D28" s="133" t="s">
        <v>34</v>
      </c>
      <c r="E28" s="133" t="s">
        <v>39</v>
      </c>
      <c r="F28" s="134" t="s">
        <v>41</v>
      </c>
      <c r="G28" s="111">
        <f>8+0.1</f>
        <v>8.1</v>
      </c>
      <c r="H28" s="109"/>
      <c r="I28" s="111">
        <f>8+0.1</f>
        <v>8.1</v>
      </c>
      <c r="J28" s="115">
        <v>0</v>
      </c>
      <c r="K28" s="109"/>
      <c r="L28" s="115">
        <v>0</v>
      </c>
      <c r="M28" s="111">
        <f>8+0.1</f>
        <v>8.1</v>
      </c>
      <c r="N28" s="111"/>
      <c r="O28" s="111">
        <f>8+0.1</f>
        <v>8.1</v>
      </c>
      <c r="P28" s="97"/>
      <c r="Q28" s="97"/>
    </row>
    <row r="29" spans="1:17" ht="47.25" x14ac:dyDescent="0.2">
      <c r="A29" s="33" t="s">
        <v>42</v>
      </c>
      <c r="B29" s="110" t="s">
        <v>43</v>
      </c>
      <c r="C29" s="110" t="s">
        <v>28</v>
      </c>
      <c r="D29" s="131" t="s">
        <v>44</v>
      </c>
      <c r="E29" s="131" t="s">
        <v>11</v>
      </c>
      <c r="F29" s="132" t="s">
        <v>11</v>
      </c>
      <c r="G29" s="109">
        <f t="shared" ref="G29:O32" si="1">G30</f>
        <v>1387.5</v>
      </c>
      <c r="H29" s="111">
        <f t="shared" si="1"/>
        <v>206.3</v>
      </c>
      <c r="I29" s="109">
        <f t="shared" si="1"/>
        <v>1593.8</v>
      </c>
      <c r="J29" s="112">
        <f t="shared" si="1"/>
        <v>0</v>
      </c>
      <c r="K29" s="111">
        <f>K30</f>
        <v>0</v>
      </c>
      <c r="L29" s="112">
        <f t="shared" si="1"/>
        <v>0</v>
      </c>
      <c r="M29" s="109">
        <f t="shared" si="1"/>
        <v>1387.5</v>
      </c>
      <c r="N29" s="109">
        <f t="shared" si="1"/>
        <v>206.3</v>
      </c>
      <c r="O29" s="109">
        <f t="shared" si="1"/>
        <v>1593.8</v>
      </c>
      <c r="P29" s="97"/>
      <c r="Q29" s="97"/>
    </row>
    <row r="30" spans="1:17" ht="31.5" x14ac:dyDescent="0.2">
      <c r="A30" s="40"/>
      <c r="B30" s="113" t="s">
        <v>35</v>
      </c>
      <c r="C30" s="113" t="s">
        <v>28</v>
      </c>
      <c r="D30" s="133" t="s">
        <v>44</v>
      </c>
      <c r="E30" s="133" t="s">
        <v>36</v>
      </c>
      <c r="F30" s="134" t="s">
        <v>11</v>
      </c>
      <c r="G30" s="111">
        <f t="shared" si="1"/>
        <v>1387.5</v>
      </c>
      <c r="H30" s="111">
        <f t="shared" si="1"/>
        <v>206.3</v>
      </c>
      <c r="I30" s="111">
        <f t="shared" si="1"/>
        <v>1593.8</v>
      </c>
      <c r="J30" s="114">
        <f t="shared" si="1"/>
        <v>0</v>
      </c>
      <c r="K30" s="111">
        <f>K31</f>
        <v>0</v>
      </c>
      <c r="L30" s="114">
        <f t="shared" si="1"/>
        <v>0</v>
      </c>
      <c r="M30" s="111">
        <f t="shared" si="1"/>
        <v>1387.5</v>
      </c>
      <c r="N30" s="111">
        <f t="shared" si="1"/>
        <v>206.3</v>
      </c>
      <c r="O30" s="111">
        <f t="shared" si="1"/>
        <v>1593.8</v>
      </c>
      <c r="P30" s="97"/>
      <c r="Q30" s="97"/>
    </row>
    <row r="31" spans="1:17" ht="31.5" x14ac:dyDescent="0.2">
      <c r="A31" s="40"/>
      <c r="B31" s="113" t="s">
        <v>27</v>
      </c>
      <c r="C31" s="113" t="s">
        <v>28</v>
      </c>
      <c r="D31" s="133" t="s">
        <v>44</v>
      </c>
      <c r="E31" s="133" t="s">
        <v>37</v>
      </c>
      <c r="F31" s="134" t="s">
        <v>11</v>
      </c>
      <c r="G31" s="111">
        <f t="shared" si="1"/>
        <v>1387.5</v>
      </c>
      <c r="H31" s="111">
        <f t="shared" si="1"/>
        <v>206.3</v>
      </c>
      <c r="I31" s="111">
        <f t="shared" si="1"/>
        <v>1593.8</v>
      </c>
      <c r="J31" s="114">
        <f t="shared" si="1"/>
        <v>0</v>
      </c>
      <c r="K31" s="111">
        <f>K32</f>
        <v>0</v>
      </c>
      <c r="L31" s="114">
        <f t="shared" si="1"/>
        <v>0</v>
      </c>
      <c r="M31" s="111">
        <f t="shared" si="1"/>
        <v>1387.5</v>
      </c>
      <c r="N31" s="111">
        <f t="shared" si="1"/>
        <v>206.3</v>
      </c>
      <c r="O31" s="111">
        <f t="shared" si="1"/>
        <v>1593.8</v>
      </c>
      <c r="P31" s="97"/>
      <c r="Q31" s="97"/>
    </row>
    <row r="32" spans="1:17" ht="63" x14ac:dyDescent="0.2">
      <c r="A32" s="40"/>
      <c r="B32" s="113" t="s">
        <v>45</v>
      </c>
      <c r="C32" s="113" t="s">
        <v>28</v>
      </c>
      <c r="D32" s="133" t="s">
        <v>44</v>
      </c>
      <c r="E32" s="133" t="s">
        <v>46</v>
      </c>
      <c r="F32" s="134" t="s">
        <v>11</v>
      </c>
      <c r="G32" s="111">
        <f>G33</f>
        <v>1387.5</v>
      </c>
      <c r="H32" s="111">
        <f>SUM(H33)</f>
        <v>206.3</v>
      </c>
      <c r="I32" s="111">
        <f>I33</f>
        <v>1593.8</v>
      </c>
      <c r="J32" s="114">
        <f t="shared" si="1"/>
        <v>0</v>
      </c>
      <c r="K32" s="111"/>
      <c r="L32" s="114">
        <f t="shared" si="1"/>
        <v>0</v>
      </c>
      <c r="M32" s="111">
        <f t="shared" si="1"/>
        <v>1387.5</v>
      </c>
      <c r="N32" s="111">
        <f t="shared" si="1"/>
        <v>206.3</v>
      </c>
      <c r="O32" s="111">
        <f t="shared" si="1"/>
        <v>1593.8</v>
      </c>
      <c r="P32" s="97"/>
      <c r="Q32" s="97"/>
    </row>
    <row r="33" spans="1:17" ht="15.75" x14ac:dyDescent="0.2">
      <c r="A33" s="40"/>
      <c r="B33" s="113" t="s">
        <v>47</v>
      </c>
      <c r="C33" s="113" t="s">
        <v>28</v>
      </c>
      <c r="D33" s="133" t="s">
        <v>44</v>
      </c>
      <c r="E33" s="133" t="s">
        <v>46</v>
      </c>
      <c r="F33" s="134" t="s">
        <v>48</v>
      </c>
      <c r="G33" s="111">
        <f>1387.6-0.1</f>
        <v>1387.5</v>
      </c>
      <c r="H33" s="106">
        <v>206.3</v>
      </c>
      <c r="I33" s="111">
        <f>1387.6-0.1+H33</f>
        <v>1593.8</v>
      </c>
      <c r="J33" s="115">
        <v>0</v>
      </c>
      <c r="K33" s="106"/>
      <c r="L33" s="115">
        <v>0</v>
      </c>
      <c r="M33" s="111">
        <f>1387.6-0.1</f>
        <v>1387.5</v>
      </c>
      <c r="N33" s="111">
        <f>SUM(H33)</f>
        <v>206.3</v>
      </c>
      <c r="O33" s="111">
        <f>1387.6-0.1+N33</f>
        <v>1593.8</v>
      </c>
      <c r="P33" s="97"/>
      <c r="Q33" s="97"/>
    </row>
    <row r="34" spans="1:17" ht="31.5" x14ac:dyDescent="0.2">
      <c r="A34" s="20" t="s">
        <v>49</v>
      </c>
      <c r="B34" s="107" t="s">
        <v>50</v>
      </c>
      <c r="C34" s="107" t="s">
        <v>51</v>
      </c>
      <c r="D34" s="129" t="s">
        <v>11</v>
      </c>
      <c r="E34" s="129" t="s">
        <v>11</v>
      </c>
      <c r="F34" s="130" t="s">
        <v>11</v>
      </c>
      <c r="G34" s="106">
        <f t="shared" ref="G34:O34" si="2">G35+G117+G170+G254+G391+G414+G439+G450</f>
        <v>555073.70000000007</v>
      </c>
      <c r="H34" s="106">
        <f t="shared" si="2"/>
        <v>7468.7999999999993</v>
      </c>
      <c r="I34" s="106">
        <f t="shared" si="2"/>
        <v>562542.50000000012</v>
      </c>
      <c r="J34" s="106">
        <f t="shared" si="2"/>
        <v>2643679.6000000006</v>
      </c>
      <c r="K34" s="106">
        <f t="shared" si="2"/>
        <v>9081.1</v>
      </c>
      <c r="L34" s="106">
        <f t="shared" si="2"/>
        <v>2652760.7000000007</v>
      </c>
      <c r="M34" s="106">
        <f t="shared" si="2"/>
        <v>3198465.0999999992</v>
      </c>
      <c r="N34" s="106">
        <f t="shared" si="2"/>
        <v>16549.900000000001</v>
      </c>
      <c r="O34" s="106">
        <f t="shared" si="2"/>
        <v>3215014.9999999995</v>
      </c>
      <c r="P34" s="97"/>
      <c r="Q34" s="97"/>
    </row>
    <row r="35" spans="1:17" ht="15.75" x14ac:dyDescent="0.2">
      <c r="A35" s="20" t="s">
        <v>52</v>
      </c>
      <c r="B35" s="107" t="s">
        <v>30</v>
      </c>
      <c r="C35" s="107" t="s">
        <v>51</v>
      </c>
      <c r="D35" s="129" t="s">
        <v>31</v>
      </c>
      <c r="E35" s="129" t="s">
        <v>11</v>
      </c>
      <c r="F35" s="130" t="s">
        <v>11</v>
      </c>
      <c r="G35" s="106">
        <f t="shared" ref="G35:O35" si="3">G36+G41+G55+G60</f>
        <v>100936.90000000001</v>
      </c>
      <c r="H35" s="106">
        <f t="shared" si="3"/>
        <v>3599.2999999999997</v>
      </c>
      <c r="I35" s="106">
        <f t="shared" si="3"/>
        <v>104536.20000000001</v>
      </c>
      <c r="J35" s="106">
        <f t="shared" si="3"/>
        <v>868.1</v>
      </c>
      <c r="K35" s="106">
        <f t="shared" si="3"/>
        <v>0</v>
      </c>
      <c r="L35" s="106">
        <f t="shared" si="3"/>
        <v>868.1</v>
      </c>
      <c r="M35" s="106">
        <f t="shared" si="3"/>
        <v>101805</v>
      </c>
      <c r="N35" s="106">
        <f t="shared" si="3"/>
        <v>3599.2999999999997</v>
      </c>
      <c r="O35" s="106">
        <f t="shared" si="3"/>
        <v>105404.3</v>
      </c>
      <c r="P35" s="97"/>
      <c r="Q35" s="97"/>
    </row>
    <row r="36" spans="1:17" ht="47.25" x14ac:dyDescent="0.2">
      <c r="A36" s="33" t="s">
        <v>53</v>
      </c>
      <c r="B36" s="110" t="s">
        <v>54</v>
      </c>
      <c r="C36" s="110" t="s">
        <v>51</v>
      </c>
      <c r="D36" s="131" t="s">
        <v>55</v>
      </c>
      <c r="E36" s="131" t="s">
        <v>11</v>
      </c>
      <c r="F36" s="132" t="s">
        <v>11</v>
      </c>
      <c r="G36" s="109">
        <f t="shared" ref="G36:O39" si="4">G37</f>
        <v>2268.1</v>
      </c>
      <c r="H36" s="111">
        <f t="shared" si="4"/>
        <v>0</v>
      </c>
      <c r="I36" s="109">
        <f t="shared" si="4"/>
        <v>2268.1</v>
      </c>
      <c r="J36" s="112">
        <f t="shared" si="4"/>
        <v>0</v>
      </c>
      <c r="K36" s="111">
        <f>K37</f>
        <v>0</v>
      </c>
      <c r="L36" s="112">
        <f t="shared" si="4"/>
        <v>0</v>
      </c>
      <c r="M36" s="109">
        <f t="shared" si="4"/>
        <v>2268.1</v>
      </c>
      <c r="N36" s="109">
        <f t="shared" si="4"/>
        <v>0</v>
      </c>
      <c r="O36" s="109">
        <f t="shared" si="4"/>
        <v>2268.1</v>
      </c>
      <c r="P36" s="97"/>
      <c r="Q36" s="97"/>
    </row>
    <row r="37" spans="1:17" ht="31.5" x14ac:dyDescent="0.2">
      <c r="A37" s="40"/>
      <c r="B37" s="113" t="s">
        <v>56</v>
      </c>
      <c r="C37" s="113" t="s">
        <v>51</v>
      </c>
      <c r="D37" s="133" t="s">
        <v>55</v>
      </c>
      <c r="E37" s="133" t="s">
        <v>57</v>
      </c>
      <c r="F37" s="134" t="s">
        <v>11</v>
      </c>
      <c r="G37" s="111">
        <f t="shared" si="4"/>
        <v>2268.1</v>
      </c>
      <c r="H37" s="111">
        <f t="shared" si="4"/>
        <v>0</v>
      </c>
      <c r="I37" s="111">
        <f t="shared" si="4"/>
        <v>2268.1</v>
      </c>
      <c r="J37" s="114">
        <f t="shared" si="4"/>
        <v>0</v>
      </c>
      <c r="K37" s="111">
        <f>K38</f>
        <v>0</v>
      </c>
      <c r="L37" s="114">
        <f t="shared" si="4"/>
        <v>0</v>
      </c>
      <c r="M37" s="111">
        <f t="shared" si="4"/>
        <v>2268.1</v>
      </c>
      <c r="N37" s="111">
        <f t="shared" si="4"/>
        <v>0</v>
      </c>
      <c r="O37" s="111">
        <f t="shared" si="4"/>
        <v>2268.1</v>
      </c>
      <c r="P37" s="97"/>
      <c r="Q37" s="97"/>
    </row>
    <row r="38" spans="1:17" ht="31.5" x14ac:dyDescent="0.2">
      <c r="A38" s="40"/>
      <c r="B38" s="113" t="s">
        <v>58</v>
      </c>
      <c r="C38" s="113" t="s">
        <v>51</v>
      </c>
      <c r="D38" s="133" t="s">
        <v>55</v>
      </c>
      <c r="E38" s="133" t="s">
        <v>59</v>
      </c>
      <c r="F38" s="134" t="s">
        <v>11</v>
      </c>
      <c r="G38" s="111">
        <f t="shared" si="4"/>
        <v>2268.1</v>
      </c>
      <c r="H38" s="111">
        <f t="shared" si="4"/>
        <v>0</v>
      </c>
      <c r="I38" s="111">
        <f t="shared" si="4"/>
        <v>2268.1</v>
      </c>
      <c r="J38" s="114">
        <f t="shared" si="4"/>
        <v>0</v>
      </c>
      <c r="K38" s="111">
        <f>K39</f>
        <v>0</v>
      </c>
      <c r="L38" s="114">
        <f t="shared" si="4"/>
        <v>0</v>
      </c>
      <c r="M38" s="111">
        <f t="shared" si="4"/>
        <v>2268.1</v>
      </c>
      <c r="N38" s="111">
        <f t="shared" si="4"/>
        <v>0</v>
      </c>
      <c r="O38" s="111">
        <f t="shared" si="4"/>
        <v>2268.1</v>
      </c>
      <c r="P38" s="97"/>
      <c r="Q38" s="97"/>
    </row>
    <row r="39" spans="1:17" ht="31.5" x14ac:dyDescent="0.2">
      <c r="A39" s="40"/>
      <c r="B39" s="113" t="s">
        <v>38</v>
      </c>
      <c r="C39" s="113" t="s">
        <v>51</v>
      </c>
      <c r="D39" s="133" t="s">
        <v>55</v>
      </c>
      <c r="E39" s="133" t="s">
        <v>60</v>
      </c>
      <c r="F39" s="134" t="s">
        <v>11</v>
      </c>
      <c r="G39" s="111">
        <f>G40</f>
        <v>2268.1</v>
      </c>
      <c r="H39" s="109"/>
      <c r="I39" s="111">
        <f>I40</f>
        <v>2268.1</v>
      </c>
      <c r="J39" s="114">
        <f t="shared" si="4"/>
        <v>0</v>
      </c>
      <c r="K39" s="111"/>
      <c r="L39" s="114">
        <f t="shared" si="4"/>
        <v>0</v>
      </c>
      <c r="M39" s="111">
        <f t="shared" si="4"/>
        <v>2268.1</v>
      </c>
      <c r="N39" s="111">
        <f t="shared" si="4"/>
        <v>0</v>
      </c>
      <c r="O39" s="111">
        <f t="shared" si="4"/>
        <v>2268.1</v>
      </c>
      <c r="P39" s="97"/>
      <c r="Q39" s="97"/>
    </row>
    <row r="40" spans="1:17" ht="31.15" customHeight="1" x14ac:dyDescent="0.2">
      <c r="A40" s="40"/>
      <c r="B40" s="113" t="s">
        <v>61</v>
      </c>
      <c r="C40" s="113" t="s">
        <v>51</v>
      </c>
      <c r="D40" s="133" t="s">
        <v>55</v>
      </c>
      <c r="E40" s="133" t="s">
        <v>60</v>
      </c>
      <c r="F40" s="134" t="s">
        <v>62</v>
      </c>
      <c r="G40" s="111">
        <v>2268.1</v>
      </c>
      <c r="H40" s="109"/>
      <c r="I40" s="111">
        <f>SUM(G40)</f>
        <v>2268.1</v>
      </c>
      <c r="J40" s="115">
        <v>0</v>
      </c>
      <c r="K40" s="109"/>
      <c r="L40" s="115">
        <v>0</v>
      </c>
      <c r="M40" s="111">
        <f>SUM(G40)</f>
        <v>2268.1</v>
      </c>
      <c r="N40" s="111">
        <f>SUM(H40)</f>
        <v>0</v>
      </c>
      <c r="O40" s="111">
        <f>SUM(I40)</f>
        <v>2268.1</v>
      </c>
      <c r="P40" s="97"/>
      <c r="Q40" s="97"/>
    </row>
    <row r="41" spans="1:17" ht="63" x14ac:dyDescent="0.2">
      <c r="A41" s="33" t="s">
        <v>63</v>
      </c>
      <c r="B41" s="110" t="s">
        <v>64</v>
      </c>
      <c r="C41" s="110" t="s">
        <v>51</v>
      </c>
      <c r="D41" s="131" t="s">
        <v>65</v>
      </c>
      <c r="E41" s="131" t="s">
        <v>11</v>
      </c>
      <c r="F41" s="132" t="s">
        <v>11</v>
      </c>
      <c r="G41" s="109">
        <f>G42</f>
        <v>35605.5</v>
      </c>
      <c r="H41" s="111">
        <f>H42</f>
        <v>123</v>
      </c>
      <c r="I41" s="109">
        <f>I42</f>
        <v>35728.5</v>
      </c>
      <c r="J41" s="112">
        <f>J42</f>
        <v>768.1</v>
      </c>
      <c r="K41" s="111">
        <f>K42+K47</f>
        <v>0</v>
      </c>
      <c r="L41" s="112">
        <f>L42</f>
        <v>768.1</v>
      </c>
      <c r="M41" s="109">
        <f>M42</f>
        <v>36373.599999999999</v>
      </c>
      <c r="N41" s="109">
        <f>N42</f>
        <v>123</v>
      </c>
      <c r="O41" s="109">
        <f>O42</f>
        <v>36496.6</v>
      </c>
      <c r="P41" s="97"/>
      <c r="Q41" s="97"/>
    </row>
    <row r="42" spans="1:17" ht="31.5" x14ac:dyDescent="0.2">
      <c r="A42" s="40"/>
      <c r="B42" s="113" t="s">
        <v>66</v>
      </c>
      <c r="C42" s="113" t="s">
        <v>51</v>
      </c>
      <c r="D42" s="133" t="s">
        <v>65</v>
      </c>
      <c r="E42" s="133" t="s">
        <v>67</v>
      </c>
      <c r="F42" s="134" t="s">
        <v>11</v>
      </c>
      <c r="G42" s="111">
        <f>G43+G48</f>
        <v>35605.5</v>
      </c>
      <c r="H42" s="111">
        <f>H43</f>
        <v>123</v>
      </c>
      <c r="I42" s="111">
        <f>I43+I48</f>
        <v>35728.5</v>
      </c>
      <c r="J42" s="114">
        <f>J43+J48</f>
        <v>768.1</v>
      </c>
      <c r="K42" s="111">
        <f>K43</f>
        <v>0</v>
      </c>
      <c r="L42" s="114">
        <f>L43+L48</f>
        <v>768.1</v>
      </c>
      <c r="M42" s="111">
        <f>M43+M48</f>
        <v>36373.599999999999</v>
      </c>
      <c r="N42" s="111">
        <f>N43+N48</f>
        <v>123</v>
      </c>
      <c r="O42" s="111">
        <f>O43+O48</f>
        <v>36496.6</v>
      </c>
      <c r="P42" s="97"/>
      <c r="Q42" s="97"/>
    </row>
    <row r="43" spans="1:17" ht="31.5" x14ac:dyDescent="0.2">
      <c r="A43" s="40"/>
      <c r="B43" s="113" t="s">
        <v>50</v>
      </c>
      <c r="C43" s="113" t="s">
        <v>51</v>
      </c>
      <c r="D43" s="133" t="s">
        <v>65</v>
      </c>
      <c r="E43" s="133" t="s">
        <v>68</v>
      </c>
      <c r="F43" s="134" t="s">
        <v>11</v>
      </c>
      <c r="G43" s="111">
        <f>G44</f>
        <v>35605.5</v>
      </c>
      <c r="H43" s="111">
        <f>H44</f>
        <v>123</v>
      </c>
      <c r="I43" s="111">
        <f>I44</f>
        <v>35728.5</v>
      </c>
      <c r="J43" s="114">
        <f>J44</f>
        <v>0</v>
      </c>
      <c r="K43" s="111">
        <f>K44+K45+K46</f>
        <v>0</v>
      </c>
      <c r="L43" s="114">
        <f>L44</f>
        <v>0</v>
      </c>
      <c r="M43" s="111">
        <f>M44</f>
        <v>35605.5</v>
      </c>
      <c r="N43" s="111">
        <f>N44</f>
        <v>123</v>
      </c>
      <c r="O43" s="111">
        <f>O44</f>
        <v>35728.5</v>
      </c>
      <c r="P43" s="97"/>
      <c r="Q43" s="97"/>
    </row>
    <row r="44" spans="1:17" ht="31.5" x14ac:dyDescent="0.2">
      <c r="A44" s="40"/>
      <c r="B44" s="113" t="s">
        <v>38</v>
      </c>
      <c r="C44" s="113" t="s">
        <v>51</v>
      </c>
      <c r="D44" s="133" t="s">
        <v>65</v>
      </c>
      <c r="E44" s="133" t="s">
        <v>69</v>
      </c>
      <c r="F44" s="134" t="s">
        <v>11</v>
      </c>
      <c r="G44" s="111">
        <f>G45+G46+G47</f>
        <v>35605.5</v>
      </c>
      <c r="H44" s="111">
        <f>SUM(H45)+H46+H47</f>
        <v>123</v>
      </c>
      <c r="I44" s="111">
        <f>I45+I46+I47</f>
        <v>35728.5</v>
      </c>
      <c r="J44" s="114">
        <f>J45+J46+J47</f>
        <v>0</v>
      </c>
      <c r="K44" s="111"/>
      <c r="L44" s="114">
        <f>L45+L46+L47</f>
        <v>0</v>
      </c>
      <c r="M44" s="111">
        <f>M45+M46+M47</f>
        <v>35605.5</v>
      </c>
      <c r="N44" s="111">
        <f>N45+N46+N47</f>
        <v>123</v>
      </c>
      <c r="O44" s="111">
        <f>O45+O46+O47</f>
        <v>35728.5</v>
      </c>
      <c r="P44" s="97"/>
      <c r="Q44" s="97"/>
    </row>
    <row r="45" spans="1:17" ht="78.75" x14ac:dyDescent="0.2">
      <c r="A45" s="40"/>
      <c r="B45" s="113" t="s">
        <v>61</v>
      </c>
      <c r="C45" s="113" t="s">
        <v>51</v>
      </c>
      <c r="D45" s="133" t="s">
        <v>65</v>
      </c>
      <c r="E45" s="133" t="s">
        <v>69</v>
      </c>
      <c r="F45" s="134" t="s">
        <v>62</v>
      </c>
      <c r="G45" s="111">
        <v>35304.800000000003</v>
      </c>
      <c r="H45" s="111">
        <f>23+100</f>
        <v>123</v>
      </c>
      <c r="I45" s="111">
        <f>SUM(G45)+H45</f>
        <v>35427.800000000003</v>
      </c>
      <c r="J45" s="115">
        <v>0</v>
      </c>
      <c r="K45" s="111"/>
      <c r="L45" s="115">
        <v>0</v>
      </c>
      <c r="M45" s="111">
        <f t="shared" ref="M45:N47" si="5">SUM(G45)</f>
        <v>35304.800000000003</v>
      </c>
      <c r="N45" s="111">
        <f t="shared" si="5"/>
        <v>123</v>
      </c>
      <c r="O45" s="111">
        <f>SUM(N45)+M45</f>
        <v>35427.800000000003</v>
      </c>
      <c r="P45" s="97"/>
      <c r="Q45" s="97"/>
    </row>
    <row r="46" spans="1:17" ht="31.5" x14ac:dyDescent="0.2">
      <c r="A46" s="40"/>
      <c r="B46" s="113" t="s">
        <v>40</v>
      </c>
      <c r="C46" s="113" t="s">
        <v>51</v>
      </c>
      <c r="D46" s="133" t="s">
        <v>65</v>
      </c>
      <c r="E46" s="133" t="s">
        <v>69</v>
      </c>
      <c r="F46" s="134" t="s">
        <v>41</v>
      </c>
      <c r="G46" s="111">
        <v>260.7</v>
      </c>
      <c r="H46" s="111"/>
      <c r="I46" s="111">
        <v>260.7</v>
      </c>
      <c r="J46" s="115">
        <v>0</v>
      </c>
      <c r="K46" s="111"/>
      <c r="L46" s="115">
        <v>0</v>
      </c>
      <c r="M46" s="111">
        <f t="shared" si="5"/>
        <v>260.7</v>
      </c>
      <c r="N46" s="111">
        <f t="shared" si="5"/>
        <v>0</v>
      </c>
      <c r="O46" s="111">
        <f>SUM(I46)</f>
        <v>260.7</v>
      </c>
      <c r="P46" s="97"/>
      <c r="Q46" s="97"/>
    </row>
    <row r="47" spans="1:17" ht="15.75" x14ac:dyDescent="0.2">
      <c r="A47" s="40"/>
      <c r="B47" s="113" t="s">
        <v>70</v>
      </c>
      <c r="C47" s="113" t="s">
        <v>51</v>
      </c>
      <c r="D47" s="133" t="s">
        <v>65</v>
      </c>
      <c r="E47" s="133" t="s">
        <v>69</v>
      </c>
      <c r="F47" s="134" t="s">
        <v>71</v>
      </c>
      <c r="G47" s="111">
        <v>40</v>
      </c>
      <c r="H47" s="111"/>
      <c r="I47" s="111">
        <f>SUM(G47)+H47</f>
        <v>40</v>
      </c>
      <c r="J47" s="115">
        <v>0</v>
      </c>
      <c r="K47" s="111">
        <f>K52</f>
        <v>0</v>
      </c>
      <c r="L47" s="115">
        <v>0</v>
      </c>
      <c r="M47" s="111">
        <f t="shared" si="5"/>
        <v>40</v>
      </c>
      <c r="N47" s="111">
        <f t="shared" si="5"/>
        <v>0</v>
      </c>
      <c r="O47" s="111">
        <f>SUM(I47)</f>
        <v>40</v>
      </c>
      <c r="P47" s="97"/>
      <c r="Q47" s="97"/>
    </row>
    <row r="48" spans="1:17" ht="31.5" x14ac:dyDescent="0.2">
      <c r="A48" s="40"/>
      <c r="B48" s="113" t="s">
        <v>72</v>
      </c>
      <c r="C48" s="113" t="s">
        <v>51</v>
      </c>
      <c r="D48" s="133" t="s">
        <v>65</v>
      </c>
      <c r="E48" s="133" t="s">
        <v>73</v>
      </c>
      <c r="F48" s="134" t="s">
        <v>11</v>
      </c>
      <c r="G48" s="111">
        <f>G53</f>
        <v>0</v>
      </c>
      <c r="H48" s="111">
        <f>H49</f>
        <v>0</v>
      </c>
      <c r="I48" s="111">
        <f>I53</f>
        <v>0</v>
      </c>
      <c r="J48" s="115">
        <f>J53+J49</f>
        <v>768.1</v>
      </c>
      <c r="K48" s="111">
        <f>K49</f>
        <v>0</v>
      </c>
      <c r="L48" s="115">
        <f>L53+L49</f>
        <v>768.1</v>
      </c>
      <c r="M48" s="111">
        <f>M53+M49</f>
        <v>768.1</v>
      </c>
      <c r="N48" s="111">
        <f>N53</f>
        <v>0</v>
      </c>
      <c r="O48" s="111">
        <f>O53+O49</f>
        <v>768.1</v>
      </c>
      <c r="P48" s="97"/>
      <c r="Q48" s="97"/>
    </row>
    <row r="49" spans="1:17" ht="51.6" customHeight="1" x14ac:dyDescent="0.2">
      <c r="A49" s="40"/>
      <c r="B49" s="135" t="s">
        <v>74</v>
      </c>
      <c r="C49" s="113">
        <v>992</v>
      </c>
      <c r="D49" s="133" t="s">
        <v>65</v>
      </c>
      <c r="E49" s="133">
        <v>5220060140</v>
      </c>
      <c r="F49" s="134"/>
      <c r="G49" s="111">
        <f>G50</f>
        <v>0</v>
      </c>
      <c r="H49" s="111">
        <v>0</v>
      </c>
      <c r="I49" s="111">
        <f>I50</f>
        <v>0</v>
      </c>
      <c r="J49" s="115">
        <f>SUM(J51+J50)</f>
        <v>755.7</v>
      </c>
      <c r="K49" s="111">
        <v>0</v>
      </c>
      <c r="L49" s="115">
        <f>SUM(L51+L50)</f>
        <v>755.7</v>
      </c>
      <c r="M49" s="111">
        <f>M50+M51</f>
        <v>755.7</v>
      </c>
      <c r="N49" s="111"/>
      <c r="O49" s="111">
        <f>O50+O51</f>
        <v>755.7</v>
      </c>
      <c r="P49" s="97"/>
      <c r="Q49" s="97"/>
    </row>
    <row r="50" spans="1:17" ht="78.75" x14ac:dyDescent="0.2">
      <c r="A50" s="40"/>
      <c r="B50" s="113" t="s">
        <v>61</v>
      </c>
      <c r="C50" s="113">
        <v>992</v>
      </c>
      <c r="D50" s="133" t="s">
        <v>65</v>
      </c>
      <c r="E50" s="133">
        <v>5220060140</v>
      </c>
      <c r="F50" s="134">
        <v>100</v>
      </c>
      <c r="G50" s="111">
        <v>0</v>
      </c>
      <c r="H50" s="111">
        <v>0</v>
      </c>
      <c r="I50" s="111">
        <v>0</v>
      </c>
      <c r="J50" s="115">
        <v>674.7</v>
      </c>
      <c r="K50" s="111">
        <v>81</v>
      </c>
      <c r="L50" s="115">
        <f>674.7+K50</f>
        <v>755.7</v>
      </c>
      <c r="M50" s="111">
        <v>674.7</v>
      </c>
      <c r="N50" s="111">
        <f>SUM(K50)</f>
        <v>81</v>
      </c>
      <c r="O50" s="111">
        <f>674.7+N50</f>
        <v>755.7</v>
      </c>
      <c r="P50" s="97"/>
      <c r="Q50" s="97"/>
    </row>
    <row r="51" spans="1:17" ht="31.5" x14ac:dyDescent="0.2">
      <c r="A51" s="40"/>
      <c r="B51" s="113" t="s">
        <v>40</v>
      </c>
      <c r="C51" s="113">
        <v>992</v>
      </c>
      <c r="D51" s="133" t="s">
        <v>65</v>
      </c>
      <c r="E51" s="133">
        <v>5220060140</v>
      </c>
      <c r="F51" s="134">
        <v>200</v>
      </c>
      <c r="G51" s="111">
        <v>0</v>
      </c>
      <c r="H51" s="111"/>
      <c r="I51" s="111">
        <v>0</v>
      </c>
      <c r="J51" s="115">
        <v>81</v>
      </c>
      <c r="K51" s="111">
        <v>-81</v>
      </c>
      <c r="L51" s="115">
        <f>81+K51</f>
        <v>0</v>
      </c>
      <c r="M51" s="111">
        <v>81</v>
      </c>
      <c r="N51" s="111">
        <f>SUM(K51)</f>
        <v>-81</v>
      </c>
      <c r="O51" s="111">
        <v>0</v>
      </c>
      <c r="P51" s="97"/>
      <c r="Q51" s="97"/>
    </row>
    <row r="52" spans="1:17" ht="15.75" hidden="1" x14ac:dyDescent="0.2">
      <c r="A52" s="40"/>
      <c r="B52" s="113"/>
      <c r="C52" s="113"/>
      <c r="D52" s="133"/>
      <c r="E52" s="133"/>
      <c r="F52" s="134"/>
      <c r="G52" s="111"/>
      <c r="H52" s="111">
        <f t="shared" ref="G52:O53" si="6">H53</f>
        <v>0</v>
      </c>
      <c r="I52" s="111"/>
      <c r="J52" s="115"/>
      <c r="K52" s="111">
        <f t="shared" si="6"/>
        <v>0</v>
      </c>
      <c r="L52" s="115"/>
      <c r="M52" s="111"/>
      <c r="N52" s="111"/>
      <c r="O52" s="111"/>
      <c r="P52" s="97"/>
      <c r="Q52" s="97"/>
    </row>
    <row r="53" spans="1:17" ht="47.25" x14ac:dyDescent="0.2">
      <c r="A53" s="40"/>
      <c r="B53" s="113" t="s">
        <v>75</v>
      </c>
      <c r="C53" s="113" t="s">
        <v>51</v>
      </c>
      <c r="D53" s="133" t="s">
        <v>65</v>
      </c>
      <c r="E53" s="133" t="s">
        <v>76</v>
      </c>
      <c r="F53" s="134" t="s">
        <v>11</v>
      </c>
      <c r="G53" s="111">
        <f t="shared" si="6"/>
        <v>0</v>
      </c>
      <c r="H53" s="111">
        <v>0</v>
      </c>
      <c r="I53" s="111">
        <f t="shared" si="6"/>
        <v>0</v>
      </c>
      <c r="J53" s="115">
        <f t="shared" si="6"/>
        <v>12.4</v>
      </c>
      <c r="K53" s="111">
        <v>0</v>
      </c>
      <c r="L53" s="115">
        <f t="shared" si="6"/>
        <v>12.4</v>
      </c>
      <c r="M53" s="111">
        <f t="shared" si="6"/>
        <v>12.4</v>
      </c>
      <c r="N53" s="111">
        <f t="shared" si="6"/>
        <v>0</v>
      </c>
      <c r="O53" s="111">
        <f t="shared" si="6"/>
        <v>12.4</v>
      </c>
      <c r="P53" s="97"/>
      <c r="Q53" s="97"/>
    </row>
    <row r="54" spans="1:17" ht="31.5" x14ac:dyDescent="0.2">
      <c r="A54" s="40"/>
      <c r="B54" s="113" t="s">
        <v>40</v>
      </c>
      <c r="C54" s="113" t="s">
        <v>51</v>
      </c>
      <c r="D54" s="133" t="s">
        <v>65</v>
      </c>
      <c r="E54" s="133" t="s">
        <v>76</v>
      </c>
      <c r="F54" s="134" t="s">
        <v>41</v>
      </c>
      <c r="G54" s="111">
        <v>0</v>
      </c>
      <c r="H54" s="109"/>
      <c r="I54" s="111">
        <v>0</v>
      </c>
      <c r="J54" s="115">
        <v>12.4</v>
      </c>
      <c r="K54" s="109"/>
      <c r="L54" s="115">
        <v>12.4</v>
      </c>
      <c r="M54" s="111">
        <v>12.4</v>
      </c>
      <c r="N54" s="111">
        <v>0</v>
      </c>
      <c r="O54" s="111">
        <v>12.4</v>
      </c>
      <c r="P54" s="97"/>
      <c r="Q54" s="97"/>
    </row>
    <row r="55" spans="1:17" ht="15.75" x14ac:dyDescent="0.2">
      <c r="A55" s="33" t="s">
        <v>77</v>
      </c>
      <c r="B55" s="110" t="s">
        <v>78</v>
      </c>
      <c r="C55" s="110" t="s">
        <v>51</v>
      </c>
      <c r="D55" s="131" t="s">
        <v>79</v>
      </c>
      <c r="E55" s="131" t="s">
        <v>11</v>
      </c>
      <c r="F55" s="132" t="s">
        <v>11</v>
      </c>
      <c r="G55" s="109">
        <f t="shared" ref="G55:O58" si="7">G56</f>
        <v>2075.3000000000002</v>
      </c>
      <c r="H55" s="111">
        <f t="shared" si="7"/>
        <v>-28.2</v>
      </c>
      <c r="I55" s="109">
        <f t="shared" si="7"/>
        <v>2047.1000000000001</v>
      </c>
      <c r="J55" s="112">
        <f t="shared" si="7"/>
        <v>0</v>
      </c>
      <c r="K55" s="111">
        <f>K56</f>
        <v>0</v>
      </c>
      <c r="L55" s="112">
        <f t="shared" si="7"/>
        <v>0</v>
      </c>
      <c r="M55" s="109">
        <f t="shared" si="7"/>
        <v>2075.3000000000002</v>
      </c>
      <c r="N55" s="109">
        <f t="shared" si="7"/>
        <v>-28.2</v>
      </c>
      <c r="O55" s="109">
        <f t="shared" si="7"/>
        <v>2047.1000000000001</v>
      </c>
      <c r="P55" s="97"/>
      <c r="Q55" s="97"/>
    </row>
    <row r="56" spans="1:17" ht="31.5" x14ac:dyDescent="0.2">
      <c r="A56" s="40"/>
      <c r="B56" s="113" t="s">
        <v>66</v>
      </c>
      <c r="C56" s="113" t="s">
        <v>51</v>
      </c>
      <c r="D56" s="133" t="s">
        <v>79</v>
      </c>
      <c r="E56" s="133" t="s">
        <v>67</v>
      </c>
      <c r="F56" s="134" t="s">
        <v>11</v>
      </c>
      <c r="G56" s="111">
        <f t="shared" si="7"/>
        <v>2075.3000000000002</v>
      </c>
      <c r="H56" s="111">
        <f t="shared" si="7"/>
        <v>-28.2</v>
      </c>
      <c r="I56" s="111">
        <f t="shared" si="7"/>
        <v>2047.1000000000001</v>
      </c>
      <c r="J56" s="114">
        <f t="shared" si="7"/>
        <v>0</v>
      </c>
      <c r="K56" s="111">
        <f>K57</f>
        <v>0</v>
      </c>
      <c r="L56" s="114">
        <f t="shared" si="7"/>
        <v>0</v>
      </c>
      <c r="M56" s="111">
        <f t="shared" si="7"/>
        <v>2075.3000000000002</v>
      </c>
      <c r="N56" s="111">
        <f t="shared" si="7"/>
        <v>-28.2</v>
      </c>
      <c r="O56" s="111">
        <f t="shared" si="7"/>
        <v>2047.1000000000001</v>
      </c>
      <c r="P56" s="97"/>
      <c r="Q56" s="97"/>
    </row>
    <row r="57" spans="1:17" ht="31.5" x14ac:dyDescent="0.2">
      <c r="A57" s="40"/>
      <c r="B57" s="113" t="s">
        <v>80</v>
      </c>
      <c r="C57" s="113" t="s">
        <v>51</v>
      </c>
      <c r="D57" s="133" t="s">
        <v>79</v>
      </c>
      <c r="E57" s="133" t="s">
        <v>81</v>
      </c>
      <c r="F57" s="134" t="s">
        <v>11</v>
      </c>
      <c r="G57" s="111">
        <f t="shared" si="7"/>
        <v>2075.3000000000002</v>
      </c>
      <c r="H57" s="111">
        <f t="shared" si="7"/>
        <v>-28.2</v>
      </c>
      <c r="I57" s="111">
        <f t="shared" si="7"/>
        <v>2047.1000000000001</v>
      </c>
      <c r="J57" s="114">
        <f t="shared" si="7"/>
        <v>0</v>
      </c>
      <c r="K57" s="111">
        <f>K58</f>
        <v>0</v>
      </c>
      <c r="L57" s="114">
        <f t="shared" si="7"/>
        <v>0</v>
      </c>
      <c r="M57" s="111">
        <f t="shared" si="7"/>
        <v>2075.3000000000002</v>
      </c>
      <c r="N57" s="111">
        <f t="shared" si="7"/>
        <v>-28.2</v>
      </c>
      <c r="O57" s="111">
        <f t="shared" si="7"/>
        <v>2047.1000000000001</v>
      </c>
      <c r="P57" s="97"/>
      <c r="Q57" s="97"/>
    </row>
    <row r="58" spans="1:17" ht="31.5" x14ac:dyDescent="0.2">
      <c r="A58" s="40"/>
      <c r="B58" s="113" t="s">
        <v>82</v>
      </c>
      <c r="C58" s="113" t="s">
        <v>51</v>
      </c>
      <c r="D58" s="133" t="s">
        <v>79</v>
      </c>
      <c r="E58" s="133" t="s">
        <v>83</v>
      </c>
      <c r="F58" s="134" t="s">
        <v>11</v>
      </c>
      <c r="G58" s="111">
        <f>G59</f>
        <v>2075.3000000000002</v>
      </c>
      <c r="H58" s="109">
        <f>H59</f>
        <v>-28.2</v>
      </c>
      <c r="I58" s="111">
        <f>I59</f>
        <v>2047.1000000000001</v>
      </c>
      <c r="J58" s="114">
        <f t="shared" si="7"/>
        <v>0</v>
      </c>
      <c r="K58" s="111"/>
      <c r="L58" s="114">
        <f t="shared" si="7"/>
        <v>0</v>
      </c>
      <c r="M58" s="111">
        <f t="shared" si="7"/>
        <v>2075.3000000000002</v>
      </c>
      <c r="N58" s="111">
        <f t="shared" si="7"/>
        <v>-28.2</v>
      </c>
      <c r="O58" s="111">
        <f t="shared" si="7"/>
        <v>2047.1000000000001</v>
      </c>
      <c r="P58" s="97"/>
      <c r="Q58" s="97"/>
    </row>
    <row r="59" spans="1:17" ht="15.75" x14ac:dyDescent="0.2">
      <c r="A59" s="40"/>
      <c r="B59" s="113" t="s">
        <v>70</v>
      </c>
      <c r="C59" s="113" t="s">
        <v>51</v>
      </c>
      <c r="D59" s="133" t="s">
        <v>79</v>
      </c>
      <c r="E59" s="133" t="s">
        <v>83</v>
      </c>
      <c r="F59" s="134" t="s">
        <v>71</v>
      </c>
      <c r="G59" s="111">
        <v>2075.3000000000002</v>
      </c>
      <c r="H59" s="109">
        <v>-28.2</v>
      </c>
      <c r="I59" s="111">
        <f>SUM(G59)+H59</f>
        <v>2047.1000000000001</v>
      </c>
      <c r="J59" s="115">
        <v>0</v>
      </c>
      <c r="K59" s="109"/>
      <c r="L59" s="115">
        <v>0</v>
      </c>
      <c r="M59" s="111">
        <f>SUM(G59)</f>
        <v>2075.3000000000002</v>
      </c>
      <c r="N59" s="111">
        <f>SUM(H59)</f>
        <v>-28.2</v>
      </c>
      <c r="O59" s="111">
        <f>SUM(I59)</f>
        <v>2047.1000000000001</v>
      </c>
      <c r="P59" s="97"/>
      <c r="Q59" s="97"/>
    </row>
    <row r="60" spans="1:17" ht="15.75" x14ac:dyDescent="0.2">
      <c r="A60" s="33" t="s">
        <v>84</v>
      </c>
      <c r="B60" s="110" t="s">
        <v>85</v>
      </c>
      <c r="C60" s="110" t="s">
        <v>51</v>
      </c>
      <c r="D60" s="131" t="s">
        <v>86</v>
      </c>
      <c r="E60" s="131" t="s">
        <v>11</v>
      </c>
      <c r="F60" s="132" t="s">
        <v>11</v>
      </c>
      <c r="G60" s="109">
        <f>G61+G66+G71+G91+G113+G109</f>
        <v>60988.000000000007</v>
      </c>
      <c r="H60" s="109">
        <f>H61+H66+H71+H91+H114+H109</f>
        <v>3504.4999999999995</v>
      </c>
      <c r="I60" s="109">
        <f>I61+I66+I71+I91+I113+I109</f>
        <v>64492.500000000007</v>
      </c>
      <c r="J60" s="112">
        <f>J61+J66+J71+J91+J113</f>
        <v>100</v>
      </c>
      <c r="K60" s="111">
        <f>K61+K71</f>
        <v>0</v>
      </c>
      <c r="L60" s="112">
        <f>L61+L66+L71+L91+L113</f>
        <v>100</v>
      </c>
      <c r="M60" s="109">
        <f>M61+M66+M71+M91+M113+M109</f>
        <v>61088.000000000007</v>
      </c>
      <c r="N60" s="109">
        <f>N61+N66+N71+N91+N113+N109</f>
        <v>3504.4999999999995</v>
      </c>
      <c r="O60" s="109">
        <f>O61+O66+O71+O91+O113+O109</f>
        <v>64592.500000000007</v>
      </c>
      <c r="P60" s="97"/>
      <c r="Q60" s="97"/>
    </row>
    <row r="61" spans="1:17" ht="31.5" x14ac:dyDescent="0.2">
      <c r="A61" s="40"/>
      <c r="B61" s="113" t="s">
        <v>87</v>
      </c>
      <c r="C61" s="113" t="s">
        <v>51</v>
      </c>
      <c r="D61" s="133" t="s">
        <v>86</v>
      </c>
      <c r="E61" s="133" t="s">
        <v>88</v>
      </c>
      <c r="F61" s="134" t="s">
        <v>11</v>
      </c>
      <c r="G61" s="111">
        <f t="shared" ref="G61:O64" si="8">G62</f>
        <v>80</v>
      </c>
      <c r="H61" s="111">
        <f t="shared" si="8"/>
        <v>0</v>
      </c>
      <c r="I61" s="111">
        <f t="shared" si="8"/>
        <v>80</v>
      </c>
      <c r="J61" s="114">
        <f t="shared" si="8"/>
        <v>0</v>
      </c>
      <c r="K61" s="111">
        <f>K62</f>
        <v>0</v>
      </c>
      <c r="L61" s="114">
        <f t="shared" si="8"/>
        <v>0</v>
      </c>
      <c r="M61" s="111">
        <f t="shared" si="8"/>
        <v>80</v>
      </c>
      <c r="N61" s="111">
        <f t="shared" si="8"/>
        <v>0</v>
      </c>
      <c r="O61" s="111">
        <f t="shared" si="8"/>
        <v>80</v>
      </c>
      <c r="P61" s="97"/>
      <c r="Q61" s="97"/>
    </row>
    <row r="62" spans="1:17" ht="47.25" x14ac:dyDescent="0.2">
      <c r="A62" s="40"/>
      <c r="B62" s="113" t="s">
        <v>89</v>
      </c>
      <c r="C62" s="113" t="s">
        <v>51</v>
      </c>
      <c r="D62" s="133" t="s">
        <v>86</v>
      </c>
      <c r="E62" s="133" t="s">
        <v>90</v>
      </c>
      <c r="F62" s="134" t="s">
        <v>11</v>
      </c>
      <c r="G62" s="111">
        <f t="shared" si="8"/>
        <v>80</v>
      </c>
      <c r="H62" s="111">
        <f t="shared" si="8"/>
        <v>0</v>
      </c>
      <c r="I62" s="111">
        <f t="shared" si="8"/>
        <v>80</v>
      </c>
      <c r="J62" s="114">
        <f t="shared" si="8"/>
        <v>0</v>
      </c>
      <c r="K62" s="111">
        <f>K63</f>
        <v>0</v>
      </c>
      <c r="L62" s="114">
        <f t="shared" si="8"/>
        <v>0</v>
      </c>
      <c r="M62" s="111">
        <f t="shared" si="8"/>
        <v>80</v>
      </c>
      <c r="N62" s="111">
        <f t="shared" si="8"/>
        <v>0</v>
      </c>
      <c r="O62" s="111">
        <f t="shared" si="8"/>
        <v>80</v>
      </c>
      <c r="P62" s="97"/>
      <c r="Q62" s="97"/>
    </row>
    <row r="63" spans="1:17" ht="42" customHeight="1" x14ac:dyDescent="0.2">
      <c r="A63" s="40"/>
      <c r="B63" s="113" t="s">
        <v>91</v>
      </c>
      <c r="C63" s="113" t="s">
        <v>51</v>
      </c>
      <c r="D63" s="133" t="s">
        <v>86</v>
      </c>
      <c r="E63" s="133" t="s">
        <v>92</v>
      </c>
      <c r="F63" s="134" t="s">
        <v>11</v>
      </c>
      <c r="G63" s="111">
        <f t="shared" si="8"/>
        <v>80</v>
      </c>
      <c r="H63" s="111">
        <f t="shared" si="8"/>
        <v>0</v>
      </c>
      <c r="I63" s="111">
        <f t="shared" si="8"/>
        <v>80</v>
      </c>
      <c r="J63" s="114">
        <f t="shared" si="8"/>
        <v>0</v>
      </c>
      <c r="K63" s="111">
        <f>K64</f>
        <v>0</v>
      </c>
      <c r="L63" s="114">
        <f t="shared" si="8"/>
        <v>0</v>
      </c>
      <c r="M63" s="111">
        <f t="shared" si="8"/>
        <v>80</v>
      </c>
      <c r="N63" s="111">
        <f t="shared" si="8"/>
        <v>0</v>
      </c>
      <c r="O63" s="111">
        <f t="shared" si="8"/>
        <v>80</v>
      </c>
      <c r="P63" s="97"/>
      <c r="Q63" s="97"/>
    </row>
    <row r="64" spans="1:17" ht="47.25" x14ac:dyDescent="0.2">
      <c r="A64" s="40"/>
      <c r="B64" s="113" t="s">
        <v>93</v>
      </c>
      <c r="C64" s="113" t="s">
        <v>51</v>
      </c>
      <c r="D64" s="133" t="s">
        <v>86</v>
      </c>
      <c r="E64" s="133" t="s">
        <v>94</v>
      </c>
      <c r="F64" s="134" t="s">
        <v>11</v>
      </c>
      <c r="G64" s="111">
        <f>G65</f>
        <v>80</v>
      </c>
      <c r="H64" s="111"/>
      <c r="I64" s="111">
        <f>I65</f>
        <v>80</v>
      </c>
      <c r="J64" s="114">
        <f t="shared" si="8"/>
        <v>0</v>
      </c>
      <c r="K64" s="111"/>
      <c r="L64" s="114">
        <f t="shared" si="8"/>
        <v>0</v>
      </c>
      <c r="M64" s="111">
        <f t="shared" si="8"/>
        <v>80</v>
      </c>
      <c r="N64" s="111">
        <f t="shared" si="8"/>
        <v>0</v>
      </c>
      <c r="O64" s="111">
        <f t="shared" si="8"/>
        <v>80</v>
      </c>
      <c r="P64" s="97"/>
      <c r="Q64" s="97"/>
    </row>
    <row r="65" spans="1:17" ht="47.25" x14ac:dyDescent="0.2">
      <c r="A65" s="40"/>
      <c r="B65" s="113" t="s">
        <v>95</v>
      </c>
      <c r="C65" s="113" t="s">
        <v>51</v>
      </c>
      <c r="D65" s="133" t="s">
        <v>86</v>
      </c>
      <c r="E65" s="133" t="s">
        <v>94</v>
      </c>
      <c r="F65" s="134" t="s">
        <v>96</v>
      </c>
      <c r="G65" s="111">
        <v>80</v>
      </c>
      <c r="H65" s="111"/>
      <c r="I65" s="111">
        <v>80</v>
      </c>
      <c r="J65" s="115"/>
      <c r="K65" s="111"/>
      <c r="L65" s="115"/>
      <c r="M65" s="111">
        <v>80</v>
      </c>
      <c r="N65" s="111"/>
      <c r="O65" s="111">
        <v>80</v>
      </c>
      <c r="P65" s="97"/>
      <c r="Q65" s="97"/>
    </row>
    <row r="66" spans="1:17" ht="31.5" x14ac:dyDescent="0.2">
      <c r="A66" s="40"/>
      <c r="B66" s="113" t="s">
        <v>97</v>
      </c>
      <c r="C66" s="113" t="s">
        <v>51</v>
      </c>
      <c r="D66" s="133" t="s">
        <v>86</v>
      </c>
      <c r="E66" s="133" t="s">
        <v>98</v>
      </c>
      <c r="F66" s="134" t="s">
        <v>11</v>
      </c>
      <c r="G66" s="111">
        <f t="shared" ref="G66:O69" si="9">G67</f>
        <v>3500</v>
      </c>
      <c r="H66" s="111">
        <f t="shared" si="9"/>
        <v>0</v>
      </c>
      <c r="I66" s="111">
        <f t="shared" si="9"/>
        <v>3500</v>
      </c>
      <c r="J66" s="114">
        <f t="shared" si="9"/>
        <v>0</v>
      </c>
      <c r="K66" s="111">
        <f>K67</f>
        <v>0</v>
      </c>
      <c r="L66" s="114">
        <f t="shared" si="9"/>
        <v>0</v>
      </c>
      <c r="M66" s="111">
        <f t="shared" si="9"/>
        <v>3500</v>
      </c>
      <c r="N66" s="111">
        <f t="shared" si="9"/>
        <v>0</v>
      </c>
      <c r="O66" s="111">
        <f t="shared" si="9"/>
        <v>3500</v>
      </c>
      <c r="P66" s="97"/>
      <c r="Q66" s="97"/>
    </row>
    <row r="67" spans="1:17" ht="15.75" x14ac:dyDescent="0.2">
      <c r="A67" s="40"/>
      <c r="B67" s="113" t="s">
        <v>99</v>
      </c>
      <c r="C67" s="113" t="s">
        <v>51</v>
      </c>
      <c r="D67" s="133" t="s">
        <v>86</v>
      </c>
      <c r="E67" s="133" t="s">
        <v>100</v>
      </c>
      <c r="F67" s="134" t="s">
        <v>11</v>
      </c>
      <c r="G67" s="111">
        <f t="shared" si="9"/>
        <v>3500</v>
      </c>
      <c r="H67" s="111">
        <f t="shared" si="9"/>
        <v>0</v>
      </c>
      <c r="I67" s="111">
        <f t="shared" si="9"/>
        <v>3500</v>
      </c>
      <c r="J67" s="114">
        <f t="shared" si="9"/>
        <v>0</v>
      </c>
      <c r="K67" s="111">
        <f>K68</f>
        <v>0</v>
      </c>
      <c r="L67" s="114">
        <f t="shared" si="9"/>
        <v>0</v>
      </c>
      <c r="M67" s="111">
        <f t="shared" si="9"/>
        <v>3500</v>
      </c>
      <c r="N67" s="111">
        <f t="shared" si="9"/>
        <v>0</v>
      </c>
      <c r="O67" s="111">
        <f t="shared" si="9"/>
        <v>3500</v>
      </c>
      <c r="P67" s="97"/>
      <c r="Q67" s="97"/>
    </row>
    <row r="68" spans="1:17" ht="31.5" x14ac:dyDescent="0.2">
      <c r="A68" s="40"/>
      <c r="B68" s="113" t="s">
        <v>101</v>
      </c>
      <c r="C68" s="113" t="s">
        <v>51</v>
      </c>
      <c r="D68" s="133" t="s">
        <v>86</v>
      </c>
      <c r="E68" s="133" t="s">
        <v>102</v>
      </c>
      <c r="F68" s="134" t="s">
        <v>11</v>
      </c>
      <c r="G68" s="111">
        <f t="shared" si="9"/>
        <v>3500</v>
      </c>
      <c r="H68" s="111">
        <f t="shared" si="9"/>
        <v>0</v>
      </c>
      <c r="I68" s="111">
        <f t="shared" si="9"/>
        <v>3500</v>
      </c>
      <c r="J68" s="114">
        <f t="shared" si="9"/>
        <v>0</v>
      </c>
      <c r="K68" s="111">
        <f>K69</f>
        <v>0</v>
      </c>
      <c r="L68" s="114">
        <f t="shared" si="9"/>
        <v>0</v>
      </c>
      <c r="M68" s="111">
        <f t="shared" si="9"/>
        <v>3500</v>
      </c>
      <c r="N68" s="111">
        <f t="shared" si="9"/>
        <v>0</v>
      </c>
      <c r="O68" s="111">
        <f t="shared" si="9"/>
        <v>3500</v>
      </c>
      <c r="P68" s="97"/>
      <c r="Q68" s="97"/>
    </row>
    <row r="69" spans="1:17" ht="36.6" customHeight="1" x14ac:dyDescent="0.2">
      <c r="A69" s="40"/>
      <c r="B69" s="113" t="s">
        <v>103</v>
      </c>
      <c r="C69" s="113" t="s">
        <v>51</v>
      </c>
      <c r="D69" s="133" t="s">
        <v>86</v>
      </c>
      <c r="E69" s="133" t="s">
        <v>104</v>
      </c>
      <c r="F69" s="134" t="s">
        <v>11</v>
      </c>
      <c r="G69" s="111">
        <f>G70</f>
        <v>3500</v>
      </c>
      <c r="H69" s="111"/>
      <c r="I69" s="111">
        <f>I70</f>
        <v>3500</v>
      </c>
      <c r="J69" s="114">
        <f t="shared" si="9"/>
        <v>0</v>
      </c>
      <c r="K69" s="111"/>
      <c r="L69" s="114">
        <f t="shared" si="9"/>
        <v>0</v>
      </c>
      <c r="M69" s="111">
        <f t="shared" si="9"/>
        <v>3500</v>
      </c>
      <c r="N69" s="111">
        <f t="shared" si="9"/>
        <v>0</v>
      </c>
      <c r="O69" s="111">
        <f t="shared" si="9"/>
        <v>3500</v>
      </c>
      <c r="P69" s="97"/>
      <c r="Q69" s="97"/>
    </row>
    <row r="70" spans="1:17" ht="31.5" x14ac:dyDescent="0.2">
      <c r="A70" s="40"/>
      <c r="B70" s="113" t="s">
        <v>40</v>
      </c>
      <c r="C70" s="113" t="s">
        <v>51</v>
      </c>
      <c r="D70" s="133" t="s">
        <v>86</v>
      </c>
      <c r="E70" s="133" t="s">
        <v>104</v>
      </c>
      <c r="F70" s="134" t="s">
        <v>41</v>
      </c>
      <c r="G70" s="111">
        <v>3500</v>
      </c>
      <c r="H70" s="111"/>
      <c r="I70" s="111">
        <v>3500</v>
      </c>
      <c r="J70" s="115">
        <v>0</v>
      </c>
      <c r="K70" s="111"/>
      <c r="L70" s="115">
        <v>0</v>
      </c>
      <c r="M70" s="111">
        <v>3500</v>
      </c>
      <c r="N70" s="111"/>
      <c r="O70" s="111">
        <v>3500</v>
      </c>
      <c r="P70" s="97"/>
      <c r="Q70" s="97"/>
    </row>
    <row r="71" spans="1:17" ht="47.25" x14ac:dyDescent="0.2">
      <c r="A71" s="40"/>
      <c r="B71" s="113" t="s">
        <v>105</v>
      </c>
      <c r="C71" s="113" t="s">
        <v>51</v>
      </c>
      <c r="D71" s="133" t="s">
        <v>86</v>
      </c>
      <c r="E71" s="133" t="s">
        <v>106</v>
      </c>
      <c r="F71" s="134" t="s">
        <v>11</v>
      </c>
      <c r="G71" s="111">
        <f>G72+G79+G83</f>
        <v>5478.4</v>
      </c>
      <c r="H71" s="111">
        <f>H72+H83+H79</f>
        <v>510</v>
      </c>
      <c r="I71" s="111">
        <f>I72+I79+I83</f>
        <v>5988.4</v>
      </c>
      <c r="J71" s="114">
        <f>J72+J79+J83</f>
        <v>100</v>
      </c>
      <c r="K71" s="111">
        <f>K72+K83</f>
        <v>0</v>
      </c>
      <c r="L71" s="114">
        <f>L72+L79+L83</f>
        <v>100</v>
      </c>
      <c r="M71" s="111">
        <f>M72+M79+M83</f>
        <v>5578.4</v>
      </c>
      <c r="N71" s="111">
        <f>N72+N79+N83</f>
        <v>510</v>
      </c>
      <c r="O71" s="111">
        <f>O72+O79+O83</f>
        <v>6088.4</v>
      </c>
      <c r="P71" s="97"/>
      <c r="Q71" s="97"/>
    </row>
    <row r="72" spans="1:17" ht="31.5" x14ac:dyDescent="0.2">
      <c r="A72" s="40"/>
      <c r="B72" s="113" t="s">
        <v>107</v>
      </c>
      <c r="C72" s="113" t="s">
        <v>51</v>
      </c>
      <c r="D72" s="133" t="s">
        <v>86</v>
      </c>
      <c r="E72" s="133" t="s">
        <v>108</v>
      </c>
      <c r="F72" s="134" t="s">
        <v>11</v>
      </c>
      <c r="G72" s="111">
        <f>G73</f>
        <v>2328.4</v>
      </c>
      <c r="H72" s="111">
        <f>H73</f>
        <v>0</v>
      </c>
      <c r="I72" s="111">
        <f>I73</f>
        <v>2328.4</v>
      </c>
      <c r="J72" s="114">
        <f>J73</f>
        <v>0</v>
      </c>
      <c r="K72" s="111">
        <f>K73+K76</f>
        <v>0</v>
      </c>
      <c r="L72" s="114">
        <f>L73</f>
        <v>0</v>
      </c>
      <c r="M72" s="111">
        <f>M73</f>
        <v>2328.4</v>
      </c>
      <c r="N72" s="111">
        <f>N73</f>
        <v>0</v>
      </c>
      <c r="O72" s="111">
        <f>O73</f>
        <v>2328.4</v>
      </c>
      <c r="P72" s="97"/>
      <c r="Q72" s="97"/>
    </row>
    <row r="73" spans="1:17" ht="31.5" x14ac:dyDescent="0.2">
      <c r="A73" s="40"/>
      <c r="B73" s="113" t="s">
        <v>109</v>
      </c>
      <c r="C73" s="113" t="s">
        <v>51</v>
      </c>
      <c r="D73" s="133" t="s">
        <v>86</v>
      </c>
      <c r="E73" s="133" t="s">
        <v>110</v>
      </c>
      <c r="F73" s="134" t="s">
        <v>11</v>
      </c>
      <c r="G73" s="111">
        <f>G74+G77</f>
        <v>2328.4</v>
      </c>
      <c r="H73" s="111">
        <f>H74</f>
        <v>0</v>
      </c>
      <c r="I73" s="111">
        <f>I74+I77</f>
        <v>2328.4</v>
      </c>
      <c r="J73" s="114">
        <f>J74+J77</f>
        <v>0</v>
      </c>
      <c r="K73" s="111">
        <f>K74</f>
        <v>0</v>
      </c>
      <c r="L73" s="114">
        <f>L74+L77</f>
        <v>0</v>
      </c>
      <c r="M73" s="111">
        <f>M74+M77</f>
        <v>2328.4</v>
      </c>
      <c r="N73" s="111">
        <f>N74+N77</f>
        <v>0</v>
      </c>
      <c r="O73" s="111">
        <f>O74+O77</f>
        <v>2328.4</v>
      </c>
      <c r="P73" s="97"/>
      <c r="Q73" s="97"/>
    </row>
    <row r="74" spans="1:17" ht="31.5" x14ac:dyDescent="0.2">
      <c r="A74" s="40"/>
      <c r="B74" s="113" t="s">
        <v>107</v>
      </c>
      <c r="C74" s="113" t="s">
        <v>51</v>
      </c>
      <c r="D74" s="133" t="s">
        <v>86</v>
      </c>
      <c r="E74" s="133" t="s">
        <v>111</v>
      </c>
      <c r="F74" s="134" t="s">
        <v>11</v>
      </c>
      <c r="G74" s="111">
        <f>G76+G75</f>
        <v>2318.4</v>
      </c>
      <c r="H74" s="111">
        <f>H76</f>
        <v>0</v>
      </c>
      <c r="I74" s="111">
        <f>I76+I75</f>
        <v>2318.4</v>
      </c>
      <c r="J74" s="114">
        <f>J76</f>
        <v>0</v>
      </c>
      <c r="K74" s="111"/>
      <c r="L74" s="114">
        <f>L76</f>
        <v>0</v>
      </c>
      <c r="M74" s="111">
        <f>M76+M75</f>
        <v>2318.4</v>
      </c>
      <c r="N74" s="111">
        <f>N76</f>
        <v>0</v>
      </c>
      <c r="O74" s="111">
        <f>O76+O75</f>
        <v>2318.4</v>
      </c>
      <c r="P74" s="97"/>
      <c r="Q74" s="97"/>
    </row>
    <row r="75" spans="1:17" ht="31.5" x14ac:dyDescent="0.2">
      <c r="A75" s="40"/>
      <c r="B75" s="113" t="s">
        <v>40</v>
      </c>
      <c r="C75" s="113" t="s">
        <v>51</v>
      </c>
      <c r="D75" s="133" t="s">
        <v>86</v>
      </c>
      <c r="E75" s="133" t="s">
        <v>111</v>
      </c>
      <c r="F75" s="134">
        <v>200</v>
      </c>
      <c r="G75" s="111">
        <v>232.4</v>
      </c>
      <c r="H75" s="111"/>
      <c r="I75" s="111">
        <f>SUM(G75)</f>
        <v>232.4</v>
      </c>
      <c r="J75" s="114"/>
      <c r="K75" s="111"/>
      <c r="L75" s="114"/>
      <c r="M75" s="111">
        <f>SUM(G75)</f>
        <v>232.4</v>
      </c>
      <c r="N75" s="111"/>
      <c r="O75" s="111">
        <f>SUM(I75)</f>
        <v>232.4</v>
      </c>
      <c r="P75" s="97"/>
      <c r="Q75" s="97"/>
    </row>
    <row r="76" spans="1:17" ht="31.5" x14ac:dyDescent="0.2">
      <c r="A76" s="40"/>
      <c r="B76" s="113" t="s">
        <v>112</v>
      </c>
      <c r="C76" s="113" t="s">
        <v>51</v>
      </c>
      <c r="D76" s="133" t="s">
        <v>86</v>
      </c>
      <c r="E76" s="133" t="s">
        <v>111</v>
      </c>
      <c r="F76" s="134" t="s">
        <v>113</v>
      </c>
      <c r="G76" s="111">
        <v>2086</v>
      </c>
      <c r="H76" s="111"/>
      <c r="I76" s="111">
        <f>SUM(G76:H76)</f>
        <v>2086</v>
      </c>
      <c r="J76" s="115">
        <v>0</v>
      </c>
      <c r="K76" s="111"/>
      <c r="L76" s="115">
        <v>0</v>
      </c>
      <c r="M76" s="111">
        <f>SUM(G76)</f>
        <v>2086</v>
      </c>
      <c r="N76" s="111">
        <f>H76+K76</f>
        <v>0</v>
      </c>
      <c r="O76" s="111">
        <f>SUM(M76:N76)</f>
        <v>2086</v>
      </c>
      <c r="P76" s="97"/>
      <c r="Q76" s="97"/>
    </row>
    <row r="77" spans="1:17" ht="31.5" x14ac:dyDescent="0.2">
      <c r="A77" s="40"/>
      <c r="B77" s="113" t="s">
        <v>114</v>
      </c>
      <c r="C77" s="113" t="s">
        <v>51</v>
      </c>
      <c r="D77" s="133" t="s">
        <v>86</v>
      </c>
      <c r="E77" s="133" t="s">
        <v>115</v>
      </c>
      <c r="F77" s="134" t="s">
        <v>11</v>
      </c>
      <c r="G77" s="111">
        <f>G78</f>
        <v>10</v>
      </c>
      <c r="H77" s="111"/>
      <c r="I77" s="111">
        <f>I78</f>
        <v>10</v>
      </c>
      <c r="J77" s="114">
        <f>J78</f>
        <v>0</v>
      </c>
      <c r="K77" s="111"/>
      <c r="L77" s="114">
        <f>L78</f>
        <v>0</v>
      </c>
      <c r="M77" s="111">
        <f>M78</f>
        <v>10</v>
      </c>
      <c r="N77" s="111">
        <f>N78</f>
        <v>0</v>
      </c>
      <c r="O77" s="111">
        <f>O78</f>
        <v>10</v>
      </c>
      <c r="P77" s="97"/>
      <c r="Q77" s="97"/>
    </row>
    <row r="78" spans="1:17" ht="31.5" x14ac:dyDescent="0.2">
      <c r="A78" s="40"/>
      <c r="B78" s="113" t="s">
        <v>112</v>
      </c>
      <c r="C78" s="113" t="s">
        <v>51</v>
      </c>
      <c r="D78" s="133" t="s">
        <v>86</v>
      </c>
      <c r="E78" s="133" t="s">
        <v>115</v>
      </c>
      <c r="F78" s="134" t="s">
        <v>113</v>
      </c>
      <c r="G78" s="111">
        <v>10</v>
      </c>
      <c r="H78" s="111"/>
      <c r="I78" s="111">
        <v>10</v>
      </c>
      <c r="J78" s="115">
        <v>0</v>
      </c>
      <c r="K78" s="111"/>
      <c r="L78" s="115">
        <v>0</v>
      </c>
      <c r="M78" s="111">
        <v>10</v>
      </c>
      <c r="N78" s="111"/>
      <c r="O78" s="111">
        <v>10</v>
      </c>
      <c r="P78" s="97"/>
      <c r="Q78" s="97"/>
    </row>
    <row r="79" spans="1:17" ht="31.5" x14ac:dyDescent="0.2">
      <c r="A79" s="40"/>
      <c r="B79" s="113" t="s">
        <v>116</v>
      </c>
      <c r="C79" s="113" t="s">
        <v>51</v>
      </c>
      <c r="D79" s="133" t="s">
        <v>86</v>
      </c>
      <c r="E79" s="133" t="s">
        <v>117</v>
      </c>
      <c r="F79" s="134" t="s">
        <v>11</v>
      </c>
      <c r="G79" s="111">
        <f t="shared" ref="G79:O81" si="10">G80</f>
        <v>150</v>
      </c>
      <c r="H79" s="111">
        <f t="shared" si="10"/>
        <v>0</v>
      </c>
      <c r="I79" s="111">
        <f t="shared" si="10"/>
        <v>150</v>
      </c>
      <c r="J79" s="114">
        <f t="shared" si="10"/>
        <v>0</v>
      </c>
      <c r="K79" s="111">
        <f>K80</f>
        <v>0</v>
      </c>
      <c r="L79" s="114">
        <f t="shared" si="10"/>
        <v>0</v>
      </c>
      <c r="M79" s="111">
        <f t="shared" si="10"/>
        <v>150</v>
      </c>
      <c r="N79" s="111">
        <f t="shared" si="10"/>
        <v>0</v>
      </c>
      <c r="O79" s="111">
        <f t="shared" si="10"/>
        <v>150</v>
      </c>
      <c r="P79" s="97"/>
      <c r="Q79" s="97"/>
    </row>
    <row r="80" spans="1:17" ht="63" x14ac:dyDescent="0.2">
      <c r="A80" s="40"/>
      <c r="B80" s="113" t="s">
        <v>118</v>
      </c>
      <c r="C80" s="113" t="s">
        <v>51</v>
      </c>
      <c r="D80" s="133" t="s">
        <v>86</v>
      </c>
      <c r="E80" s="133" t="s">
        <v>119</v>
      </c>
      <c r="F80" s="134" t="s">
        <v>11</v>
      </c>
      <c r="G80" s="111">
        <f t="shared" si="10"/>
        <v>150</v>
      </c>
      <c r="H80" s="111">
        <f t="shared" si="10"/>
        <v>0</v>
      </c>
      <c r="I80" s="111">
        <f t="shared" si="10"/>
        <v>150</v>
      </c>
      <c r="J80" s="114">
        <f t="shared" si="10"/>
        <v>0</v>
      </c>
      <c r="K80" s="111">
        <f>K81</f>
        <v>0</v>
      </c>
      <c r="L80" s="114">
        <f t="shared" si="10"/>
        <v>0</v>
      </c>
      <c r="M80" s="111">
        <f t="shared" si="10"/>
        <v>150</v>
      </c>
      <c r="N80" s="111">
        <f t="shared" si="10"/>
        <v>0</v>
      </c>
      <c r="O80" s="111">
        <f t="shared" si="10"/>
        <v>150</v>
      </c>
      <c r="P80" s="97"/>
      <c r="Q80" s="97"/>
    </row>
    <row r="81" spans="1:17" ht="47.25" x14ac:dyDescent="0.2">
      <c r="A81" s="40"/>
      <c r="B81" s="113" t="s">
        <v>120</v>
      </c>
      <c r="C81" s="113" t="s">
        <v>51</v>
      </c>
      <c r="D81" s="133" t="s">
        <v>86</v>
      </c>
      <c r="E81" s="133" t="s">
        <v>121</v>
      </c>
      <c r="F81" s="134" t="s">
        <v>11</v>
      </c>
      <c r="G81" s="111">
        <f>G82</f>
        <v>150</v>
      </c>
      <c r="H81" s="111"/>
      <c r="I81" s="111">
        <f>I82</f>
        <v>150</v>
      </c>
      <c r="J81" s="114">
        <f t="shared" si="10"/>
        <v>0</v>
      </c>
      <c r="K81" s="111"/>
      <c r="L81" s="114">
        <f t="shared" si="10"/>
        <v>0</v>
      </c>
      <c r="M81" s="111">
        <f t="shared" si="10"/>
        <v>150</v>
      </c>
      <c r="N81" s="111">
        <f t="shared" si="10"/>
        <v>0</v>
      </c>
      <c r="O81" s="111">
        <f t="shared" si="10"/>
        <v>150</v>
      </c>
      <c r="P81" s="97"/>
      <c r="Q81" s="97"/>
    </row>
    <row r="82" spans="1:17" ht="31.5" x14ac:dyDescent="0.2">
      <c r="A82" s="40"/>
      <c r="B82" s="113" t="s">
        <v>40</v>
      </c>
      <c r="C82" s="113" t="s">
        <v>51</v>
      </c>
      <c r="D82" s="133" t="s">
        <v>86</v>
      </c>
      <c r="E82" s="133" t="s">
        <v>121</v>
      </c>
      <c r="F82" s="134" t="s">
        <v>41</v>
      </c>
      <c r="G82" s="111">
        <v>150</v>
      </c>
      <c r="H82" s="111"/>
      <c r="I82" s="111">
        <v>150</v>
      </c>
      <c r="J82" s="115">
        <v>0</v>
      </c>
      <c r="K82" s="111"/>
      <c r="L82" s="115">
        <v>0</v>
      </c>
      <c r="M82" s="111">
        <v>150</v>
      </c>
      <c r="N82" s="111"/>
      <c r="O82" s="111">
        <v>150</v>
      </c>
      <c r="P82" s="97"/>
      <c r="Q82" s="97"/>
    </row>
    <row r="83" spans="1:17" ht="31.5" x14ac:dyDescent="0.2">
      <c r="A83" s="40"/>
      <c r="B83" s="113" t="s">
        <v>122</v>
      </c>
      <c r="C83" s="113" t="s">
        <v>51</v>
      </c>
      <c r="D83" s="133" t="s">
        <v>86</v>
      </c>
      <c r="E83" s="133" t="s">
        <v>123</v>
      </c>
      <c r="F83" s="134" t="s">
        <v>11</v>
      </c>
      <c r="G83" s="111">
        <f t="shared" ref="G83:O84" si="11">G84</f>
        <v>3000</v>
      </c>
      <c r="H83" s="111">
        <f t="shared" si="11"/>
        <v>510</v>
      </c>
      <c r="I83" s="111">
        <f t="shared" si="11"/>
        <v>3510</v>
      </c>
      <c r="J83" s="114">
        <f t="shared" ref="J83:O83" si="12">J84+J88</f>
        <v>100</v>
      </c>
      <c r="K83" s="111">
        <f t="shared" si="12"/>
        <v>0</v>
      </c>
      <c r="L83" s="111">
        <f t="shared" si="12"/>
        <v>100</v>
      </c>
      <c r="M83" s="111">
        <f t="shared" si="12"/>
        <v>3100</v>
      </c>
      <c r="N83" s="111">
        <f t="shared" si="12"/>
        <v>510</v>
      </c>
      <c r="O83" s="111">
        <f t="shared" si="12"/>
        <v>3610</v>
      </c>
      <c r="P83" s="97"/>
      <c r="Q83" s="97"/>
    </row>
    <row r="84" spans="1:17" ht="110.25" x14ac:dyDescent="0.2">
      <c r="A84" s="40"/>
      <c r="B84" s="113" t="s">
        <v>124</v>
      </c>
      <c r="C84" s="113" t="s">
        <v>51</v>
      </c>
      <c r="D84" s="133" t="s">
        <v>86</v>
      </c>
      <c r="E84" s="133" t="s">
        <v>125</v>
      </c>
      <c r="F84" s="134" t="s">
        <v>11</v>
      </c>
      <c r="G84" s="111">
        <f t="shared" si="11"/>
        <v>3000</v>
      </c>
      <c r="H84" s="111">
        <f>H85</f>
        <v>510</v>
      </c>
      <c r="I84" s="111">
        <f t="shared" si="11"/>
        <v>3510</v>
      </c>
      <c r="J84" s="114">
        <f t="shared" si="11"/>
        <v>0</v>
      </c>
      <c r="K84" s="111">
        <f>K85+K86</f>
        <v>0</v>
      </c>
      <c r="L84" s="114">
        <f t="shared" si="11"/>
        <v>0</v>
      </c>
      <c r="M84" s="111">
        <f t="shared" si="11"/>
        <v>3000</v>
      </c>
      <c r="N84" s="111">
        <f t="shared" si="11"/>
        <v>510</v>
      </c>
      <c r="O84" s="111">
        <f t="shared" si="11"/>
        <v>3510</v>
      </c>
      <c r="P84" s="97"/>
      <c r="Q84" s="97"/>
    </row>
    <row r="85" spans="1:17" ht="31.5" x14ac:dyDescent="0.2">
      <c r="A85" s="40"/>
      <c r="B85" s="113" t="s">
        <v>126</v>
      </c>
      <c r="C85" s="113" t="s">
        <v>51</v>
      </c>
      <c r="D85" s="133" t="s">
        <v>86</v>
      </c>
      <c r="E85" s="133" t="s">
        <v>127</v>
      </c>
      <c r="F85" s="134" t="s">
        <v>11</v>
      </c>
      <c r="G85" s="111">
        <f>G86+G87</f>
        <v>3000</v>
      </c>
      <c r="H85" s="111">
        <f>H86+H87</f>
        <v>510</v>
      </c>
      <c r="I85" s="111">
        <f>I86+I87</f>
        <v>3510</v>
      </c>
      <c r="J85" s="114">
        <f>J86+J87</f>
        <v>0</v>
      </c>
      <c r="K85" s="111"/>
      <c r="L85" s="114">
        <f>L86+L87</f>
        <v>0</v>
      </c>
      <c r="M85" s="111">
        <f>M86+M87</f>
        <v>3000</v>
      </c>
      <c r="N85" s="111">
        <f>N86+N87</f>
        <v>510</v>
      </c>
      <c r="O85" s="111">
        <f>O86+O87</f>
        <v>3510</v>
      </c>
      <c r="P85" s="97"/>
      <c r="Q85" s="97"/>
    </row>
    <row r="86" spans="1:17" ht="31.5" x14ac:dyDescent="0.2">
      <c r="A86" s="40"/>
      <c r="B86" s="113" t="s">
        <v>40</v>
      </c>
      <c r="C86" s="113" t="s">
        <v>51</v>
      </c>
      <c r="D86" s="133" t="s">
        <v>86</v>
      </c>
      <c r="E86" s="133" t="s">
        <v>127</v>
      </c>
      <c r="F86" s="134" t="s">
        <v>41</v>
      </c>
      <c r="G86" s="111">
        <v>2936.8</v>
      </c>
      <c r="H86" s="111">
        <f>160+350</f>
        <v>510</v>
      </c>
      <c r="I86" s="111">
        <f>SUM(G86:H86)</f>
        <v>3446.8</v>
      </c>
      <c r="J86" s="115">
        <v>0</v>
      </c>
      <c r="K86" s="111"/>
      <c r="L86" s="115">
        <v>0</v>
      </c>
      <c r="M86" s="111">
        <f>SUM(G86)</f>
        <v>2936.8</v>
      </c>
      <c r="N86" s="111">
        <f>SUM(H86)</f>
        <v>510</v>
      </c>
      <c r="O86" s="111">
        <f>SUM(I86)</f>
        <v>3446.8</v>
      </c>
      <c r="P86" s="97"/>
      <c r="Q86" s="97"/>
    </row>
    <row r="87" spans="1:17" ht="15.75" x14ac:dyDescent="0.2">
      <c r="A87" s="40"/>
      <c r="B87" s="113" t="s">
        <v>70</v>
      </c>
      <c r="C87" s="113" t="s">
        <v>51</v>
      </c>
      <c r="D87" s="133" t="s">
        <v>86</v>
      </c>
      <c r="E87" s="133" t="s">
        <v>127</v>
      </c>
      <c r="F87" s="134" t="s">
        <v>71</v>
      </c>
      <c r="G87" s="111">
        <v>63.2</v>
      </c>
      <c r="H87" s="111"/>
      <c r="I87" s="111">
        <v>63.2</v>
      </c>
      <c r="J87" s="115">
        <v>0</v>
      </c>
      <c r="K87" s="111"/>
      <c r="L87" s="115">
        <v>0</v>
      </c>
      <c r="M87" s="111">
        <v>63.2</v>
      </c>
      <c r="N87" s="111"/>
      <c r="O87" s="111">
        <v>63.2</v>
      </c>
      <c r="P87" s="97"/>
      <c r="Q87" s="97"/>
    </row>
    <row r="88" spans="1:17" ht="47.25" x14ac:dyDescent="0.2">
      <c r="A88" s="40"/>
      <c r="B88" s="113" t="s">
        <v>564</v>
      </c>
      <c r="C88" s="113">
        <v>992</v>
      </c>
      <c r="D88" s="133" t="s">
        <v>86</v>
      </c>
      <c r="E88" s="133">
        <v>1030200000</v>
      </c>
      <c r="F88" s="134"/>
      <c r="G88" s="111"/>
      <c r="H88" s="111"/>
      <c r="I88" s="111"/>
      <c r="J88" s="115">
        <f t="shared" ref="J88:L89" si="13">SUM(J89)</f>
        <v>100</v>
      </c>
      <c r="K88" s="111">
        <f t="shared" si="13"/>
        <v>0</v>
      </c>
      <c r="L88" s="111">
        <f t="shared" si="13"/>
        <v>100</v>
      </c>
      <c r="M88" s="111">
        <f>SUM(J88)</f>
        <v>100</v>
      </c>
      <c r="N88" s="111">
        <f t="shared" ref="N88:O90" si="14">SUM(K88)</f>
        <v>0</v>
      </c>
      <c r="O88" s="111">
        <f t="shared" si="14"/>
        <v>100</v>
      </c>
      <c r="P88" s="97"/>
      <c r="Q88" s="97"/>
    </row>
    <row r="89" spans="1:17" ht="47.25" x14ac:dyDescent="0.2">
      <c r="A89" s="40"/>
      <c r="B89" s="113" t="s">
        <v>565</v>
      </c>
      <c r="C89" s="113">
        <v>992</v>
      </c>
      <c r="D89" s="133" t="s">
        <v>86</v>
      </c>
      <c r="E89" s="133">
        <v>1030222500</v>
      </c>
      <c r="F89" s="134"/>
      <c r="G89" s="111"/>
      <c r="H89" s="111"/>
      <c r="I89" s="111"/>
      <c r="J89" s="115">
        <f t="shared" si="13"/>
        <v>100</v>
      </c>
      <c r="K89" s="111">
        <f t="shared" si="13"/>
        <v>0</v>
      </c>
      <c r="L89" s="111">
        <f t="shared" si="13"/>
        <v>100</v>
      </c>
      <c r="M89" s="111">
        <f>SUM(J89)</f>
        <v>100</v>
      </c>
      <c r="N89" s="111">
        <f t="shared" si="14"/>
        <v>0</v>
      </c>
      <c r="O89" s="111">
        <f t="shared" si="14"/>
        <v>100</v>
      </c>
      <c r="P89" s="97"/>
      <c r="Q89" s="97"/>
    </row>
    <row r="90" spans="1:17" ht="31.5" x14ac:dyDescent="0.2">
      <c r="A90" s="40"/>
      <c r="B90" s="113" t="s">
        <v>40</v>
      </c>
      <c r="C90" s="113">
        <v>992</v>
      </c>
      <c r="D90" s="133" t="s">
        <v>86</v>
      </c>
      <c r="E90" s="133">
        <v>1030222500</v>
      </c>
      <c r="F90" s="134">
        <v>200</v>
      </c>
      <c r="G90" s="111"/>
      <c r="H90" s="111"/>
      <c r="I90" s="111"/>
      <c r="J90" s="115">
        <v>100</v>
      </c>
      <c r="K90" s="111"/>
      <c r="L90" s="115">
        <f>SUM(J90)</f>
        <v>100</v>
      </c>
      <c r="M90" s="111">
        <f>SUM(J90)</f>
        <v>100</v>
      </c>
      <c r="N90" s="111">
        <f t="shared" si="14"/>
        <v>0</v>
      </c>
      <c r="O90" s="111">
        <f t="shared" si="14"/>
        <v>100</v>
      </c>
      <c r="P90" s="97"/>
      <c r="Q90" s="97"/>
    </row>
    <row r="91" spans="1:17" ht="31.5" x14ac:dyDescent="0.2">
      <c r="A91" s="40"/>
      <c r="B91" s="113" t="s">
        <v>128</v>
      </c>
      <c r="C91" s="113" t="s">
        <v>51</v>
      </c>
      <c r="D91" s="133" t="s">
        <v>86</v>
      </c>
      <c r="E91" s="133" t="s">
        <v>129</v>
      </c>
      <c r="F91" s="134" t="s">
        <v>11</v>
      </c>
      <c r="G91" s="111">
        <f>G92+G105</f>
        <v>51137.4</v>
      </c>
      <c r="H91" s="111">
        <f>H92+H105</f>
        <v>2877.2999999999997</v>
      </c>
      <c r="I91" s="111">
        <f>I92+I105</f>
        <v>54014.700000000004</v>
      </c>
      <c r="J91" s="114">
        <f>J92+J105</f>
        <v>0</v>
      </c>
      <c r="K91" s="111">
        <f>K92+K97</f>
        <v>0</v>
      </c>
      <c r="L91" s="114">
        <f>L92+L105</f>
        <v>0</v>
      </c>
      <c r="M91" s="111">
        <f>M92+M105</f>
        <v>51137.4</v>
      </c>
      <c r="N91" s="111">
        <f>N92+N105</f>
        <v>2877.2999999999997</v>
      </c>
      <c r="O91" s="111">
        <f>O92+O105</f>
        <v>54014.700000000004</v>
      </c>
      <c r="P91" s="97"/>
      <c r="Q91" s="97"/>
    </row>
    <row r="92" spans="1:17" ht="15.75" x14ac:dyDescent="0.2">
      <c r="A92" s="40"/>
      <c r="B92" s="113" t="s">
        <v>130</v>
      </c>
      <c r="C92" s="113" t="s">
        <v>51</v>
      </c>
      <c r="D92" s="133" t="s">
        <v>86</v>
      </c>
      <c r="E92" s="133" t="s">
        <v>131</v>
      </c>
      <c r="F92" s="134" t="s">
        <v>11</v>
      </c>
      <c r="G92" s="111">
        <f>G93+G98</f>
        <v>50937.4</v>
      </c>
      <c r="H92" s="111">
        <f>H93+H98</f>
        <v>2877.2999999999997</v>
      </c>
      <c r="I92" s="111">
        <f>I93+I98</f>
        <v>53814.700000000004</v>
      </c>
      <c r="J92" s="114">
        <f>J93+J98</f>
        <v>0</v>
      </c>
      <c r="K92" s="111">
        <f>K93</f>
        <v>0</v>
      </c>
      <c r="L92" s="114">
        <f>L93+L98</f>
        <v>0</v>
      </c>
      <c r="M92" s="111">
        <f>M93+M98</f>
        <v>50937.4</v>
      </c>
      <c r="N92" s="111">
        <f>N93+N98</f>
        <v>2877.2999999999997</v>
      </c>
      <c r="O92" s="111">
        <f>O93+O98</f>
        <v>53814.700000000004</v>
      </c>
      <c r="P92" s="97"/>
      <c r="Q92" s="97"/>
    </row>
    <row r="93" spans="1:17" ht="15.75" x14ac:dyDescent="0.2">
      <c r="A93" s="40"/>
      <c r="B93" s="113" t="s">
        <v>132</v>
      </c>
      <c r="C93" s="113" t="s">
        <v>51</v>
      </c>
      <c r="D93" s="133" t="s">
        <v>86</v>
      </c>
      <c r="E93" s="133" t="s">
        <v>133</v>
      </c>
      <c r="F93" s="134" t="s">
        <v>11</v>
      </c>
      <c r="G93" s="111">
        <f>G94</f>
        <v>38315</v>
      </c>
      <c r="H93" s="111">
        <f>SUM(H94)</f>
        <v>2337.2999999999997</v>
      </c>
      <c r="I93" s="111">
        <f>I94</f>
        <v>40652.300000000003</v>
      </c>
      <c r="J93" s="114">
        <f>J94</f>
        <v>0</v>
      </c>
      <c r="K93" s="111">
        <f>K94+K95+K96</f>
        <v>0</v>
      </c>
      <c r="L93" s="114">
        <f>L94</f>
        <v>0</v>
      </c>
      <c r="M93" s="111">
        <f>M94</f>
        <v>38315</v>
      </c>
      <c r="N93" s="111">
        <f>N94</f>
        <v>2337.2999999999997</v>
      </c>
      <c r="O93" s="111">
        <f>O94</f>
        <v>40652.300000000003</v>
      </c>
      <c r="P93" s="97"/>
      <c r="Q93" s="97"/>
    </row>
    <row r="94" spans="1:17" ht="31.5" x14ac:dyDescent="0.2">
      <c r="A94" s="40"/>
      <c r="B94" s="113" t="s">
        <v>134</v>
      </c>
      <c r="C94" s="113" t="s">
        <v>51</v>
      </c>
      <c r="D94" s="133" t="s">
        <v>86</v>
      </c>
      <c r="E94" s="133" t="s">
        <v>135</v>
      </c>
      <c r="F94" s="134" t="s">
        <v>11</v>
      </c>
      <c r="G94" s="111">
        <f>G95+G96+G97</f>
        <v>38315</v>
      </c>
      <c r="H94" s="111">
        <f>SUM(H95:H97)</f>
        <v>2337.2999999999997</v>
      </c>
      <c r="I94" s="111">
        <f>I95+I96+I97</f>
        <v>40652.300000000003</v>
      </c>
      <c r="J94" s="114">
        <f>J95+J96+J97</f>
        <v>0</v>
      </c>
      <c r="K94" s="111"/>
      <c r="L94" s="114">
        <f>L95+L96+L97</f>
        <v>0</v>
      </c>
      <c r="M94" s="111">
        <f>M95+M96+M97</f>
        <v>38315</v>
      </c>
      <c r="N94" s="111">
        <f>N95+N96+N97</f>
        <v>2337.2999999999997</v>
      </c>
      <c r="O94" s="111">
        <f>O95+O96+O97</f>
        <v>40652.300000000003</v>
      </c>
      <c r="P94" s="97"/>
      <c r="Q94" s="97"/>
    </row>
    <row r="95" spans="1:17" ht="37.9" customHeight="1" x14ac:dyDescent="0.2">
      <c r="A95" s="40"/>
      <c r="B95" s="113" t="s">
        <v>61</v>
      </c>
      <c r="C95" s="113" t="s">
        <v>51</v>
      </c>
      <c r="D95" s="133" t="s">
        <v>86</v>
      </c>
      <c r="E95" s="133" t="s">
        <v>135</v>
      </c>
      <c r="F95" s="134" t="s">
        <v>62</v>
      </c>
      <c r="G95" s="111">
        <v>26975.3</v>
      </c>
      <c r="H95" s="111">
        <f>241.2+50</f>
        <v>291.2</v>
      </c>
      <c r="I95" s="111">
        <f>SUM(G95)+H95</f>
        <v>27266.5</v>
      </c>
      <c r="J95" s="115">
        <v>0</v>
      </c>
      <c r="K95" s="111"/>
      <c r="L95" s="115">
        <v>0</v>
      </c>
      <c r="M95" s="111">
        <f t="shared" ref="M95:O96" si="15">SUM(G95)</f>
        <v>26975.3</v>
      </c>
      <c r="N95" s="111">
        <f t="shared" si="15"/>
        <v>291.2</v>
      </c>
      <c r="O95" s="111">
        <f t="shared" si="15"/>
        <v>27266.5</v>
      </c>
      <c r="P95" s="97"/>
      <c r="Q95" s="97"/>
    </row>
    <row r="96" spans="1:17" ht="31.5" x14ac:dyDescent="0.2">
      <c r="A96" s="40"/>
      <c r="B96" s="113" t="s">
        <v>40</v>
      </c>
      <c r="C96" s="113" t="s">
        <v>51</v>
      </c>
      <c r="D96" s="133" t="s">
        <v>86</v>
      </c>
      <c r="E96" s="133" t="s">
        <v>135</v>
      </c>
      <c r="F96" s="134" t="s">
        <v>41</v>
      </c>
      <c r="G96" s="111">
        <v>11262.3</v>
      </c>
      <c r="H96" s="111">
        <f>1051.1+400+645-50</f>
        <v>2046.1</v>
      </c>
      <c r="I96" s="111">
        <f>SUM(G96)+H96</f>
        <v>13308.4</v>
      </c>
      <c r="J96" s="115">
        <v>0</v>
      </c>
      <c r="K96" s="111"/>
      <c r="L96" s="115">
        <v>0</v>
      </c>
      <c r="M96" s="111">
        <f t="shared" si="15"/>
        <v>11262.3</v>
      </c>
      <c r="N96" s="111">
        <f t="shared" si="15"/>
        <v>2046.1</v>
      </c>
      <c r="O96" s="111">
        <f t="shared" si="15"/>
        <v>13308.4</v>
      </c>
      <c r="P96" s="97"/>
      <c r="Q96" s="97"/>
    </row>
    <row r="97" spans="1:17" ht="15.75" x14ac:dyDescent="0.2">
      <c r="A97" s="40"/>
      <c r="B97" s="113" t="s">
        <v>70</v>
      </c>
      <c r="C97" s="113" t="s">
        <v>51</v>
      </c>
      <c r="D97" s="133" t="s">
        <v>86</v>
      </c>
      <c r="E97" s="133" t="s">
        <v>135</v>
      </c>
      <c r="F97" s="134" t="s">
        <v>71</v>
      </c>
      <c r="G97" s="111">
        <v>77.400000000000006</v>
      </c>
      <c r="H97" s="111"/>
      <c r="I97" s="111">
        <v>77.400000000000006</v>
      </c>
      <c r="J97" s="115">
        <v>0</v>
      </c>
      <c r="K97" s="111"/>
      <c r="L97" s="115">
        <v>0</v>
      </c>
      <c r="M97" s="111">
        <v>77.400000000000006</v>
      </c>
      <c r="N97" s="111"/>
      <c r="O97" s="111">
        <v>77.400000000000006</v>
      </c>
      <c r="P97" s="97"/>
      <c r="Q97" s="97"/>
    </row>
    <row r="98" spans="1:17" ht="31.5" x14ac:dyDescent="0.2">
      <c r="A98" s="40"/>
      <c r="B98" s="113" t="s">
        <v>136</v>
      </c>
      <c r="C98" s="113" t="s">
        <v>51</v>
      </c>
      <c r="D98" s="133" t="s">
        <v>86</v>
      </c>
      <c r="E98" s="133" t="s">
        <v>137</v>
      </c>
      <c r="F98" s="134" t="s">
        <v>11</v>
      </c>
      <c r="G98" s="111">
        <f>G99+G102</f>
        <v>12622.4</v>
      </c>
      <c r="H98" s="111">
        <f>H99+H102</f>
        <v>540</v>
      </c>
      <c r="I98" s="111">
        <f>I99+I102</f>
        <v>13162.4</v>
      </c>
      <c r="J98" s="114">
        <f>J99+J102</f>
        <v>0</v>
      </c>
      <c r="K98" s="111">
        <f>K99+K100</f>
        <v>0</v>
      </c>
      <c r="L98" s="114">
        <f>L99+L102</f>
        <v>0</v>
      </c>
      <c r="M98" s="111">
        <f>M99+M102</f>
        <v>12622.4</v>
      </c>
      <c r="N98" s="111">
        <f>N99+N102</f>
        <v>540</v>
      </c>
      <c r="O98" s="111">
        <f>O99+O102</f>
        <v>13162.4</v>
      </c>
      <c r="P98" s="97"/>
      <c r="Q98" s="97"/>
    </row>
    <row r="99" spans="1:17" ht="31.5" x14ac:dyDescent="0.2">
      <c r="A99" s="40"/>
      <c r="B99" s="113" t="s">
        <v>134</v>
      </c>
      <c r="C99" s="113" t="s">
        <v>51</v>
      </c>
      <c r="D99" s="133" t="s">
        <v>86</v>
      </c>
      <c r="E99" s="133" t="s">
        <v>138</v>
      </c>
      <c r="F99" s="134" t="s">
        <v>11</v>
      </c>
      <c r="G99" s="111">
        <f>G100+G101</f>
        <v>10245</v>
      </c>
      <c r="H99" s="111">
        <f>SUM(H100)+H101</f>
        <v>0</v>
      </c>
      <c r="I99" s="111">
        <f>I100+I101</f>
        <v>10245</v>
      </c>
      <c r="J99" s="114">
        <f>J100+J101</f>
        <v>0</v>
      </c>
      <c r="K99" s="111"/>
      <c r="L99" s="114">
        <f>L100+L101</f>
        <v>0</v>
      </c>
      <c r="M99" s="111">
        <f>M100+M101</f>
        <v>10245</v>
      </c>
      <c r="N99" s="111">
        <f>N100+N101</f>
        <v>0</v>
      </c>
      <c r="O99" s="111">
        <f>O100+O101</f>
        <v>10245</v>
      </c>
      <c r="P99" s="97"/>
      <c r="Q99" s="97"/>
    </row>
    <row r="100" spans="1:17" ht="78.75" x14ac:dyDescent="0.2">
      <c r="A100" s="40"/>
      <c r="B100" s="113" t="s">
        <v>61</v>
      </c>
      <c r="C100" s="113" t="s">
        <v>51</v>
      </c>
      <c r="D100" s="133" t="s">
        <v>86</v>
      </c>
      <c r="E100" s="133" t="s">
        <v>138</v>
      </c>
      <c r="F100" s="134" t="s">
        <v>62</v>
      </c>
      <c r="G100" s="111">
        <v>9545</v>
      </c>
      <c r="H100" s="111"/>
      <c r="I100" s="111">
        <f>SUM(G100)+H100</f>
        <v>9545</v>
      </c>
      <c r="J100" s="115">
        <v>0</v>
      </c>
      <c r="K100" s="111"/>
      <c r="L100" s="115">
        <v>0</v>
      </c>
      <c r="M100" s="111">
        <f>SUM(G100)</f>
        <v>9545</v>
      </c>
      <c r="N100" s="111">
        <f>SUM(H100)</f>
        <v>0</v>
      </c>
      <c r="O100" s="111">
        <f>SUM(I100)</f>
        <v>9545</v>
      </c>
      <c r="P100" s="97"/>
      <c r="Q100" s="97"/>
    </row>
    <row r="101" spans="1:17" ht="31.5" x14ac:dyDescent="0.2">
      <c r="A101" s="40"/>
      <c r="B101" s="113" t="s">
        <v>40</v>
      </c>
      <c r="C101" s="113" t="s">
        <v>51</v>
      </c>
      <c r="D101" s="133" t="s">
        <v>86</v>
      </c>
      <c r="E101" s="133" t="s">
        <v>138</v>
      </c>
      <c r="F101" s="134" t="s">
        <v>41</v>
      </c>
      <c r="G101" s="111">
        <v>700</v>
      </c>
      <c r="H101" s="111"/>
      <c r="I101" s="111">
        <f>700+H101</f>
        <v>700</v>
      </c>
      <c r="J101" s="115">
        <v>0</v>
      </c>
      <c r="K101" s="111"/>
      <c r="L101" s="115">
        <v>0</v>
      </c>
      <c r="M101" s="111">
        <v>700</v>
      </c>
      <c r="N101" s="111">
        <f>SUM(H101)</f>
        <v>0</v>
      </c>
      <c r="O101" s="111">
        <f>SUM(I101)</f>
        <v>700</v>
      </c>
      <c r="P101" s="97"/>
      <c r="Q101" s="97"/>
    </row>
    <row r="102" spans="1:17" ht="47.25" x14ac:dyDescent="0.2">
      <c r="A102" s="40"/>
      <c r="B102" s="113" t="s">
        <v>139</v>
      </c>
      <c r="C102" s="113" t="s">
        <v>51</v>
      </c>
      <c r="D102" s="133" t="s">
        <v>86</v>
      </c>
      <c r="E102" s="133" t="s">
        <v>140</v>
      </c>
      <c r="F102" s="134" t="s">
        <v>11</v>
      </c>
      <c r="G102" s="111">
        <f>G103+G104</f>
        <v>2377.4</v>
      </c>
      <c r="H102" s="111">
        <f>SUM(H103)+H104</f>
        <v>540</v>
      </c>
      <c r="I102" s="111">
        <f>I103+I104</f>
        <v>2917.4</v>
      </c>
      <c r="J102" s="114">
        <f>J103+J104</f>
        <v>0</v>
      </c>
      <c r="K102" s="111"/>
      <c r="L102" s="114">
        <f>L103+L104</f>
        <v>0</v>
      </c>
      <c r="M102" s="111">
        <f>M103+M104</f>
        <v>2377.4</v>
      </c>
      <c r="N102" s="111">
        <f>N103+N104</f>
        <v>540</v>
      </c>
      <c r="O102" s="111">
        <f>O103+O104</f>
        <v>2917.4</v>
      </c>
      <c r="P102" s="97"/>
      <c r="Q102" s="97"/>
    </row>
    <row r="103" spans="1:17" ht="31.5" x14ac:dyDescent="0.2">
      <c r="A103" s="40"/>
      <c r="B103" s="113" t="s">
        <v>40</v>
      </c>
      <c r="C103" s="113" t="s">
        <v>51</v>
      </c>
      <c r="D103" s="133" t="s">
        <v>86</v>
      </c>
      <c r="E103" s="133" t="s">
        <v>140</v>
      </c>
      <c r="F103" s="134" t="s">
        <v>41</v>
      </c>
      <c r="G103" s="111">
        <v>1403</v>
      </c>
      <c r="H103" s="111">
        <f>70+340+130</f>
        <v>540</v>
      </c>
      <c r="I103" s="111">
        <f>SUM(G103)+H103</f>
        <v>1943</v>
      </c>
      <c r="J103" s="115">
        <v>0</v>
      </c>
      <c r="K103" s="111"/>
      <c r="L103" s="115">
        <v>0</v>
      </c>
      <c r="M103" s="111">
        <f t="shared" ref="M103:O104" si="16">SUM(G103)</f>
        <v>1403</v>
      </c>
      <c r="N103" s="111">
        <f t="shared" si="16"/>
        <v>540</v>
      </c>
      <c r="O103" s="111">
        <f t="shared" si="16"/>
        <v>1943</v>
      </c>
      <c r="P103" s="97"/>
      <c r="Q103" s="97"/>
    </row>
    <row r="104" spans="1:17" ht="15.75" x14ac:dyDescent="0.2">
      <c r="A104" s="40"/>
      <c r="B104" s="113" t="s">
        <v>70</v>
      </c>
      <c r="C104" s="113" t="s">
        <v>51</v>
      </c>
      <c r="D104" s="133" t="s">
        <v>86</v>
      </c>
      <c r="E104" s="133" t="s">
        <v>140</v>
      </c>
      <c r="F104" s="134" t="s">
        <v>71</v>
      </c>
      <c r="G104" s="111">
        <v>974.4</v>
      </c>
      <c r="H104" s="111"/>
      <c r="I104" s="111">
        <f>SUM(G104:H104)</f>
        <v>974.4</v>
      </c>
      <c r="J104" s="115">
        <v>0</v>
      </c>
      <c r="K104" s="111"/>
      <c r="L104" s="115">
        <v>0</v>
      </c>
      <c r="M104" s="111">
        <f t="shared" si="16"/>
        <v>974.4</v>
      </c>
      <c r="N104" s="111">
        <f t="shared" si="16"/>
        <v>0</v>
      </c>
      <c r="O104" s="111">
        <f t="shared" si="16"/>
        <v>974.4</v>
      </c>
      <c r="P104" s="97"/>
      <c r="Q104" s="97"/>
    </row>
    <row r="105" spans="1:17" ht="15.75" x14ac:dyDescent="0.2">
      <c r="A105" s="40"/>
      <c r="B105" s="113" t="s">
        <v>141</v>
      </c>
      <c r="C105" s="113" t="s">
        <v>51</v>
      </c>
      <c r="D105" s="133" t="s">
        <v>86</v>
      </c>
      <c r="E105" s="133" t="s">
        <v>142</v>
      </c>
      <c r="F105" s="134" t="s">
        <v>11</v>
      </c>
      <c r="G105" s="111">
        <f t="shared" ref="G105:O107" si="17">G106</f>
        <v>200</v>
      </c>
      <c r="H105" s="111">
        <f t="shared" si="17"/>
        <v>0</v>
      </c>
      <c r="I105" s="111">
        <f t="shared" si="17"/>
        <v>200</v>
      </c>
      <c r="J105" s="114">
        <f t="shared" si="17"/>
        <v>0</v>
      </c>
      <c r="K105" s="111">
        <f>K106</f>
        <v>0</v>
      </c>
      <c r="L105" s="114">
        <f t="shared" si="17"/>
        <v>0</v>
      </c>
      <c r="M105" s="111">
        <f t="shared" si="17"/>
        <v>200</v>
      </c>
      <c r="N105" s="111">
        <f t="shared" si="17"/>
        <v>0</v>
      </c>
      <c r="O105" s="111">
        <f t="shared" si="17"/>
        <v>200</v>
      </c>
      <c r="P105" s="97"/>
      <c r="Q105" s="97"/>
    </row>
    <row r="106" spans="1:17" ht="47.25" x14ac:dyDescent="0.2">
      <c r="A106" s="40"/>
      <c r="B106" s="113" t="s">
        <v>143</v>
      </c>
      <c r="C106" s="113" t="s">
        <v>51</v>
      </c>
      <c r="D106" s="133" t="s">
        <v>86</v>
      </c>
      <c r="E106" s="133" t="s">
        <v>144</v>
      </c>
      <c r="F106" s="134" t="s">
        <v>11</v>
      </c>
      <c r="G106" s="111">
        <f t="shared" si="17"/>
        <v>200</v>
      </c>
      <c r="H106" s="111">
        <f t="shared" si="17"/>
        <v>0</v>
      </c>
      <c r="I106" s="111">
        <f t="shared" si="17"/>
        <v>200</v>
      </c>
      <c r="J106" s="114">
        <f t="shared" si="17"/>
        <v>0</v>
      </c>
      <c r="K106" s="111">
        <f>K107</f>
        <v>0</v>
      </c>
      <c r="L106" s="114">
        <f t="shared" si="17"/>
        <v>0</v>
      </c>
      <c r="M106" s="111">
        <f t="shared" si="17"/>
        <v>200</v>
      </c>
      <c r="N106" s="111">
        <f t="shared" si="17"/>
        <v>0</v>
      </c>
      <c r="O106" s="111">
        <f t="shared" si="17"/>
        <v>200</v>
      </c>
      <c r="P106" s="97"/>
      <c r="Q106" s="97"/>
    </row>
    <row r="107" spans="1:17" ht="31.5" x14ac:dyDescent="0.2">
      <c r="A107" s="40"/>
      <c r="B107" s="113" t="s">
        <v>145</v>
      </c>
      <c r="C107" s="113" t="s">
        <v>51</v>
      </c>
      <c r="D107" s="133" t="s">
        <v>86</v>
      </c>
      <c r="E107" s="133" t="s">
        <v>146</v>
      </c>
      <c r="F107" s="134" t="s">
        <v>11</v>
      </c>
      <c r="G107" s="111">
        <f>G108</f>
        <v>200</v>
      </c>
      <c r="H107" s="111"/>
      <c r="I107" s="111">
        <f>I108</f>
        <v>200</v>
      </c>
      <c r="J107" s="114">
        <f t="shared" si="17"/>
        <v>0</v>
      </c>
      <c r="K107" s="111"/>
      <c r="L107" s="114">
        <f t="shared" si="17"/>
        <v>0</v>
      </c>
      <c r="M107" s="111">
        <f t="shared" si="17"/>
        <v>200</v>
      </c>
      <c r="N107" s="111">
        <f t="shared" si="17"/>
        <v>0</v>
      </c>
      <c r="O107" s="111">
        <f t="shared" si="17"/>
        <v>200</v>
      </c>
      <c r="P107" s="97"/>
      <c r="Q107" s="97"/>
    </row>
    <row r="108" spans="1:17" ht="31.5" x14ac:dyDescent="0.2">
      <c r="A108" s="40"/>
      <c r="B108" s="113" t="s">
        <v>40</v>
      </c>
      <c r="C108" s="113" t="s">
        <v>51</v>
      </c>
      <c r="D108" s="133" t="s">
        <v>86</v>
      </c>
      <c r="E108" s="133" t="s">
        <v>146</v>
      </c>
      <c r="F108" s="134" t="s">
        <v>41</v>
      </c>
      <c r="G108" s="111">
        <v>200</v>
      </c>
      <c r="H108" s="111"/>
      <c r="I108" s="111">
        <v>200</v>
      </c>
      <c r="J108" s="115">
        <v>0</v>
      </c>
      <c r="K108" s="111">
        <f>K113</f>
        <v>0</v>
      </c>
      <c r="L108" s="115">
        <v>0</v>
      </c>
      <c r="M108" s="111">
        <v>200</v>
      </c>
      <c r="N108" s="111"/>
      <c r="O108" s="111">
        <v>200</v>
      </c>
      <c r="P108" s="97"/>
      <c r="Q108" s="97"/>
    </row>
    <row r="109" spans="1:17" ht="31.5" x14ac:dyDescent="0.2">
      <c r="A109" s="40"/>
      <c r="B109" s="118" t="s">
        <v>66</v>
      </c>
      <c r="C109" s="118" t="s">
        <v>51</v>
      </c>
      <c r="D109" s="136" t="s">
        <v>86</v>
      </c>
      <c r="E109" s="136" t="s">
        <v>67</v>
      </c>
      <c r="F109" s="134"/>
      <c r="G109" s="111">
        <f t="shared" ref="G109:O111" si="18">G110</f>
        <v>15.9</v>
      </c>
      <c r="H109" s="120">
        <f t="shared" si="18"/>
        <v>28.2</v>
      </c>
      <c r="I109" s="114">
        <f t="shared" si="18"/>
        <v>44.1</v>
      </c>
      <c r="J109" s="114">
        <f t="shared" si="18"/>
        <v>0</v>
      </c>
      <c r="K109" s="114">
        <f t="shared" si="18"/>
        <v>0</v>
      </c>
      <c r="L109" s="114">
        <f t="shared" si="18"/>
        <v>0</v>
      </c>
      <c r="M109" s="114">
        <f t="shared" si="18"/>
        <v>15.9</v>
      </c>
      <c r="N109" s="119">
        <f t="shared" si="18"/>
        <v>28.2</v>
      </c>
      <c r="O109" s="111">
        <f t="shared" si="18"/>
        <v>44.1</v>
      </c>
      <c r="P109" s="97"/>
      <c r="Q109" s="97"/>
    </row>
    <row r="110" spans="1:17" ht="31.5" x14ac:dyDescent="0.2">
      <c r="A110" s="40"/>
      <c r="B110" s="118" t="s">
        <v>80</v>
      </c>
      <c r="C110" s="118" t="s">
        <v>51</v>
      </c>
      <c r="D110" s="136" t="s">
        <v>86</v>
      </c>
      <c r="E110" s="136" t="s">
        <v>81</v>
      </c>
      <c r="F110" s="134"/>
      <c r="G110" s="111">
        <f t="shared" si="18"/>
        <v>15.9</v>
      </c>
      <c r="H110" s="120">
        <f t="shared" si="18"/>
        <v>28.2</v>
      </c>
      <c r="I110" s="114">
        <f t="shared" si="18"/>
        <v>44.1</v>
      </c>
      <c r="J110" s="114">
        <f t="shared" si="18"/>
        <v>0</v>
      </c>
      <c r="K110" s="114">
        <f t="shared" si="18"/>
        <v>0</v>
      </c>
      <c r="L110" s="114">
        <f t="shared" si="18"/>
        <v>0</v>
      </c>
      <c r="M110" s="114">
        <f t="shared" si="18"/>
        <v>15.9</v>
      </c>
      <c r="N110" s="119">
        <f t="shared" si="18"/>
        <v>28.2</v>
      </c>
      <c r="O110" s="111">
        <f t="shared" si="18"/>
        <v>44.1</v>
      </c>
      <c r="P110" s="97"/>
      <c r="Q110" s="97"/>
    </row>
    <row r="111" spans="1:17" ht="31.5" x14ac:dyDescent="0.2">
      <c r="A111" s="40"/>
      <c r="B111" s="118" t="s">
        <v>82</v>
      </c>
      <c r="C111" s="118" t="s">
        <v>51</v>
      </c>
      <c r="D111" s="136" t="s">
        <v>86</v>
      </c>
      <c r="E111" s="136" t="s">
        <v>83</v>
      </c>
      <c r="F111" s="134"/>
      <c r="G111" s="111">
        <f t="shared" si="18"/>
        <v>15.9</v>
      </c>
      <c r="H111" s="120">
        <f t="shared" si="18"/>
        <v>28.2</v>
      </c>
      <c r="I111" s="114">
        <f t="shared" si="18"/>
        <v>44.1</v>
      </c>
      <c r="J111" s="114">
        <f t="shared" si="18"/>
        <v>0</v>
      </c>
      <c r="K111" s="114">
        <f t="shared" si="18"/>
        <v>0</v>
      </c>
      <c r="L111" s="114">
        <f t="shared" si="18"/>
        <v>0</v>
      </c>
      <c r="M111" s="114">
        <f t="shared" si="18"/>
        <v>15.9</v>
      </c>
      <c r="N111" s="119">
        <f t="shared" si="18"/>
        <v>28.2</v>
      </c>
      <c r="O111" s="111">
        <f t="shared" si="18"/>
        <v>44.1</v>
      </c>
      <c r="P111" s="97"/>
      <c r="Q111" s="97"/>
    </row>
    <row r="112" spans="1:17" ht="31.5" x14ac:dyDescent="0.2">
      <c r="A112" s="40"/>
      <c r="B112" s="113" t="s">
        <v>40</v>
      </c>
      <c r="C112" s="118" t="s">
        <v>51</v>
      </c>
      <c r="D112" s="136" t="s">
        <v>86</v>
      </c>
      <c r="E112" s="136" t="s">
        <v>83</v>
      </c>
      <c r="F112" s="134">
        <v>200</v>
      </c>
      <c r="G112" s="111">
        <v>15.9</v>
      </c>
      <c r="H112" s="111">
        <v>28.2</v>
      </c>
      <c r="I112" s="111">
        <f>SUM(G112:H112)</f>
        <v>44.1</v>
      </c>
      <c r="J112" s="115"/>
      <c r="K112" s="111"/>
      <c r="L112" s="115"/>
      <c r="M112" s="111">
        <f>G112+J112</f>
        <v>15.9</v>
      </c>
      <c r="N112" s="111">
        <f>H112+K112</f>
        <v>28.2</v>
      </c>
      <c r="O112" s="111">
        <f>SUM(M112:N112)</f>
        <v>44.1</v>
      </c>
      <c r="P112" s="97"/>
      <c r="Q112" s="97"/>
    </row>
    <row r="113" spans="1:17" ht="34.9" customHeight="1" x14ac:dyDescent="0.2">
      <c r="A113" s="40"/>
      <c r="B113" s="113" t="s">
        <v>147</v>
      </c>
      <c r="C113" s="113" t="s">
        <v>51</v>
      </c>
      <c r="D113" s="133" t="s">
        <v>86</v>
      </c>
      <c r="E113" s="133" t="s">
        <v>148</v>
      </c>
      <c r="F113" s="134" t="s">
        <v>11</v>
      </c>
      <c r="G113" s="111">
        <f t="shared" ref="G113:O115" si="19">G114</f>
        <v>776.3</v>
      </c>
      <c r="H113" s="111">
        <f t="shared" si="19"/>
        <v>89</v>
      </c>
      <c r="I113" s="111">
        <f t="shared" si="19"/>
        <v>865.3</v>
      </c>
      <c r="J113" s="114">
        <f t="shared" si="19"/>
        <v>0</v>
      </c>
      <c r="K113" s="111">
        <f>K114</f>
        <v>0</v>
      </c>
      <c r="L113" s="114">
        <f t="shared" si="19"/>
        <v>0</v>
      </c>
      <c r="M113" s="111">
        <f t="shared" si="19"/>
        <v>776.3</v>
      </c>
      <c r="N113" s="111">
        <f t="shared" si="19"/>
        <v>89</v>
      </c>
      <c r="O113" s="111">
        <f t="shared" si="19"/>
        <v>865.3</v>
      </c>
      <c r="P113" s="97"/>
      <c r="Q113" s="97"/>
    </row>
    <row r="114" spans="1:17" ht="31.5" x14ac:dyDescent="0.2">
      <c r="A114" s="40"/>
      <c r="B114" s="113" t="s">
        <v>149</v>
      </c>
      <c r="C114" s="113" t="s">
        <v>51</v>
      </c>
      <c r="D114" s="133" t="s">
        <v>86</v>
      </c>
      <c r="E114" s="133" t="s">
        <v>150</v>
      </c>
      <c r="F114" s="134" t="s">
        <v>11</v>
      </c>
      <c r="G114" s="111">
        <f t="shared" si="19"/>
        <v>776.3</v>
      </c>
      <c r="H114" s="111">
        <f t="shared" si="19"/>
        <v>89</v>
      </c>
      <c r="I114" s="111">
        <f t="shared" si="19"/>
        <v>865.3</v>
      </c>
      <c r="J114" s="114">
        <f t="shared" si="19"/>
        <v>0</v>
      </c>
      <c r="K114" s="111">
        <f>K115</f>
        <v>0</v>
      </c>
      <c r="L114" s="114">
        <f t="shared" si="19"/>
        <v>0</v>
      </c>
      <c r="M114" s="111">
        <f t="shared" si="19"/>
        <v>776.3</v>
      </c>
      <c r="N114" s="111">
        <f t="shared" si="19"/>
        <v>89</v>
      </c>
      <c r="O114" s="111">
        <f t="shared" si="19"/>
        <v>865.3</v>
      </c>
      <c r="P114" s="97"/>
      <c r="Q114" s="97"/>
    </row>
    <row r="115" spans="1:17" ht="31.5" x14ac:dyDescent="0.2">
      <c r="A115" s="40"/>
      <c r="B115" s="113" t="s">
        <v>151</v>
      </c>
      <c r="C115" s="113" t="s">
        <v>51</v>
      </c>
      <c r="D115" s="133" t="s">
        <v>86</v>
      </c>
      <c r="E115" s="133" t="s">
        <v>152</v>
      </c>
      <c r="F115" s="134" t="s">
        <v>11</v>
      </c>
      <c r="G115" s="111">
        <f>G116</f>
        <v>776.3</v>
      </c>
      <c r="H115" s="111">
        <f>SUM(H116)</f>
        <v>89</v>
      </c>
      <c r="I115" s="111">
        <f>I116</f>
        <v>865.3</v>
      </c>
      <c r="J115" s="114">
        <f t="shared" si="19"/>
        <v>0</v>
      </c>
      <c r="K115" s="111"/>
      <c r="L115" s="114">
        <f t="shared" si="19"/>
        <v>0</v>
      </c>
      <c r="M115" s="111">
        <f t="shared" si="19"/>
        <v>776.3</v>
      </c>
      <c r="N115" s="111">
        <f t="shared" si="19"/>
        <v>89</v>
      </c>
      <c r="O115" s="111">
        <f t="shared" si="19"/>
        <v>865.3</v>
      </c>
      <c r="P115" s="97"/>
      <c r="Q115" s="97"/>
    </row>
    <row r="116" spans="1:17" ht="22.5" customHeight="1" x14ac:dyDescent="0.2">
      <c r="A116" s="40"/>
      <c r="B116" s="113" t="s">
        <v>70</v>
      </c>
      <c r="C116" s="113" t="s">
        <v>51</v>
      </c>
      <c r="D116" s="133" t="s">
        <v>86</v>
      </c>
      <c r="E116" s="133" t="s">
        <v>152</v>
      </c>
      <c r="F116" s="134" t="s">
        <v>71</v>
      </c>
      <c r="G116" s="111">
        <v>776.3</v>
      </c>
      <c r="H116" s="111">
        <f>75+12+2</f>
        <v>89</v>
      </c>
      <c r="I116" s="111">
        <f>SUM(G116)+H116</f>
        <v>865.3</v>
      </c>
      <c r="J116" s="115">
        <v>0</v>
      </c>
      <c r="K116" s="106">
        <f>K117+K153</f>
        <v>0</v>
      </c>
      <c r="L116" s="115">
        <v>0</v>
      </c>
      <c r="M116" s="111">
        <f>SUM(G116)</f>
        <v>776.3</v>
      </c>
      <c r="N116" s="111">
        <f>SUM(H116)</f>
        <v>89</v>
      </c>
      <c r="O116" s="111">
        <f>SUM(I116)</f>
        <v>865.3</v>
      </c>
      <c r="P116" s="97"/>
      <c r="Q116" s="97"/>
    </row>
    <row r="117" spans="1:17" ht="31.5" x14ac:dyDescent="0.2">
      <c r="A117" s="20" t="s">
        <v>153</v>
      </c>
      <c r="B117" s="107" t="s">
        <v>154</v>
      </c>
      <c r="C117" s="107" t="s">
        <v>51</v>
      </c>
      <c r="D117" s="129" t="s">
        <v>155</v>
      </c>
      <c r="E117" s="133" t="s">
        <v>11</v>
      </c>
      <c r="F117" s="134" t="s">
        <v>11</v>
      </c>
      <c r="G117" s="106">
        <f>G124+G154+G118</f>
        <v>45838.900000000009</v>
      </c>
      <c r="H117" s="109">
        <f>SUM(H118)+H124+H154</f>
        <v>632</v>
      </c>
      <c r="I117" s="106">
        <f>I124+I154+I118</f>
        <v>46470.900000000009</v>
      </c>
      <c r="J117" s="108">
        <f>J124+J154</f>
        <v>0</v>
      </c>
      <c r="K117" s="109">
        <f>K124</f>
        <v>0</v>
      </c>
      <c r="L117" s="108">
        <f>L124+L154</f>
        <v>0</v>
      </c>
      <c r="M117" s="106">
        <f>M124+M154+M118</f>
        <v>45838.900000000009</v>
      </c>
      <c r="N117" s="106">
        <f t="shared" ref="N117:N124" si="20">SUM(H117)</f>
        <v>632</v>
      </c>
      <c r="O117" s="106">
        <f>O124+O154+O118</f>
        <v>46470.900000000009</v>
      </c>
      <c r="P117" s="97"/>
      <c r="Q117" s="97"/>
    </row>
    <row r="118" spans="1:17" ht="15.75" x14ac:dyDescent="0.2">
      <c r="A118" s="20"/>
      <c r="B118" s="116" t="s">
        <v>556</v>
      </c>
      <c r="C118" s="110">
        <v>992</v>
      </c>
      <c r="D118" s="137" t="s">
        <v>555</v>
      </c>
      <c r="E118" s="133"/>
      <c r="F118" s="134"/>
      <c r="G118" s="109">
        <v>1200</v>
      </c>
      <c r="H118" s="109">
        <f>SUM(H122)</f>
        <v>0</v>
      </c>
      <c r="I118" s="109">
        <f>SUM(I122)</f>
        <v>1200</v>
      </c>
      <c r="J118" s="112"/>
      <c r="K118" s="109"/>
      <c r="L118" s="112"/>
      <c r="M118" s="109">
        <f>SUM(G118)</f>
        <v>1200</v>
      </c>
      <c r="N118" s="109">
        <f t="shared" si="20"/>
        <v>0</v>
      </c>
      <c r="O118" s="109">
        <f>SUM(I118)</f>
        <v>1200</v>
      </c>
      <c r="P118" s="97"/>
      <c r="Q118" s="97"/>
    </row>
    <row r="119" spans="1:17" ht="31.5" x14ac:dyDescent="0.2">
      <c r="A119" s="20"/>
      <c r="B119" s="113" t="s">
        <v>159</v>
      </c>
      <c r="C119" s="113" t="s">
        <v>51</v>
      </c>
      <c r="D119" s="136" t="s">
        <v>555</v>
      </c>
      <c r="E119" s="133" t="s">
        <v>160</v>
      </c>
      <c r="F119" s="134"/>
      <c r="G119" s="114">
        <f>G120</f>
        <v>1200</v>
      </c>
      <c r="H119" s="114">
        <f>H120</f>
        <v>0</v>
      </c>
      <c r="I119" s="114">
        <f>I120</f>
        <v>1200</v>
      </c>
      <c r="J119" s="114">
        <f t="shared" ref="J119:O119" si="21">J120</f>
        <v>0</v>
      </c>
      <c r="K119" s="114">
        <f t="shared" si="21"/>
        <v>0</v>
      </c>
      <c r="L119" s="114">
        <f t="shared" si="21"/>
        <v>0</v>
      </c>
      <c r="M119" s="114">
        <f t="shared" si="21"/>
        <v>1200</v>
      </c>
      <c r="N119" s="114">
        <f t="shared" si="21"/>
        <v>0</v>
      </c>
      <c r="O119" s="114">
        <f t="shared" si="21"/>
        <v>1200</v>
      </c>
      <c r="P119" s="97"/>
      <c r="Q119" s="97"/>
    </row>
    <row r="120" spans="1:17" ht="31.5" x14ac:dyDescent="0.2">
      <c r="A120" s="20"/>
      <c r="B120" s="138" t="s">
        <v>159</v>
      </c>
      <c r="C120" s="113">
        <v>992</v>
      </c>
      <c r="D120" s="139" t="s">
        <v>555</v>
      </c>
      <c r="E120" s="136" t="s">
        <v>162</v>
      </c>
      <c r="F120" s="134"/>
      <c r="G120" s="111">
        <v>1200</v>
      </c>
      <c r="H120" s="117">
        <f>SUM(H122)</f>
        <v>0</v>
      </c>
      <c r="I120" s="117">
        <f>SUM(I122)</f>
        <v>1200</v>
      </c>
      <c r="J120" s="114"/>
      <c r="K120" s="117"/>
      <c r="L120" s="114"/>
      <c r="M120" s="111">
        <f>SUM(G120)</f>
        <v>1200</v>
      </c>
      <c r="N120" s="111">
        <f t="shared" si="20"/>
        <v>0</v>
      </c>
      <c r="O120" s="111">
        <f>SUM(I120)</f>
        <v>1200</v>
      </c>
      <c r="P120" s="97"/>
      <c r="Q120" s="97"/>
    </row>
    <row r="121" spans="1:17" ht="63" x14ac:dyDescent="0.2">
      <c r="A121" s="20"/>
      <c r="B121" s="138" t="s">
        <v>161</v>
      </c>
      <c r="C121" s="113">
        <v>992</v>
      </c>
      <c r="D121" s="139" t="s">
        <v>555</v>
      </c>
      <c r="E121" s="136" t="s">
        <v>558</v>
      </c>
      <c r="F121" s="134"/>
      <c r="G121" s="111">
        <v>1200</v>
      </c>
      <c r="H121" s="117">
        <f>SUM(H123)</f>
        <v>0</v>
      </c>
      <c r="I121" s="117">
        <f>SUM(I123)</f>
        <v>1200</v>
      </c>
      <c r="J121" s="114"/>
      <c r="K121" s="117"/>
      <c r="L121" s="114"/>
      <c r="M121" s="111">
        <f>SUM(G121)</f>
        <v>1200</v>
      </c>
      <c r="N121" s="111">
        <f t="shared" si="20"/>
        <v>0</v>
      </c>
      <c r="O121" s="111">
        <f>SUM(I121)</f>
        <v>1200</v>
      </c>
      <c r="P121" s="97"/>
      <c r="Q121" s="97"/>
    </row>
    <row r="122" spans="1:17" ht="31.5" x14ac:dyDescent="0.2">
      <c r="A122" s="20"/>
      <c r="B122" s="138" t="s">
        <v>557</v>
      </c>
      <c r="C122" s="113">
        <v>992</v>
      </c>
      <c r="D122" s="139" t="s">
        <v>555</v>
      </c>
      <c r="E122" s="136" t="s">
        <v>554</v>
      </c>
      <c r="F122" s="134"/>
      <c r="G122" s="111">
        <v>1200</v>
      </c>
      <c r="H122" s="117"/>
      <c r="I122" s="111">
        <f>SUM(G122)+H122</f>
        <v>1200</v>
      </c>
      <c r="J122" s="114"/>
      <c r="K122" s="117"/>
      <c r="L122" s="114"/>
      <c r="M122" s="111">
        <f>SUM(G122)</f>
        <v>1200</v>
      </c>
      <c r="N122" s="111">
        <f t="shared" si="20"/>
        <v>0</v>
      </c>
      <c r="O122" s="111">
        <f>SUM(I122)</f>
        <v>1200</v>
      </c>
      <c r="P122" s="97"/>
      <c r="Q122" s="97"/>
    </row>
    <row r="123" spans="1:17" ht="31.5" x14ac:dyDescent="0.2">
      <c r="A123" s="20"/>
      <c r="B123" s="113" t="s">
        <v>40</v>
      </c>
      <c r="C123" s="113">
        <v>992</v>
      </c>
      <c r="D123" s="139" t="s">
        <v>555</v>
      </c>
      <c r="E123" s="136" t="s">
        <v>554</v>
      </c>
      <c r="F123" s="134">
        <v>200</v>
      </c>
      <c r="G123" s="111">
        <v>1200</v>
      </c>
      <c r="H123" s="117"/>
      <c r="I123" s="111">
        <f>SUM(G123)+H123</f>
        <v>1200</v>
      </c>
      <c r="J123" s="114"/>
      <c r="K123" s="117"/>
      <c r="L123" s="114"/>
      <c r="M123" s="111">
        <f>SUM(G123)</f>
        <v>1200</v>
      </c>
      <c r="N123" s="111">
        <f t="shared" si="20"/>
        <v>0</v>
      </c>
      <c r="O123" s="111">
        <f>SUM(I123)</f>
        <v>1200</v>
      </c>
      <c r="P123" s="97"/>
      <c r="Q123" s="97"/>
    </row>
    <row r="124" spans="1:17" ht="63" x14ac:dyDescent="0.2">
      <c r="A124" s="33" t="s">
        <v>156</v>
      </c>
      <c r="B124" s="110" t="s">
        <v>157</v>
      </c>
      <c r="C124" s="110" t="s">
        <v>51</v>
      </c>
      <c r="D124" s="131" t="s">
        <v>158</v>
      </c>
      <c r="E124" s="131" t="s">
        <v>11</v>
      </c>
      <c r="F124" s="132" t="s">
        <v>11</v>
      </c>
      <c r="G124" s="109">
        <f>G125+G142</f>
        <v>37823.600000000006</v>
      </c>
      <c r="H124" s="111">
        <f>H125+H141+H142</f>
        <v>180</v>
      </c>
      <c r="I124" s="109">
        <f>I125+I142</f>
        <v>38003.600000000006</v>
      </c>
      <c r="J124" s="112">
        <f>J125</f>
        <v>0</v>
      </c>
      <c r="K124" s="111">
        <f>K125+K141+K149</f>
        <v>0</v>
      </c>
      <c r="L124" s="112">
        <f>L125</f>
        <v>0</v>
      </c>
      <c r="M124" s="109">
        <f>M125+M142</f>
        <v>37823.600000000006</v>
      </c>
      <c r="N124" s="109">
        <f t="shared" si="20"/>
        <v>180</v>
      </c>
      <c r="O124" s="109">
        <f>O125+O142</f>
        <v>38003.600000000006</v>
      </c>
      <c r="P124" s="97"/>
      <c r="Q124" s="97"/>
    </row>
    <row r="125" spans="1:17" ht="31.5" x14ac:dyDescent="0.2">
      <c r="A125" s="40"/>
      <c r="B125" s="113" t="s">
        <v>159</v>
      </c>
      <c r="C125" s="113" t="s">
        <v>51</v>
      </c>
      <c r="D125" s="133" t="s">
        <v>158</v>
      </c>
      <c r="E125" s="133" t="s">
        <v>160</v>
      </c>
      <c r="F125" s="134" t="s">
        <v>11</v>
      </c>
      <c r="G125" s="111">
        <f>G126+G146+G150</f>
        <v>37060.300000000003</v>
      </c>
      <c r="H125" s="111">
        <f>H126+H135+H138+H146</f>
        <v>180</v>
      </c>
      <c r="I125" s="111">
        <f>I126+I146+I150</f>
        <v>37240.300000000003</v>
      </c>
      <c r="J125" s="114">
        <f>J126+J146+J150</f>
        <v>0</v>
      </c>
      <c r="K125" s="111">
        <f>K126+K135+K138</f>
        <v>0</v>
      </c>
      <c r="L125" s="114">
        <f>L126+L146+L150</f>
        <v>0</v>
      </c>
      <c r="M125" s="111">
        <f>M126+M146+M150</f>
        <v>37060.300000000003</v>
      </c>
      <c r="N125" s="111">
        <f>N126+N146+N150</f>
        <v>180</v>
      </c>
      <c r="O125" s="111">
        <f>O126+O146+O150</f>
        <v>37240.300000000003</v>
      </c>
      <c r="P125" s="97"/>
      <c r="Q125" s="97"/>
    </row>
    <row r="126" spans="1:17" ht="63" x14ac:dyDescent="0.2">
      <c r="A126" s="40"/>
      <c r="B126" s="113" t="s">
        <v>161</v>
      </c>
      <c r="C126" s="113" t="s">
        <v>51</v>
      </c>
      <c r="D126" s="133" t="s">
        <v>158</v>
      </c>
      <c r="E126" s="133" t="s">
        <v>162</v>
      </c>
      <c r="F126" s="134" t="s">
        <v>11</v>
      </c>
      <c r="G126" s="111">
        <f>G127+G136+G139</f>
        <v>33299.4</v>
      </c>
      <c r="H126" s="111">
        <f>H127</f>
        <v>180</v>
      </c>
      <c r="I126" s="111">
        <f>I127+I136+I139</f>
        <v>33479.4</v>
      </c>
      <c r="J126" s="114">
        <f>J127+J136+J139</f>
        <v>0</v>
      </c>
      <c r="K126" s="111">
        <f>K127+K131+K133</f>
        <v>0</v>
      </c>
      <c r="L126" s="114">
        <f>L127+L136+L139</f>
        <v>0</v>
      </c>
      <c r="M126" s="111">
        <f>M127+M136+M139</f>
        <v>33299.4</v>
      </c>
      <c r="N126" s="111">
        <f>N127+N136+N139</f>
        <v>180</v>
      </c>
      <c r="O126" s="111">
        <f>O127+O136+O139</f>
        <v>33479.4</v>
      </c>
      <c r="P126" s="97"/>
      <c r="Q126" s="97"/>
    </row>
    <row r="127" spans="1:17" ht="63" x14ac:dyDescent="0.2">
      <c r="A127" s="40"/>
      <c r="B127" s="113" t="s">
        <v>163</v>
      </c>
      <c r="C127" s="113" t="s">
        <v>51</v>
      </c>
      <c r="D127" s="133" t="s">
        <v>158</v>
      </c>
      <c r="E127" s="133" t="s">
        <v>164</v>
      </c>
      <c r="F127" s="134" t="s">
        <v>11</v>
      </c>
      <c r="G127" s="111">
        <f>G128+G132+G134</f>
        <v>18198.7</v>
      </c>
      <c r="H127" s="111">
        <f>SUM(H128+H132)</f>
        <v>180</v>
      </c>
      <c r="I127" s="111">
        <f>I128+I132+I134</f>
        <v>18378.7</v>
      </c>
      <c r="J127" s="114">
        <f>J128+J132+J134</f>
        <v>0</v>
      </c>
      <c r="K127" s="111">
        <f>K128+K129+K130</f>
        <v>0</v>
      </c>
      <c r="L127" s="114">
        <f>L128+L132+L134</f>
        <v>0</v>
      </c>
      <c r="M127" s="111">
        <f>M128+M132+M134</f>
        <v>18198.7</v>
      </c>
      <c r="N127" s="111">
        <f>N128+N132+N134</f>
        <v>180</v>
      </c>
      <c r="O127" s="111">
        <f>O128+O132+O134</f>
        <v>18378.7</v>
      </c>
      <c r="P127" s="97"/>
      <c r="Q127" s="97"/>
    </row>
    <row r="128" spans="1:17" ht="31.5" x14ac:dyDescent="0.2">
      <c r="A128" s="40"/>
      <c r="B128" s="113" t="s">
        <v>134</v>
      </c>
      <c r="C128" s="113" t="s">
        <v>51</v>
      </c>
      <c r="D128" s="133" t="s">
        <v>158</v>
      </c>
      <c r="E128" s="133" t="s">
        <v>165</v>
      </c>
      <c r="F128" s="134" t="s">
        <v>11</v>
      </c>
      <c r="G128" s="111">
        <f>G129+G130+G131</f>
        <v>11968.5</v>
      </c>
      <c r="H128" s="111">
        <f>SUM(H129+H130)</f>
        <v>0</v>
      </c>
      <c r="I128" s="111">
        <f>I129+I130+I131</f>
        <v>11968.5</v>
      </c>
      <c r="J128" s="114">
        <f>J129+J130+J131</f>
        <v>0</v>
      </c>
      <c r="K128" s="111"/>
      <c r="L128" s="114">
        <f>L129+L130+L131</f>
        <v>0</v>
      </c>
      <c r="M128" s="111">
        <f>SUM(G128)</f>
        <v>11968.5</v>
      </c>
      <c r="N128" s="111">
        <f>N129+N130+N131</f>
        <v>0</v>
      </c>
      <c r="O128" s="111">
        <f>SUM(I128)</f>
        <v>11968.5</v>
      </c>
      <c r="P128" s="97"/>
      <c r="Q128" s="97"/>
    </row>
    <row r="129" spans="1:17" ht="42" customHeight="1" x14ac:dyDescent="0.2">
      <c r="A129" s="40"/>
      <c r="B129" s="113" t="s">
        <v>61</v>
      </c>
      <c r="C129" s="113" t="s">
        <v>51</v>
      </c>
      <c r="D129" s="133" t="s">
        <v>158</v>
      </c>
      <c r="E129" s="133" t="s">
        <v>165</v>
      </c>
      <c r="F129" s="134" t="s">
        <v>62</v>
      </c>
      <c r="G129" s="111">
        <v>10420.200000000001</v>
      </c>
      <c r="H129" s="111"/>
      <c r="I129" s="111">
        <f>SUM(G129)+H129</f>
        <v>10420.200000000001</v>
      </c>
      <c r="J129" s="115">
        <v>0</v>
      </c>
      <c r="K129" s="111"/>
      <c r="L129" s="115">
        <v>0</v>
      </c>
      <c r="M129" s="111">
        <f>SUM(G129)</f>
        <v>10420.200000000001</v>
      </c>
      <c r="N129" s="111">
        <f>SUM(H129)</f>
        <v>0</v>
      </c>
      <c r="O129" s="111">
        <f>SUM(I129)</f>
        <v>10420.200000000001</v>
      </c>
      <c r="P129" s="97"/>
      <c r="Q129" s="97"/>
    </row>
    <row r="130" spans="1:17" ht="31.5" x14ac:dyDescent="0.2">
      <c r="A130" s="40"/>
      <c r="B130" s="113" t="s">
        <v>40</v>
      </c>
      <c r="C130" s="113" t="s">
        <v>51</v>
      </c>
      <c r="D130" s="133" t="s">
        <v>158</v>
      </c>
      <c r="E130" s="133" t="s">
        <v>165</v>
      </c>
      <c r="F130" s="134" t="s">
        <v>41</v>
      </c>
      <c r="G130" s="111">
        <v>1525.3</v>
      </c>
      <c r="H130" s="111"/>
      <c r="I130" s="111">
        <f>SUM(G130)+H130</f>
        <v>1525.3</v>
      </c>
      <c r="J130" s="115">
        <v>0</v>
      </c>
      <c r="K130" s="111"/>
      <c r="L130" s="115">
        <v>0</v>
      </c>
      <c r="M130" s="111">
        <f>SUM(G130)</f>
        <v>1525.3</v>
      </c>
      <c r="N130" s="111">
        <f>SUM(H130)</f>
        <v>0</v>
      </c>
      <c r="O130" s="111">
        <f>SUM(I130)</f>
        <v>1525.3</v>
      </c>
      <c r="P130" s="97"/>
      <c r="Q130" s="97"/>
    </row>
    <row r="131" spans="1:17" ht="15.75" x14ac:dyDescent="0.2">
      <c r="A131" s="40"/>
      <c r="B131" s="113" t="s">
        <v>70</v>
      </c>
      <c r="C131" s="113" t="s">
        <v>51</v>
      </c>
      <c r="D131" s="133" t="s">
        <v>158</v>
      </c>
      <c r="E131" s="133" t="s">
        <v>165</v>
      </c>
      <c r="F131" s="134" t="s">
        <v>71</v>
      </c>
      <c r="G131" s="111">
        <v>23</v>
      </c>
      <c r="H131" s="111"/>
      <c r="I131" s="111">
        <v>23</v>
      </c>
      <c r="J131" s="115">
        <v>0</v>
      </c>
      <c r="K131" s="111"/>
      <c r="L131" s="115">
        <v>0</v>
      </c>
      <c r="M131" s="111">
        <v>23</v>
      </c>
      <c r="N131" s="111"/>
      <c r="O131" s="111">
        <v>23</v>
      </c>
      <c r="P131" s="97"/>
      <c r="Q131" s="97"/>
    </row>
    <row r="132" spans="1:17" ht="63" x14ac:dyDescent="0.2">
      <c r="A132" s="40"/>
      <c r="B132" s="113" t="s">
        <v>166</v>
      </c>
      <c r="C132" s="113" t="s">
        <v>51</v>
      </c>
      <c r="D132" s="133" t="s">
        <v>158</v>
      </c>
      <c r="E132" s="133" t="s">
        <v>167</v>
      </c>
      <c r="F132" s="134" t="s">
        <v>11</v>
      </c>
      <c r="G132" s="111">
        <f>G133</f>
        <v>5230.2</v>
      </c>
      <c r="H132" s="111">
        <f>SUM(H133)</f>
        <v>180</v>
      </c>
      <c r="I132" s="111">
        <f>I133</f>
        <v>5410.2</v>
      </c>
      <c r="J132" s="114">
        <f>J133</f>
        <v>0</v>
      </c>
      <c r="K132" s="111"/>
      <c r="L132" s="114">
        <f>L133</f>
        <v>0</v>
      </c>
      <c r="M132" s="111">
        <f>M133</f>
        <v>5230.2</v>
      </c>
      <c r="N132" s="111">
        <f>N133</f>
        <v>180</v>
      </c>
      <c r="O132" s="111">
        <f>O133</f>
        <v>5410.2</v>
      </c>
      <c r="P132" s="97"/>
      <c r="Q132" s="97"/>
    </row>
    <row r="133" spans="1:17" ht="31.5" x14ac:dyDescent="0.2">
      <c r="A133" s="40"/>
      <c r="B133" s="113" t="s">
        <v>40</v>
      </c>
      <c r="C133" s="113" t="s">
        <v>51</v>
      </c>
      <c r="D133" s="133" t="s">
        <v>158</v>
      </c>
      <c r="E133" s="133" t="s">
        <v>167</v>
      </c>
      <c r="F133" s="134" t="s">
        <v>41</v>
      </c>
      <c r="G133" s="111">
        <v>5230.2</v>
      </c>
      <c r="H133" s="111">
        <v>180</v>
      </c>
      <c r="I133" s="111">
        <f>SUM(G133)+H133</f>
        <v>5410.2</v>
      </c>
      <c r="J133" s="115"/>
      <c r="K133" s="111"/>
      <c r="L133" s="115"/>
      <c r="M133" s="111">
        <f>SUM(G133)</f>
        <v>5230.2</v>
      </c>
      <c r="N133" s="111">
        <f>SUM(H133)</f>
        <v>180</v>
      </c>
      <c r="O133" s="111">
        <f>SUM(M133)+N133</f>
        <v>5410.2</v>
      </c>
      <c r="P133" s="97"/>
      <c r="Q133" s="97"/>
    </row>
    <row r="134" spans="1:17" ht="63" x14ac:dyDescent="0.2">
      <c r="A134" s="40"/>
      <c r="B134" s="113" t="s">
        <v>168</v>
      </c>
      <c r="C134" s="113" t="s">
        <v>51</v>
      </c>
      <c r="D134" s="133" t="s">
        <v>158</v>
      </c>
      <c r="E134" s="133" t="s">
        <v>169</v>
      </c>
      <c r="F134" s="134" t="s">
        <v>11</v>
      </c>
      <c r="G134" s="111">
        <f>G135</f>
        <v>1000</v>
      </c>
      <c r="H134" s="111"/>
      <c r="I134" s="111">
        <f>I135</f>
        <v>1000</v>
      </c>
      <c r="J134" s="114">
        <f>J135</f>
        <v>0</v>
      </c>
      <c r="K134" s="111"/>
      <c r="L134" s="114">
        <f>L135</f>
        <v>0</v>
      </c>
      <c r="M134" s="111">
        <f>M135</f>
        <v>1000</v>
      </c>
      <c r="N134" s="111">
        <f>N135</f>
        <v>0</v>
      </c>
      <c r="O134" s="111">
        <f>O135</f>
        <v>1000</v>
      </c>
      <c r="P134" s="97"/>
      <c r="Q134" s="97"/>
    </row>
    <row r="135" spans="1:17" ht="31.5" x14ac:dyDescent="0.2">
      <c r="A135" s="40"/>
      <c r="B135" s="113" t="s">
        <v>40</v>
      </c>
      <c r="C135" s="113" t="s">
        <v>51</v>
      </c>
      <c r="D135" s="133" t="s">
        <v>158</v>
      </c>
      <c r="E135" s="133" t="s">
        <v>169</v>
      </c>
      <c r="F135" s="134" t="s">
        <v>41</v>
      </c>
      <c r="G135" s="111">
        <v>1000</v>
      </c>
      <c r="H135" s="111"/>
      <c r="I135" s="111">
        <v>1000</v>
      </c>
      <c r="J135" s="115"/>
      <c r="K135" s="111"/>
      <c r="L135" s="115"/>
      <c r="M135" s="111">
        <v>1000</v>
      </c>
      <c r="N135" s="111"/>
      <c r="O135" s="111">
        <v>1000</v>
      </c>
      <c r="P135" s="97"/>
      <c r="Q135" s="97"/>
    </row>
    <row r="136" spans="1:17" ht="37.9" customHeight="1" x14ac:dyDescent="0.2">
      <c r="A136" s="40"/>
      <c r="B136" s="113" t="s">
        <v>170</v>
      </c>
      <c r="C136" s="113" t="s">
        <v>51</v>
      </c>
      <c r="D136" s="133" t="s">
        <v>158</v>
      </c>
      <c r="E136" s="133" t="s">
        <v>171</v>
      </c>
      <c r="F136" s="134" t="s">
        <v>11</v>
      </c>
      <c r="G136" s="111">
        <f t="shared" ref="G136:O137" si="22">G137</f>
        <v>13584.1</v>
      </c>
      <c r="H136" s="111">
        <f t="shared" si="22"/>
        <v>0</v>
      </c>
      <c r="I136" s="111">
        <f t="shared" si="22"/>
        <v>13584.1</v>
      </c>
      <c r="J136" s="114">
        <f t="shared" si="22"/>
        <v>0</v>
      </c>
      <c r="K136" s="111">
        <f t="shared" si="22"/>
        <v>0</v>
      </c>
      <c r="L136" s="114">
        <f t="shared" si="22"/>
        <v>0</v>
      </c>
      <c r="M136" s="111">
        <f t="shared" si="22"/>
        <v>13584.1</v>
      </c>
      <c r="N136" s="111">
        <f t="shared" si="22"/>
        <v>0</v>
      </c>
      <c r="O136" s="111">
        <f t="shared" si="22"/>
        <v>13584.1</v>
      </c>
      <c r="P136" s="97"/>
      <c r="Q136" s="97"/>
    </row>
    <row r="137" spans="1:17" ht="94.5" x14ac:dyDescent="0.2">
      <c r="A137" s="40"/>
      <c r="B137" s="113" t="s">
        <v>172</v>
      </c>
      <c r="C137" s="113" t="s">
        <v>51</v>
      </c>
      <c r="D137" s="133" t="s">
        <v>158</v>
      </c>
      <c r="E137" s="133" t="s">
        <v>173</v>
      </c>
      <c r="F137" s="134" t="s">
        <v>11</v>
      </c>
      <c r="G137" s="111">
        <f t="shared" si="22"/>
        <v>13584.1</v>
      </c>
      <c r="H137" s="111"/>
      <c r="I137" s="111">
        <f t="shared" si="22"/>
        <v>13584.1</v>
      </c>
      <c r="J137" s="114">
        <f t="shared" si="22"/>
        <v>0</v>
      </c>
      <c r="K137" s="111"/>
      <c r="L137" s="114">
        <f t="shared" si="22"/>
        <v>0</v>
      </c>
      <c r="M137" s="111">
        <f t="shared" si="22"/>
        <v>13584.1</v>
      </c>
      <c r="N137" s="111">
        <f t="shared" si="22"/>
        <v>0</v>
      </c>
      <c r="O137" s="111">
        <f t="shared" si="22"/>
        <v>13584.1</v>
      </c>
      <c r="P137" s="97"/>
      <c r="Q137" s="97"/>
    </row>
    <row r="138" spans="1:17" ht="15.75" x14ac:dyDescent="0.2">
      <c r="A138" s="40"/>
      <c r="B138" s="113" t="s">
        <v>47</v>
      </c>
      <c r="C138" s="113" t="s">
        <v>51</v>
      </c>
      <c r="D138" s="133" t="s">
        <v>158</v>
      </c>
      <c r="E138" s="133" t="s">
        <v>173</v>
      </c>
      <c r="F138" s="134" t="s">
        <v>48</v>
      </c>
      <c r="G138" s="111">
        <f>13584.2-0.1</f>
        <v>13584.1</v>
      </c>
      <c r="H138" s="111">
        <f t="shared" ref="G138:O140" si="23">H139</f>
        <v>0</v>
      </c>
      <c r="I138" s="111">
        <f>13584.2-0.1</f>
        <v>13584.1</v>
      </c>
      <c r="J138" s="115">
        <v>0</v>
      </c>
      <c r="K138" s="111">
        <f t="shared" si="23"/>
        <v>0</v>
      </c>
      <c r="L138" s="115">
        <v>0</v>
      </c>
      <c r="M138" s="111">
        <f>13584.2-0.1</f>
        <v>13584.1</v>
      </c>
      <c r="N138" s="111"/>
      <c r="O138" s="111">
        <f>13584.2-0.1</f>
        <v>13584.1</v>
      </c>
      <c r="P138" s="97"/>
      <c r="Q138" s="97"/>
    </row>
    <row r="139" spans="1:17" ht="63" x14ac:dyDescent="0.2">
      <c r="A139" s="40"/>
      <c r="B139" s="113" t="s">
        <v>174</v>
      </c>
      <c r="C139" s="113" t="s">
        <v>51</v>
      </c>
      <c r="D139" s="133" t="s">
        <v>158</v>
      </c>
      <c r="E139" s="133" t="s">
        <v>175</v>
      </c>
      <c r="F139" s="134" t="s">
        <v>11</v>
      </c>
      <c r="G139" s="111">
        <f t="shared" si="23"/>
        <v>1516.6000000000001</v>
      </c>
      <c r="H139" s="111">
        <f t="shared" si="23"/>
        <v>0</v>
      </c>
      <c r="I139" s="111">
        <f t="shared" si="23"/>
        <v>1516.6000000000001</v>
      </c>
      <c r="J139" s="114">
        <f t="shared" si="23"/>
        <v>0</v>
      </c>
      <c r="K139" s="111">
        <f t="shared" si="23"/>
        <v>0</v>
      </c>
      <c r="L139" s="114">
        <f t="shared" si="23"/>
        <v>0</v>
      </c>
      <c r="M139" s="111">
        <f t="shared" si="23"/>
        <v>1516.6000000000001</v>
      </c>
      <c r="N139" s="111">
        <f t="shared" si="23"/>
        <v>0</v>
      </c>
      <c r="O139" s="111">
        <f t="shared" si="23"/>
        <v>1516.6000000000001</v>
      </c>
      <c r="P139" s="97"/>
      <c r="Q139" s="97"/>
    </row>
    <row r="140" spans="1:17" ht="78.75" x14ac:dyDescent="0.2">
      <c r="A140" s="40"/>
      <c r="B140" s="113" t="s">
        <v>176</v>
      </c>
      <c r="C140" s="113" t="s">
        <v>51</v>
      </c>
      <c r="D140" s="133" t="s">
        <v>158</v>
      </c>
      <c r="E140" s="133" t="s">
        <v>177</v>
      </c>
      <c r="F140" s="134" t="s">
        <v>11</v>
      </c>
      <c r="G140" s="111">
        <f t="shared" si="23"/>
        <v>1516.6000000000001</v>
      </c>
      <c r="H140" s="111"/>
      <c r="I140" s="111">
        <f t="shared" si="23"/>
        <v>1516.6000000000001</v>
      </c>
      <c r="J140" s="114">
        <f t="shared" si="23"/>
        <v>0</v>
      </c>
      <c r="K140" s="111"/>
      <c r="L140" s="114">
        <f t="shared" si="23"/>
        <v>0</v>
      </c>
      <c r="M140" s="111">
        <f t="shared" si="23"/>
        <v>1516.6000000000001</v>
      </c>
      <c r="N140" s="111">
        <f t="shared" si="23"/>
        <v>0</v>
      </c>
      <c r="O140" s="111">
        <f t="shared" si="23"/>
        <v>1516.6000000000001</v>
      </c>
      <c r="P140" s="97"/>
      <c r="Q140" s="97"/>
    </row>
    <row r="141" spans="1:17" ht="15.75" x14ac:dyDescent="0.2">
      <c r="A141" s="40"/>
      <c r="B141" s="113" t="s">
        <v>178</v>
      </c>
      <c r="C141" s="113" t="s">
        <v>51</v>
      </c>
      <c r="D141" s="133" t="s">
        <v>158</v>
      </c>
      <c r="E141" s="133" t="s">
        <v>177</v>
      </c>
      <c r="F141" s="134" t="s">
        <v>48</v>
      </c>
      <c r="G141" s="111">
        <f>1516.7-0.1</f>
        <v>1516.6000000000001</v>
      </c>
      <c r="H141" s="111"/>
      <c r="I141" s="111">
        <f>1516.7-0.1</f>
        <v>1516.6000000000001</v>
      </c>
      <c r="J141" s="115">
        <v>0</v>
      </c>
      <c r="K141" s="111"/>
      <c r="L141" s="115">
        <v>0</v>
      </c>
      <c r="M141" s="111">
        <f>1516.7-0.1</f>
        <v>1516.6000000000001</v>
      </c>
      <c r="N141" s="111"/>
      <c r="O141" s="111">
        <f>1516.7-0.1</f>
        <v>1516.6000000000001</v>
      </c>
      <c r="P141" s="97"/>
      <c r="Q141" s="97"/>
    </row>
    <row r="142" spans="1:17" ht="31.5" x14ac:dyDescent="0.2">
      <c r="A142" s="40"/>
      <c r="B142" s="113" t="s">
        <v>66</v>
      </c>
      <c r="C142" s="113">
        <v>992</v>
      </c>
      <c r="D142" s="133" t="s">
        <v>158</v>
      </c>
      <c r="E142" s="133">
        <v>5200000000</v>
      </c>
      <c r="F142" s="134"/>
      <c r="G142" s="111">
        <v>763.3</v>
      </c>
      <c r="H142" s="111"/>
      <c r="I142" s="111">
        <f>SUM(G142)</f>
        <v>763.3</v>
      </c>
      <c r="J142" s="115"/>
      <c r="K142" s="111"/>
      <c r="L142" s="115"/>
      <c r="M142" s="111">
        <f>SUM(G142)</f>
        <v>763.3</v>
      </c>
      <c r="N142" s="111">
        <f t="shared" ref="N142:O144" si="24">SUM(H142)</f>
        <v>0</v>
      </c>
      <c r="O142" s="111">
        <f t="shared" si="24"/>
        <v>763.3</v>
      </c>
      <c r="P142" s="97"/>
      <c r="Q142" s="97"/>
    </row>
    <row r="143" spans="1:17" ht="31.5" x14ac:dyDescent="0.2">
      <c r="A143" s="40"/>
      <c r="B143" s="113" t="s">
        <v>80</v>
      </c>
      <c r="C143" s="113">
        <v>992</v>
      </c>
      <c r="D143" s="133" t="s">
        <v>158</v>
      </c>
      <c r="E143" s="133">
        <v>5230000000</v>
      </c>
      <c r="F143" s="134"/>
      <c r="G143" s="111">
        <v>763.3</v>
      </c>
      <c r="H143" s="111"/>
      <c r="I143" s="111">
        <f>SUM(G143)</f>
        <v>763.3</v>
      </c>
      <c r="J143" s="115"/>
      <c r="K143" s="111"/>
      <c r="L143" s="115"/>
      <c r="M143" s="111">
        <f>SUM(G143)</f>
        <v>763.3</v>
      </c>
      <c r="N143" s="111">
        <f t="shared" si="24"/>
        <v>0</v>
      </c>
      <c r="O143" s="111">
        <f t="shared" si="24"/>
        <v>763.3</v>
      </c>
      <c r="P143" s="97"/>
      <c r="Q143" s="97"/>
    </row>
    <row r="144" spans="1:17" ht="31.5" x14ac:dyDescent="0.2">
      <c r="A144" s="40"/>
      <c r="B144" s="113" t="s">
        <v>82</v>
      </c>
      <c r="C144" s="113">
        <v>992</v>
      </c>
      <c r="D144" s="133" t="s">
        <v>158</v>
      </c>
      <c r="E144" s="133">
        <v>5230010490</v>
      </c>
      <c r="F144" s="134"/>
      <c r="G144" s="111">
        <v>763.3</v>
      </c>
      <c r="H144" s="111"/>
      <c r="I144" s="111">
        <f>SUM(G144)</f>
        <v>763.3</v>
      </c>
      <c r="J144" s="115"/>
      <c r="K144" s="111"/>
      <c r="L144" s="115"/>
      <c r="M144" s="111">
        <f>SUM(G144)</f>
        <v>763.3</v>
      </c>
      <c r="N144" s="111">
        <f t="shared" si="24"/>
        <v>0</v>
      </c>
      <c r="O144" s="111">
        <f t="shared" si="24"/>
        <v>763.3</v>
      </c>
      <c r="P144" s="97"/>
      <c r="Q144" s="97"/>
    </row>
    <row r="145" spans="1:17" ht="31.5" x14ac:dyDescent="0.2">
      <c r="A145" s="40"/>
      <c r="B145" s="113" t="s">
        <v>40</v>
      </c>
      <c r="C145" s="113">
        <v>992</v>
      </c>
      <c r="D145" s="133" t="s">
        <v>158</v>
      </c>
      <c r="E145" s="133">
        <v>5230010490</v>
      </c>
      <c r="F145" s="134">
        <v>200</v>
      </c>
      <c r="G145" s="111">
        <v>763.3</v>
      </c>
      <c r="H145" s="111"/>
      <c r="I145" s="111">
        <f>SUM(G145)</f>
        <v>763.3</v>
      </c>
      <c r="J145" s="115"/>
      <c r="K145" s="111"/>
      <c r="L145" s="115"/>
      <c r="M145" s="111">
        <f>SUM(G145)</f>
        <v>763.3</v>
      </c>
      <c r="N145" s="111">
        <f>SUM(H145)</f>
        <v>0</v>
      </c>
      <c r="O145" s="111">
        <f>SUM(I145)</f>
        <v>763.3</v>
      </c>
      <c r="P145" s="97"/>
      <c r="Q145" s="97"/>
    </row>
    <row r="146" spans="1:17" ht="15.75" x14ac:dyDescent="0.2">
      <c r="A146" s="40"/>
      <c r="B146" s="113" t="s">
        <v>179</v>
      </c>
      <c r="C146" s="113" t="s">
        <v>51</v>
      </c>
      <c r="D146" s="133" t="s">
        <v>158</v>
      </c>
      <c r="E146" s="133" t="s">
        <v>180</v>
      </c>
      <c r="F146" s="134" t="s">
        <v>11</v>
      </c>
      <c r="G146" s="111">
        <f t="shared" ref="G146:O148" si="25">G147</f>
        <v>394.4</v>
      </c>
      <c r="H146" s="111">
        <f t="shared" si="25"/>
        <v>0</v>
      </c>
      <c r="I146" s="111">
        <f t="shared" si="25"/>
        <v>394.4</v>
      </c>
      <c r="J146" s="114">
        <f t="shared" si="25"/>
        <v>0</v>
      </c>
      <c r="K146" s="111">
        <f>K147</f>
        <v>0</v>
      </c>
      <c r="L146" s="114">
        <f t="shared" si="25"/>
        <v>0</v>
      </c>
      <c r="M146" s="111">
        <f t="shared" si="25"/>
        <v>394.4</v>
      </c>
      <c r="N146" s="111">
        <f t="shared" si="25"/>
        <v>0</v>
      </c>
      <c r="O146" s="111">
        <f t="shared" si="25"/>
        <v>394.4</v>
      </c>
      <c r="P146" s="97"/>
      <c r="Q146" s="97"/>
    </row>
    <row r="147" spans="1:17" ht="31.5" x14ac:dyDescent="0.2">
      <c r="A147" s="40"/>
      <c r="B147" s="113" t="s">
        <v>181</v>
      </c>
      <c r="C147" s="113" t="s">
        <v>51</v>
      </c>
      <c r="D147" s="133" t="s">
        <v>158</v>
      </c>
      <c r="E147" s="133" t="s">
        <v>182</v>
      </c>
      <c r="F147" s="134" t="s">
        <v>11</v>
      </c>
      <c r="G147" s="111">
        <f t="shared" si="25"/>
        <v>394.4</v>
      </c>
      <c r="H147" s="111">
        <f t="shared" si="25"/>
        <v>0</v>
      </c>
      <c r="I147" s="111">
        <f t="shared" si="25"/>
        <v>394.4</v>
      </c>
      <c r="J147" s="114">
        <f t="shared" si="25"/>
        <v>0</v>
      </c>
      <c r="K147" s="111">
        <f>K148</f>
        <v>0</v>
      </c>
      <c r="L147" s="114">
        <f t="shared" si="25"/>
        <v>0</v>
      </c>
      <c r="M147" s="111">
        <f t="shared" si="25"/>
        <v>394.4</v>
      </c>
      <c r="N147" s="111">
        <f t="shared" si="25"/>
        <v>0</v>
      </c>
      <c r="O147" s="111">
        <f t="shared" si="25"/>
        <v>394.4</v>
      </c>
      <c r="P147" s="97"/>
      <c r="Q147" s="97"/>
    </row>
    <row r="148" spans="1:17" ht="15.75" x14ac:dyDescent="0.2">
      <c r="A148" s="40"/>
      <c r="B148" s="113" t="s">
        <v>183</v>
      </c>
      <c r="C148" s="113" t="s">
        <v>51</v>
      </c>
      <c r="D148" s="133" t="s">
        <v>158</v>
      </c>
      <c r="E148" s="133" t="s">
        <v>184</v>
      </c>
      <c r="F148" s="134" t="s">
        <v>11</v>
      </c>
      <c r="G148" s="111">
        <f>G149</f>
        <v>394.4</v>
      </c>
      <c r="H148" s="111">
        <f>H149</f>
        <v>0</v>
      </c>
      <c r="I148" s="111">
        <f>I149</f>
        <v>394.4</v>
      </c>
      <c r="J148" s="114">
        <f t="shared" si="25"/>
        <v>0</v>
      </c>
      <c r="K148" s="111"/>
      <c r="L148" s="114">
        <f t="shared" si="25"/>
        <v>0</v>
      </c>
      <c r="M148" s="111">
        <f t="shared" si="25"/>
        <v>394.4</v>
      </c>
      <c r="N148" s="111">
        <f t="shared" si="25"/>
        <v>0</v>
      </c>
      <c r="O148" s="111">
        <f t="shared" si="25"/>
        <v>394.4</v>
      </c>
      <c r="P148" s="97"/>
      <c r="Q148" s="97"/>
    </row>
    <row r="149" spans="1:17" ht="31.5" x14ac:dyDescent="0.2">
      <c r="A149" s="40"/>
      <c r="B149" s="113" t="s">
        <v>40</v>
      </c>
      <c r="C149" s="113" t="s">
        <v>51</v>
      </c>
      <c r="D149" s="133" t="s">
        <v>158</v>
      </c>
      <c r="E149" s="133" t="s">
        <v>184</v>
      </c>
      <c r="F149" s="134" t="s">
        <v>41</v>
      </c>
      <c r="G149" s="111">
        <v>394.4</v>
      </c>
      <c r="H149" s="111"/>
      <c r="I149" s="111">
        <f>SUM(G149)</f>
        <v>394.4</v>
      </c>
      <c r="J149" s="115">
        <v>0</v>
      </c>
      <c r="K149" s="111"/>
      <c r="L149" s="115">
        <v>0</v>
      </c>
      <c r="M149" s="111">
        <f>SUM(G149)</f>
        <v>394.4</v>
      </c>
      <c r="N149" s="111">
        <f>SUM(H149)</f>
        <v>0</v>
      </c>
      <c r="O149" s="111">
        <f>SUM(M149)</f>
        <v>394.4</v>
      </c>
      <c r="P149" s="97"/>
      <c r="Q149" s="97"/>
    </row>
    <row r="150" spans="1:17" ht="31.5" x14ac:dyDescent="0.2">
      <c r="A150" s="40"/>
      <c r="B150" s="113" t="s">
        <v>185</v>
      </c>
      <c r="C150" s="113" t="s">
        <v>51</v>
      </c>
      <c r="D150" s="133" t="s">
        <v>158</v>
      </c>
      <c r="E150" s="133" t="s">
        <v>186</v>
      </c>
      <c r="F150" s="134" t="s">
        <v>11</v>
      </c>
      <c r="G150" s="111">
        <f t="shared" ref="G150:O152" si="26">G151</f>
        <v>3366.5</v>
      </c>
      <c r="H150" s="111">
        <f t="shared" si="26"/>
        <v>0</v>
      </c>
      <c r="I150" s="111">
        <f t="shared" si="26"/>
        <v>3366.5</v>
      </c>
      <c r="J150" s="114">
        <f t="shared" si="26"/>
        <v>0</v>
      </c>
      <c r="K150" s="111">
        <f>K151</f>
        <v>0</v>
      </c>
      <c r="L150" s="114">
        <f t="shared" si="26"/>
        <v>0</v>
      </c>
      <c r="M150" s="111">
        <f t="shared" si="26"/>
        <v>3366.5</v>
      </c>
      <c r="N150" s="111">
        <f t="shared" si="26"/>
        <v>0</v>
      </c>
      <c r="O150" s="111">
        <f t="shared" si="26"/>
        <v>3366.5</v>
      </c>
      <c r="P150" s="97"/>
      <c r="Q150" s="97"/>
    </row>
    <row r="151" spans="1:17" ht="47.25" x14ac:dyDescent="0.2">
      <c r="A151" s="40"/>
      <c r="B151" s="113" t="s">
        <v>187</v>
      </c>
      <c r="C151" s="113" t="s">
        <v>51</v>
      </c>
      <c r="D151" s="133" t="s">
        <v>158</v>
      </c>
      <c r="E151" s="133" t="s">
        <v>188</v>
      </c>
      <c r="F151" s="134" t="s">
        <v>11</v>
      </c>
      <c r="G151" s="111">
        <f t="shared" si="26"/>
        <v>3366.5</v>
      </c>
      <c r="H151" s="111">
        <f t="shared" si="26"/>
        <v>0</v>
      </c>
      <c r="I151" s="111">
        <f t="shared" si="26"/>
        <v>3366.5</v>
      </c>
      <c r="J151" s="114">
        <f t="shared" si="26"/>
        <v>0</v>
      </c>
      <c r="K151" s="111">
        <f>K152</f>
        <v>0</v>
      </c>
      <c r="L151" s="114">
        <f t="shared" si="26"/>
        <v>0</v>
      </c>
      <c r="M151" s="111">
        <f t="shared" si="26"/>
        <v>3366.5</v>
      </c>
      <c r="N151" s="111">
        <f t="shared" si="26"/>
        <v>0</v>
      </c>
      <c r="O151" s="111">
        <f t="shared" si="26"/>
        <v>3366.5</v>
      </c>
      <c r="P151" s="97"/>
      <c r="Q151" s="97"/>
    </row>
    <row r="152" spans="1:17" ht="41.45" customHeight="1" x14ac:dyDescent="0.2">
      <c r="A152" s="40"/>
      <c r="B152" s="113" t="s">
        <v>189</v>
      </c>
      <c r="C152" s="113" t="s">
        <v>51</v>
      </c>
      <c r="D152" s="133" t="s">
        <v>158</v>
      </c>
      <c r="E152" s="133" t="s">
        <v>190</v>
      </c>
      <c r="F152" s="134" t="s">
        <v>11</v>
      </c>
      <c r="G152" s="111">
        <f>G153</f>
        <v>3366.5</v>
      </c>
      <c r="H152" s="111"/>
      <c r="I152" s="111">
        <f>I153</f>
        <v>3366.5</v>
      </c>
      <c r="J152" s="114">
        <f t="shared" si="26"/>
        <v>0</v>
      </c>
      <c r="K152" s="111"/>
      <c r="L152" s="114">
        <f t="shared" si="26"/>
        <v>0</v>
      </c>
      <c r="M152" s="111">
        <f t="shared" si="26"/>
        <v>3366.5</v>
      </c>
      <c r="N152" s="111">
        <f t="shared" si="26"/>
        <v>0</v>
      </c>
      <c r="O152" s="111">
        <f t="shared" si="26"/>
        <v>3366.5</v>
      </c>
      <c r="P152" s="97"/>
      <c r="Q152" s="97"/>
    </row>
    <row r="153" spans="1:17" ht="15.75" x14ac:dyDescent="0.2">
      <c r="A153" s="40"/>
      <c r="B153" s="113" t="s">
        <v>47</v>
      </c>
      <c r="C153" s="113" t="s">
        <v>51</v>
      </c>
      <c r="D153" s="133" t="s">
        <v>158</v>
      </c>
      <c r="E153" s="133" t="s">
        <v>190</v>
      </c>
      <c r="F153" s="134" t="s">
        <v>48</v>
      </c>
      <c r="G153" s="111">
        <v>3366.5</v>
      </c>
      <c r="H153" s="109"/>
      <c r="I153" s="111">
        <v>3366.5</v>
      </c>
      <c r="J153" s="115">
        <v>0</v>
      </c>
      <c r="K153" s="109"/>
      <c r="L153" s="115">
        <v>0</v>
      </c>
      <c r="M153" s="111">
        <v>3366.5</v>
      </c>
      <c r="N153" s="111"/>
      <c r="O153" s="111">
        <v>3366.5</v>
      </c>
      <c r="P153" s="97"/>
      <c r="Q153" s="97"/>
    </row>
    <row r="154" spans="1:17" ht="36.6" customHeight="1" x14ac:dyDescent="0.2">
      <c r="A154" s="33" t="s">
        <v>191</v>
      </c>
      <c r="B154" s="110" t="s">
        <v>192</v>
      </c>
      <c r="C154" s="110" t="s">
        <v>51</v>
      </c>
      <c r="D154" s="131" t="s">
        <v>193</v>
      </c>
      <c r="E154" s="131" t="s">
        <v>11</v>
      </c>
      <c r="F154" s="132" t="s">
        <v>11</v>
      </c>
      <c r="G154" s="109">
        <f>G155</f>
        <v>6815.3</v>
      </c>
      <c r="H154" s="109">
        <f>H155+H161+H165</f>
        <v>452</v>
      </c>
      <c r="I154" s="109">
        <f>I155</f>
        <v>7267.3</v>
      </c>
      <c r="J154" s="112">
        <f>J155</f>
        <v>0</v>
      </c>
      <c r="K154" s="111">
        <f>K155+K161+K165</f>
        <v>0</v>
      </c>
      <c r="L154" s="112">
        <f>L155</f>
        <v>0</v>
      </c>
      <c r="M154" s="109">
        <f>M155</f>
        <v>6815.3</v>
      </c>
      <c r="N154" s="109">
        <f>N155</f>
        <v>452</v>
      </c>
      <c r="O154" s="109">
        <f>O155</f>
        <v>7267.3</v>
      </c>
      <c r="P154" s="97"/>
      <c r="Q154" s="97"/>
    </row>
    <row r="155" spans="1:17" ht="31.5" x14ac:dyDescent="0.2">
      <c r="A155" s="40"/>
      <c r="B155" s="113" t="s">
        <v>159</v>
      </c>
      <c r="C155" s="113" t="s">
        <v>51</v>
      </c>
      <c r="D155" s="133" t="s">
        <v>193</v>
      </c>
      <c r="E155" s="133" t="s">
        <v>160</v>
      </c>
      <c r="F155" s="134" t="s">
        <v>11</v>
      </c>
      <c r="G155" s="111">
        <f>G156+G162+G166</f>
        <v>6815.3</v>
      </c>
      <c r="H155" s="111">
        <f>H156</f>
        <v>252</v>
      </c>
      <c r="I155" s="111">
        <f>I156+I162+I166</f>
        <v>7267.3</v>
      </c>
      <c r="J155" s="114">
        <f>J156+J162+J166</f>
        <v>0</v>
      </c>
      <c r="K155" s="111">
        <f>K156</f>
        <v>0</v>
      </c>
      <c r="L155" s="114">
        <f>L156+L162+L166</f>
        <v>0</v>
      </c>
      <c r="M155" s="111">
        <f>M156+M162+M166</f>
        <v>6815.3</v>
      </c>
      <c r="N155" s="111">
        <f>N156+N162+N166</f>
        <v>452</v>
      </c>
      <c r="O155" s="111">
        <f>O156+O162+O166</f>
        <v>7267.3</v>
      </c>
      <c r="P155" s="97"/>
      <c r="Q155" s="97"/>
    </row>
    <row r="156" spans="1:17" ht="31.5" x14ac:dyDescent="0.2">
      <c r="A156" s="40"/>
      <c r="B156" s="113" t="s">
        <v>194</v>
      </c>
      <c r="C156" s="113" t="s">
        <v>51</v>
      </c>
      <c r="D156" s="133" t="s">
        <v>193</v>
      </c>
      <c r="E156" s="133" t="s">
        <v>195</v>
      </c>
      <c r="F156" s="134" t="s">
        <v>11</v>
      </c>
      <c r="G156" s="111">
        <f>G157</f>
        <v>6700.3</v>
      </c>
      <c r="H156" s="111">
        <f>H157</f>
        <v>252</v>
      </c>
      <c r="I156" s="111">
        <f>I157</f>
        <v>7152.3</v>
      </c>
      <c r="J156" s="114">
        <f>J157</f>
        <v>0</v>
      </c>
      <c r="K156" s="111">
        <f>K157+K159</f>
        <v>0</v>
      </c>
      <c r="L156" s="114">
        <f>L157</f>
        <v>0</v>
      </c>
      <c r="M156" s="111">
        <f>M157</f>
        <v>6700.3</v>
      </c>
      <c r="N156" s="111">
        <f>N157</f>
        <v>452</v>
      </c>
      <c r="O156" s="111">
        <f>O157</f>
        <v>7152.3</v>
      </c>
      <c r="P156" s="97"/>
      <c r="Q156" s="97"/>
    </row>
    <row r="157" spans="1:17" ht="47.25" x14ac:dyDescent="0.2">
      <c r="A157" s="40"/>
      <c r="B157" s="113" t="s">
        <v>196</v>
      </c>
      <c r="C157" s="113" t="s">
        <v>51</v>
      </c>
      <c r="D157" s="133" t="s">
        <v>193</v>
      </c>
      <c r="E157" s="133" t="s">
        <v>197</v>
      </c>
      <c r="F157" s="134" t="s">
        <v>11</v>
      </c>
      <c r="G157" s="111">
        <f>G158+G160</f>
        <v>6700.3</v>
      </c>
      <c r="H157" s="111">
        <f>H158</f>
        <v>252</v>
      </c>
      <c r="I157" s="111">
        <f>I158+I160</f>
        <v>7152.3</v>
      </c>
      <c r="J157" s="114">
        <f>J158+J160</f>
        <v>0</v>
      </c>
      <c r="K157" s="111">
        <f>K158</f>
        <v>0</v>
      </c>
      <c r="L157" s="114">
        <f>L158+L160</f>
        <v>0</v>
      </c>
      <c r="M157" s="111">
        <f>M158+M160</f>
        <v>6700.3</v>
      </c>
      <c r="N157" s="111">
        <f>N158+N160</f>
        <v>452</v>
      </c>
      <c r="O157" s="111">
        <f>O158+O160</f>
        <v>7152.3</v>
      </c>
      <c r="P157" s="97"/>
      <c r="Q157" s="97"/>
    </row>
    <row r="158" spans="1:17" ht="31.5" x14ac:dyDescent="0.2">
      <c r="A158" s="40"/>
      <c r="B158" s="113" t="s">
        <v>198</v>
      </c>
      <c r="C158" s="113" t="s">
        <v>51</v>
      </c>
      <c r="D158" s="133" t="s">
        <v>193</v>
      </c>
      <c r="E158" s="133" t="s">
        <v>199</v>
      </c>
      <c r="F158" s="134" t="s">
        <v>11</v>
      </c>
      <c r="G158" s="111">
        <f>G159</f>
        <v>1835.5</v>
      </c>
      <c r="H158" s="111">
        <f>SUM(H159)</f>
        <v>252</v>
      </c>
      <c r="I158" s="111">
        <f>I159</f>
        <v>2087.5</v>
      </c>
      <c r="J158" s="114">
        <f>J159</f>
        <v>0</v>
      </c>
      <c r="K158" s="111"/>
      <c r="L158" s="114">
        <f>L159</f>
        <v>0</v>
      </c>
      <c r="M158" s="111">
        <f>M159</f>
        <v>1835.5</v>
      </c>
      <c r="N158" s="111">
        <f>N159</f>
        <v>252</v>
      </c>
      <c r="O158" s="111">
        <f>O159</f>
        <v>2087.5</v>
      </c>
      <c r="P158" s="97"/>
      <c r="Q158" s="97"/>
    </row>
    <row r="159" spans="1:17" ht="31.5" x14ac:dyDescent="0.2">
      <c r="A159" s="40"/>
      <c r="B159" s="113" t="s">
        <v>40</v>
      </c>
      <c r="C159" s="113" t="s">
        <v>51</v>
      </c>
      <c r="D159" s="133" t="s">
        <v>193</v>
      </c>
      <c r="E159" s="133" t="s">
        <v>199</v>
      </c>
      <c r="F159" s="134" t="s">
        <v>41</v>
      </c>
      <c r="G159" s="111">
        <v>1835.5</v>
      </c>
      <c r="H159" s="111">
        <v>252</v>
      </c>
      <c r="I159" s="111">
        <f>SUM(G159)+H159</f>
        <v>2087.5</v>
      </c>
      <c r="J159" s="115">
        <v>0</v>
      </c>
      <c r="K159" s="111"/>
      <c r="L159" s="115">
        <v>0</v>
      </c>
      <c r="M159" s="111">
        <f>SUM(G159)</f>
        <v>1835.5</v>
      </c>
      <c r="N159" s="111">
        <f>SUM(H159)</f>
        <v>252</v>
      </c>
      <c r="O159" s="111">
        <f>SUM(I159)</f>
        <v>2087.5</v>
      </c>
      <c r="P159" s="97"/>
      <c r="Q159" s="97"/>
    </row>
    <row r="160" spans="1:17" ht="63" x14ac:dyDescent="0.2">
      <c r="A160" s="40"/>
      <c r="B160" s="113" t="s">
        <v>200</v>
      </c>
      <c r="C160" s="113" t="s">
        <v>51</v>
      </c>
      <c r="D160" s="133" t="s">
        <v>193</v>
      </c>
      <c r="E160" s="133" t="s">
        <v>201</v>
      </c>
      <c r="F160" s="134" t="s">
        <v>11</v>
      </c>
      <c r="G160" s="111">
        <f>G161</f>
        <v>4864.8</v>
      </c>
      <c r="H160" s="111">
        <f>SUM(H161)</f>
        <v>200</v>
      </c>
      <c r="I160" s="111">
        <f>I161</f>
        <v>5064.8</v>
      </c>
      <c r="J160" s="114">
        <f>J161</f>
        <v>0</v>
      </c>
      <c r="K160" s="111"/>
      <c r="L160" s="114">
        <f>L161</f>
        <v>0</v>
      </c>
      <c r="M160" s="111">
        <f>M161</f>
        <v>4864.8</v>
      </c>
      <c r="N160" s="111">
        <f>N161</f>
        <v>200</v>
      </c>
      <c r="O160" s="111">
        <f>O161</f>
        <v>5064.8</v>
      </c>
      <c r="P160" s="97"/>
      <c r="Q160" s="97"/>
    </row>
    <row r="161" spans="1:17" ht="15.75" x14ac:dyDescent="0.2">
      <c r="A161" s="40"/>
      <c r="B161" s="113" t="s">
        <v>47</v>
      </c>
      <c r="C161" s="113" t="s">
        <v>51</v>
      </c>
      <c r="D161" s="133" t="s">
        <v>193</v>
      </c>
      <c r="E161" s="133" t="s">
        <v>201</v>
      </c>
      <c r="F161" s="134" t="s">
        <v>48</v>
      </c>
      <c r="G161" s="111">
        <v>4864.8</v>
      </c>
      <c r="H161" s="111">
        <v>200</v>
      </c>
      <c r="I161" s="111">
        <f>4864.8+H161</f>
        <v>5064.8</v>
      </c>
      <c r="J161" s="115">
        <v>0</v>
      </c>
      <c r="K161" s="111"/>
      <c r="L161" s="115">
        <v>0</v>
      </c>
      <c r="M161" s="111">
        <v>4864.8</v>
      </c>
      <c r="N161" s="111">
        <f>SUM(H161)</f>
        <v>200</v>
      </c>
      <c r="O161" s="111">
        <f>4864.8+N161</f>
        <v>5064.8</v>
      </c>
      <c r="P161" s="97"/>
      <c r="Q161" s="97"/>
    </row>
    <row r="162" spans="1:17" ht="15.75" x14ac:dyDescent="0.2">
      <c r="A162" s="40"/>
      <c r="B162" s="113" t="s">
        <v>202</v>
      </c>
      <c r="C162" s="113" t="s">
        <v>51</v>
      </c>
      <c r="D162" s="133" t="s">
        <v>193</v>
      </c>
      <c r="E162" s="133" t="s">
        <v>203</v>
      </c>
      <c r="F162" s="134" t="s">
        <v>11</v>
      </c>
      <c r="G162" s="111">
        <f t="shared" ref="G162:O164" si="27">G163</f>
        <v>20</v>
      </c>
      <c r="H162" s="111">
        <f t="shared" si="27"/>
        <v>0</v>
      </c>
      <c r="I162" s="111">
        <f t="shared" si="27"/>
        <v>20</v>
      </c>
      <c r="J162" s="114">
        <f t="shared" si="27"/>
        <v>0</v>
      </c>
      <c r="K162" s="111">
        <f>K163</f>
        <v>0</v>
      </c>
      <c r="L162" s="114">
        <f t="shared" si="27"/>
        <v>0</v>
      </c>
      <c r="M162" s="111">
        <f t="shared" si="27"/>
        <v>20</v>
      </c>
      <c r="N162" s="111">
        <f t="shared" si="27"/>
        <v>0</v>
      </c>
      <c r="O162" s="111">
        <f t="shared" si="27"/>
        <v>20</v>
      </c>
      <c r="P162" s="97"/>
      <c r="Q162" s="97"/>
    </row>
    <row r="163" spans="1:17" ht="34.9" customHeight="1" x14ac:dyDescent="0.2">
      <c r="A163" s="40"/>
      <c r="B163" s="113" t="s">
        <v>204</v>
      </c>
      <c r="C163" s="113" t="s">
        <v>51</v>
      </c>
      <c r="D163" s="133" t="s">
        <v>193</v>
      </c>
      <c r="E163" s="133" t="s">
        <v>205</v>
      </c>
      <c r="F163" s="134" t="s">
        <v>11</v>
      </c>
      <c r="G163" s="111">
        <f t="shared" si="27"/>
        <v>20</v>
      </c>
      <c r="H163" s="111">
        <f t="shared" si="27"/>
        <v>0</v>
      </c>
      <c r="I163" s="111">
        <f t="shared" si="27"/>
        <v>20</v>
      </c>
      <c r="J163" s="114">
        <f t="shared" si="27"/>
        <v>0</v>
      </c>
      <c r="K163" s="111">
        <f>K164</f>
        <v>0</v>
      </c>
      <c r="L163" s="114">
        <f t="shared" si="27"/>
        <v>0</v>
      </c>
      <c r="M163" s="111">
        <f t="shared" si="27"/>
        <v>20</v>
      </c>
      <c r="N163" s="111">
        <f t="shared" si="27"/>
        <v>0</v>
      </c>
      <c r="O163" s="111">
        <f t="shared" si="27"/>
        <v>20</v>
      </c>
      <c r="P163" s="97"/>
      <c r="Q163" s="97"/>
    </row>
    <row r="164" spans="1:17" ht="15.75" x14ac:dyDescent="0.2">
      <c r="A164" s="40"/>
      <c r="B164" s="113" t="s">
        <v>206</v>
      </c>
      <c r="C164" s="113" t="s">
        <v>51</v>
      </c>
      <c r="D164" s="133" t="s">
        <v>193</v>
      </c>
      <c r="E164" s="133" t="s">
        <v>207</v>
      </c>
      <c r="F164" s="134" t="s">
        <v>11</v>
      </c>
      <c r="G164" s="111">
        <f>G165</f>
        <v>20</v>
      </c>
      <c r="H164" s="111"/>
      <c r="I164" s="111">
        <f>I165</f>
        <v>20</v>
      </c>
      <c r="J164" s="114">
        <f t="shared" si="27"/>
        <v>0</v>
      </c>
      <c r="K164" s="111"/>
      <c r="L164" s="114">
        <f t="shared" si="27"/>
        <v>0</v>
      </c>
      <c r="M164" s="111">
        <f t="shared" si="27"/>
        <v>20</v>
      </c>
      <c r="N164" s="111">
        <f t="shared" si="27"/>
        <v>0</v>
      </c>
      <c r="O164" s="111">
        <f t="shared" si="27"/>
        <v>20</v>
      </c>
      <c r="P164" s="97"/>
      <c r="Q164" s="97"/>
    </row>
    <row r="165" spans="1:17" ht="31.5" x14ac:dyDescent="0.2">
      <c r="A165" s="40"/>
      <c r="B165" s="113" t="s">
        <v>40</v>
      </c>
      <c r="C165" s="113" t="s">
        <v>51</v>
      </c>
      <c r="D165" s="133" t="s">
        <v>193</v>
      </c>
      <c r="E165" s="133" t="s">
        <v>207</v>
      </c>
      <c r="F165" s="134" t="s">
        <v>41</v>
      </c>
      <c r="G165" s="111">
        <v>20</v>
      </c>
      <c r="H165" s="111"/>
      <c r="I165" s="111">
        <v>20</v>
      </c>
      <c r="J165" s="115">
        <v>0</v>
      </c>
      <c r="K165" s="111"/>
      <c r="L165" s="115">
        <v>0</v>
      </c>
      <c r="M165" s="111">
        <v>20</v>
      </c>
      <c r="N165" s="111"/>
      <c r="O165" s="111">
        <v>20</v>
      </c>
      <c r="P165" s="97"/>
      <c r="Q165" s="97"/>
    </row>
    <row r="166" spans="1:17" ht="31.5" x14ac:dyDescent="0.2">
      <c r="A166" s="40"/>
      <c r="B166" s="113" t="s">
        <v>185</v>
      </c>
      <c r="C166" s="113" t="s">
        <v>51</v>
      </c>
      <c r="D166" s="133" t="s">
        <v>193</v>
      </c>
      <c r="E166" s="133" t="s">
        <v>186</v>
      </c>
      <c r="F166" s="134" t="s">
        <v>11</v>
      </c>
      <c r="G166" s="111">
        <f t="shared" ref="G166:O168" si="28">G167</f>
        <v>95</v>
      </c>
      <c r="H166" s="111">
        <f t="shared" si="28"/>
        <v>0</v>
      </c>
      <c r="I166" s="111">
        <f t="shared" si="28"/>
        <v>95</v>
      </c>
      <c r="J166" s="114">
        <f t="shared" si="28"/>
        <v>0</v>
      </c>
      <c r="K166" s="111">
        <f>K167</f>
        <v>0</v>
      </c>
      <c r="L166" s="114">
        <f t="shared" si="28"/>
        <v>0</v>
      </c>
      <c r="M166" s="111">
        <f t="shared" si="28"/>
        <v>95</v>
      </c>
      <c r="N166" s="111">
        <f t="shared" si="28"/>
        <v>0</v>
      </c>
      <c r="O166" s="111">
        <f t="shared" si="28"/>
        <v>95</v>
      </c>
      <c r="P166" s="97"/>
      <c r="Q166" s="97"/>
    </row>
    <row r="167" spans="1:17" ht="52.15" customHeight="1" x14ac:dyDescent="0.2">
      <c r="A167" s="40"/>
      <c r="B167" s="113" t="s">
        <v>208</v>
      </c>
      <c r="C167" s="113" t="s">
        <v>51</v>
      </c>
      <c r="D167" s="133" t="s">
        <v>193</v>
      </c>
      <c r="E167" s="133" t="s">
        <v>209</v>
      </c>
      <c r="F167" s="134" t="s">
        <v>11</v>
      </c>
      <c r="G167" s="111">
        <f t="shared" si="28"/>
        <v>95</v>
      </c>
      <c r="H167" s="111">
        <f t="shared" si="28"/>
        <v>0</v>
      </c>
      <c r="I167" s="111">
        <f t="shared" si="28"/>
        <v>95</v>
      </c>
      <c r="J167" s="114">
        <f t="shared" si="28"/>
        <v>0</v>
      </c>
      <c r="K167" s="111">
        <f>K168</f>
        <v>0</v>
      </c>
      <c r="L167" s="114">
        <f t="shared" si="28"/>
        <v>0</v>
      </c>
      <c r="M167" s="111">
        <f t="shared" si="28"/>
        <v>95</v>
      </c>
      <c r="N167" s="111">
        <f t="shared" si="28"/>
        <v>0</v>
      </c>
      <c r="O167" s="111">
        <f t="shared" si="28"/>
        <v>95</v>
      </c>
      <c r="P167" s="97"/>
      <c r="Q167" s="97"/>
    </row>
    <row r="168" spans="1:17" ht="20.45" customHeight="1" x14ac:dyDescent="0.2">
      <c r="A168" s="40"/>
      <c r="B168" s="113" t="s">
        <v>210</v>
      </c>
      <c r="C168" s="113" t="s">
        <v>51</v>
      </c>
      <c r="D168" s="133" t="s">
        <v>193</v>
      </c>
      <c r="E168" s="133" t="s">
        <v>211</v>
      </c>
      <c r="F168" s="134" t="s">
        <v>11</v>
      </c>
      <c r="G168" s="111">
        <f>G169</f>
        <v>95</v>
      </c>
      <c r="H168" s="111"/>
      <c r="I168" s="111">
        <f>I169</f>
        <v>95</v>
      </c>
      <c r="J168" s="114">
        <f t="shared" si="28"/>
        <v>0</v>
      </c>
      <c r="K168" s="111"/>
      <c r="L168" s="114">
        <f t="shared" si="28"/>
        <v>0</v>
      </c>
      <c r="M168" s="111">
        <f t="shared" si="28"/>
        <v>95</v>
      </c>
      <c r="N168" s="111">
        <f t="shared" si="28"/>
        <v>0</v>
      </c>
      <c r="O168" s="111">
        <f t="shared" si="28"/>
        <v>95</v>
      </c>
      <c r="P168" s="97"/>
      <c r="Q168" s="97"/>
    </row>
    <row r="169" spans="1:17" ht="31.5" x14ac:dyDescent="0.2">
      <c r="A169" s="40"/>
      <c r="B169" s="113" t="s">
        <v>40</v>
      </c>
      <c r="C169" s="113" t="s">
        <v>51</v>
      </c>
      <c r="D169" s="133" t="s">
        <v>193</v>
      </c>
      <c r="E169" s="133" t="s">
        <v>211</v>
      </c>
      <c r="F169" s="134" t="s">
        <v>41</v>
      </c>
      <c r="G169" s="111">
        <v>95</v>
      </c>
      <c r="H169" s="106"/>
      <c r="I169" s="111">
        <v>95</v>
      </c>
      <c r="J169" s="115">
        <v>0</v>
      </c>
      <c r="K169" s="106"/>
      <c r="L169" s="115">
        <v>0</v>
      </c>
      <c r="M169" s="111">
        <v>95</v>
      </c>
      <c r="N169" s="111"/>
      <c r="O169" s="111">
        <v>95</v>
      </c>
      <c r="P169" s="97"/>
      <c r="Q169" s="97"/>
    </row>
    <row r="170" spans="1:17" ht="15.75" x14ac:dyDescent="0.2">
      <c r="A170" s="20" t="s">
        <v>212</v>
      </c>
      <c r="B170" s="107" t="s">
        <v>213</v>
      </c>
      <c r="C170" s="107" t="s">
        <v>51</v>
      </c>
      <c r="D170" s="129" t="s">
        <v>214</v>
      </c>
      <c r="E170" s="129" t="s">
        <v>11</v>
      </c>
      <c r="F170" s="130" t="s">
        <v>11</v>
      </c>
      <c r="G170" s="106">
        <f t="shared" ref="G170:O170" si="29">G171+G179+G202+G208</f>
        <v>77426</v>
      </c>
      <c r="H170" s="106">
        <f t="shared" si="29"/>
        <v>1046.0999999999999</v>
      </c>
      <c r="I170" s="106">
        <f t="shared" si="29"/>
        <v>78472.100000000006</v>
      </c>
      <c r="J170" s="108">
        <f t="shared" si="29"/>
        <v>205446.9</v>
      </c>
      <c r="K170" s="108">
        <f t="shared" si="29"/>
        <v>0</v>
      </c>
      <c r="L170" s="108">
        <f t="shared" si="29"/>
        <v>205446.9</v>
      </c>
      <c r="M170" s="106">
        <f t="shared" si="29"/>
        <v>282872.90000000002</v>
      </c>
      <c r="N170" s="106">
        <f t="shared" si="29"/>
        <v>1046.0999999999999</v>
      </c>
      <c r="O170" s="106">
        <f t="shared" si="29"/>
        <v>283919</v>
      </c>
      <c r="P170" s="97"/>
      <c r="Q170" s="97"/>
    </row>
    <row r="171" spans="1:17" ht="15.75" x14ac:dyDescent="0.2">
      <c r="A171" s="33" t="s">
        <v>215</v>
      </c>
      <c r="B171" s="110" t="s">
        <v>216</v>
      </c>
      <c r="C171" s="110" t="s">
        <v>51</v>
      </c>
      <c r="D171" s="131" t="s">
        <v>217</v>
      </c>
      <c r="E171" s="131" t="s">
        <v>11</v>
      </c>
      <c r="F171" s="132" t="s">
        <v>11</v>
      </c>
      <c r="G171" s="109">
        <f t="shared" ref="G171:O175" si="30">G172</f>
        <v>11222.4</v>
      </c>
      <c r="H171" s="111">
        <f t="shared" si="30"/>
        <v>0</v>
      </c>
      <c r="I171" s="109">
        <f t="shared" si="30"/>
        <v>11222.4</v>
      </c>
      <c r="J171" s="112">
        <f t="shared" si="30"/>
        <v>148194</v>
      </c>
      <c r="K171" s="111">
        <f>K172</f>
        <v>0</v>
      </c>
      <c r="L171" s="112">
        <f t="shared" si="30"/>
        <v>148194</v>
      </c>
      <c r="M171" s="109">
        <f>M172</f>
        <v>159416.4</v>
      </c>
      <c r="N171" s="109">
        <f t="shared" si="30"/>
        <v>0</v>
      </c>
      <c r="O171" s="109">
        <f t="shared" si="30"/>
        <v>159416.4</v>
      </c>
      <c r="P171" s="97"/>
      <c r="Q171" s="97"/>
    </row>
    <row r="172" spans="1:17" ht="31.5" x14ac:dyDescent="0.2">
      <c r="A172" s="40"/>
      <c r="B172" s="113" t="s">
        <v>218</v>
      </c>
      <c r="C172" s="113" t="s">
        <v>51</v>
      </c>
      <c r="D172" s="133" t="s">
        <v>217</v>
      </c>
      <c r="E172" s="133" t="s">
        <v>219</v>
      </c>
      <c r="F172" s="134" t="s">
        <v>11</v>
      </c>
      <c r="G172" s="111">
        <f t="shared" si="30"/>
        <v>11222.4</v>
      </c>
      <c r="H172" s="111">
        <f t="shared" si="30"/>
        <v>0</v>
      </c>
      <c r="I172" s="111">
        <f t="shared" si="30"/>
        <v>11222.4</v>
      </c>
      <c r="J172" s="114">
        <f t="shared" si="30"/>
        <v>148194</v>
      </c>
      <c r="K172" s="111">
        <f>K173</f>
        <v>0</v>
      </c>
      <c r="L172" s="114">
        <f t="shared" si="30"/>
        <v>148194</v>
      </c>
      <c r="M172" s="111">
        <f t="shared" si="30"/>
        <v>159416.4</v>
      </c>
      <c r="N172" s="111">
        <f t="shared" si="30"/>
        <v>0</v>
      </c>
      <c r="O172" s="111">
        <f t="shared" si="30"/>
        <v>159416.4</v>
      </c>
      <c r="P172" s="97"/>
      <c r="Q172" s="97"/>
    </row>
    <row r="173" spans="1:17" ht="31.5" x14ac:dyDescent="0.2">
      <c r="A173" s="40"/>
      <c r="B173" s="113" t="s">
        <v>185</v>
      </c>
      <c r="C173" s="113" t="s">
        <v>51</v>
      </c>
      <c r="D173" s="133" t="s">
        <v>217</v>
      </c>
      <c r="E173" s="133" t="s">
        <v>220</v>
      </c>
      <c r="F173" s="134" t="s">
        <v>11</v>
      </c>
      <c r="G173" s="111">
        <f t="shared" si="30"/>
        <v>11222.4</v>
      </c>
      <c r="H173" s="111">
        <f t="shared" si="30"/>
        <v>0</v>
      </c>
      <c r="I173" s="111">
        <f t="shared" si="30"/>
        <v>11222.4</v>
      </c>
      <c r="J173" s="114">
        <f t="shared" si="30"/>
        <v>148194</v>
      </c>
      <c r="K173" s="111">
        <f>K174</f>
        <v>0</v>
      </c>
      <c r="L173" s="114">
        <f t="shared" si="30"/>
        <v>148194</v>
      </c>
      <c r="M173" s="111">
        <f t="shared" si="30"/>
        <v>159416.4</v>
      </c>
      <c r="N173" s="111">
        <f t="shared" si="30"/>
        <v>0</v>
      </c>
      <c r="O173" s="111">
        <f t="shared" si="30"/>
        <v>159416.4</v>
      </c>
      <c r="P173" s="97"/>
      <c r="Q173" s="97"/>
    </row>
    <row r="174" spans="1:17" ht="31.5" x14ac:dyDescent="0.2">
      <c r="A174" s="40"/>
      <c r="B174" s="113" t="s">
        <v>221</v>
      </c>
      <c r="C174" s="113" t="s">
        <v>51</v>
      </c>
      <c r="D174" s="133" t="s">
        <v>217</v>
      </c>
      <c r="E174" s="133" t="s">
        <v>222</v>
      </c>
      <c r="F174" s="134" t="s">
        <v>11</v>
      </c>
      <c r="G174" s="111">
        <f>G175+G177</f>
        <v>11222.4</v>
      </c>
      <c r="H174" s="111">
        <f>H175+H177</f>
        <v>0</v>
      </c>
      <c r="I174" s="111">
        <f>I175+I177</f>
        <v>11222.4</v>
      </c>
      <c r="J174" s="114">
        <f t="shared" si="30"/>
        <v>148194</v>
      </c>
      <c r="K174" s="111">
        <f>K175</f>
        <v>0</v>
      </c>
      <c r="L174" s="114">
        <f t="shared" si="30"/>
        <v>148194</v>
      </c>
      <c r="M174" s="111">
        <f>SUM(G174+J174)</f>
        <v>159416.4</v>
      </c>
      <c r="N174" s="111">
        <f>N175+N177</f>
        <v>0</v>
      </c>
      <c r="O174" s="111">
        <f>SUM(I174+L174)</f>
        <v>159416.4</v>
      </c>
      <c r="P174" s="97"/>
      <c r="Q174" s="97"/>
    </row>
    <row r="175" spans="1:17" ht="84" customHeight="1" x14ac:dyDescent="0.2">
      <c r="A175" s="40"/>
      <c r="B175" s="113" t="s">
        <v>577</v>
      </c>
      <c r="C175" s="113" t="s">
        <v>51</v>
      </c>
      <c r="D175" s="133" t="s">
        <v>217</v>
      </c>
      <c r="E175" s="133" t="s">
        <v>224</v>
      </c>
      <c r="F175" s="134" t="s">
        <v>11</v>
      </c>
      <c r="G175" s="111">
        <f>G176</f>
        <v>7799.8</v>
      </c>
      <c r="H175" s="111"/>
      <c r="I175" s="111">
        <f>I176</f>
        <v>7799.8</v>
      </c>
      <c r="J175" s="114">
        <f t="shared" si="30"/>
        <v>148194</v>
      </c>
      <c r="K175" s="111">
        <f>SUM(K176)</f>
        <v>0</v>
      </c>
      <c r="L175" s="114">
        <f t="shared" si="30"/>
        <v>148194</v>
      </c>
      <c r="M175" s="111">
        <f t="shared" si="30"/>
        <v>155993.79999999999</v>
      </c>
      <c r="N175" s="111">
        <f>N176</f>
        <v>0</v>
      </c>
      <c r="O175" s="111">
        <f t="shared" si="30"/>
        <v>155993.79999999999</v>
      </c>
      <c r="P175" s="97"/>
      <c r="Q175" s="97"/>
    </row>
    <row r="176" spans="1:17" ht="31.5" x14ac:dyDescent="0.2">
      <c r="A176" s="40"/>
      <c r="B176" s="113" t="s">
        <v>225</v>
      </c>
      <c r="C176" s="113" t="s">
        <v>51</v>
      </c>
      <c r="D176" s="133" t="s">
        <v>217</v>
      </c>
      <c r="E176" s="133" t="s">
        <v>224</v>
      </c>
      <c r="F176" s="134" t="s">
        <v>226</v>
      </c>
      <c r="G176" s="111">
        <v>7799.8</v>
      </c>
      <c r="H176" s="109"/>
      <c r="I176" s="111">
        <f>487.6+7312.2</f>
        <v>7799.8</v>
      </c>
      <c r="J176" s="115">
        <v>148194</v>
      </c>
      <c r="K176" s="109"/>
      <c r="L176" s="115">
        <f>SUM(J176)</f>
        <v>148194</v>
      </c>
      <c r="M176" s="111">
        <f>SUM(G176+J176)</f>
        <v>155993.79999999999</v>
      </c>
      <c r="N176" s="111">
        <f>SUM(K176)+H176</f>
        <v>0</v>
      </c>
      <c r="O176" s="111">
        <f>SUM(N176)+M176</f>
        <v>155993.79999999999</v>
      </c>
      <c r="P176" s="97"/>
      <c r="Q176" s="97"/>
    </row>
    <row r="177" spans="1:17" ht="110.25" x14ac:dyDescent="0.2">
      <c r="A177" s="40"/>
      <c r="B177" s="140" t="s">
        <v>576</v>
      </c>
      <c r="C177" s="113">
        <v>992</v>
      </c>
      <c r="D177" s="133" t="s">
        <v>217</v>
      </c>
      <c r="E177" s="136" t="s">
        <v>562</v>
      </c>
      <c r="F177" s="134"/>
      <c r="G177" s="111">
        <f>SUM(G178)</f>
        <v>3422.6</v>
      </c>
      <c r="H177" s="111">
        <f>H178</f>
        <v>0</v>
      </c>
      <c r="I177" s="111">
        <f>SUM(G177:H177)</f>
        <v>3422.6</v>
      </c>
      <c r="J177" s="115"/>
      <c r="K177" s="109"/>
      <c r="L177" s="115"/>
      <c r="M177" s="111">
        <f>M178</f>
        <v>3422.6</v>
      </c>
      <c r="N177" s="111">
        <f t="shared" ref="M177:O178" si="31">SUM(H177)</f>
        <v>0</v>
      </c>
      <c r="O177" s="111">
        <f>SUM(I177)</f>
        <v>3422.6</v>
      </c>
      <c r="P177" s="97"/>
      <c r="Q177" s="97"/>
    </row>
    <row r="178" spans="1:17" ht="31.5" x14ac:dyDescent="0.2">
      <c r="A178" s="40"/>
      <c r="B178" s="113" t="s">
        <v>225</v>
      </c>
      <c r="C178" s="113">
        <v>992</v>
      </c>
      <c r="D178" s="133" t="s">
        <v>217</v>
      </c>
      <c r="E178" s="136" t="s">
        <v>562</v>
      </c>
      <c r="F178" s="134">
        <v>400</v>
      </c>
      <c r="G178" s="111">
        <v>3422.6</v>
      </c>
      <c r="H178" s="111"/>
      <c r="I178" s="111">
        <f>SUM(H178)+G178</f>
        <v>3422.6</v>
      </c>
      <c r="J178" s="115"/>
      <c r="K178" s="109"/>
      <c r="L178" s="115"/>
      <c r="M178" s="111">
        <f t="shared" si="31"/>
        <v>3422.6</v>
      </c>
      <c r="N178" s="111">
        <f t="shared" si="31"/>
        <v>0</v>
      </c>
      <c r="O178" s="111">
        <f t="shared" si="31"/>
        <v>3422.6</v>
      </c>
      <c r="P178" s="97"/>
      <c r="Q178" s="97"/>
    </row>
    <row r="179" spans="1:17" ht="15.75" x14ac:dyDescent="0.2">
      <c r="A179" s="33" t="s">
        <v>227</v>
      </c>
      <c r="B179" s="110" t="s">
        <v>228</v>
      </c>
      <c r="C179" s="110" t="s">
        <v>51</v>
      </c>
      <c r="D179" s="131" t="s">
        <v>229</v>
      </c>
      <c r="E179" s="131" t="s">
        <v>11</v>
      </c>
      <c r="F179" s="132" t="s">
        <v>11</v>
      </c>
      <c r="G179" s="109">
        <f>G180+G193+G199</f>
        <v>33750.199999999997</v>
      </c>
      <c r="H179" s="111">
        <f>H180+H193+H200</f>
        <v>629.69999999999993</v>
      </c>
      <c r="I179" s="109">
        <f>I180+I193+I199</f>
        <v>34379.9</v>
      </c>
      <c r="J179" s="112">
        <f>J180+J193</f>
        <v>43692.5</v>
      </c>
      <c r="K179" s="111">
        <f>K180</f>
        <v>0</v>
      </c>
      <c r="L179" s="112">
        <f>L180+L193</f>
        <v>43692.5</v>
      </c>
      <c r="M179" s="109">
        <f>M180+M193+M199</f>
        <v>77442.700000000012</v>
      </c>
      <c r="N179" s="111">
        <f>N180+N193+N200</f>
        <v>629.69999999999993</v>
      </c>
      <c r="O179" s="109">
        <f>O180+O193+O199</f>
        <v>78072.400000000009</v>
      </c>
      <c r="P179" s="97"/>
      <c r="Q179" s="97"/>
    </row>
    <row r="180" spans="1:17" ht="47.25" x14ac:dyDescent="0.2">
      <c r="A180" s="40"/>
      <c r="B180" s="113" t="s">
        <v>230</v>
      </c>
      <c r="C180" s="113" t="s">
        <v>51</v>
      </c>
      <c r="D180" s="133" t="s">
        <v>229</v>
      </c>
      <c r="E180" s="133" t="s">
        <v>231</v>
      </c>
      <c r="F180" s="134" t="s">
        <v>11</v>
      </c>
      <c r="G180" s="111">
        <f>G181</f>
        <v>16673.599999999999</v>
      </c>
      <c r="H180" s="111">
        <f>H181</f>
        <v>629.69999999999993</v>
      </c>
      <c r="I180" s="111">
        <f>I181</f>
        <v>17303.300000000003</v>
      </c>
      <c r="J180" s="114">
        <f>J181</f>
        <v>43692.5</v>
      </c>
      <c r="K180" s="111">
        <f>K181+K189</f>
        <v>0</v>
      </c>
      <c r="L180" s="114">
        <f>L181</f>
        <v>43692.5</v>
      </c>
      <c r="M180" s="111">
        <f>M181</f>
        <v>60366.1</v>
      </c>
      <c r="N180" s="111">
        <f>N181</f>
        <v>629.69999999999993</v>
      </c>
      <c r="O180" s="111">
        <f>O181</f>
        <v>60995.8</v>
      </c>
      <c r="P180" s="97"/>
      <c r="Q180" s="97"/>
    </row>
    <row r="181" spans="1:17" ht="47.25" x14ac:dyDescent="0.2">
      <c r="A181" s="40"/>
      <c r="B181" s="113" t="s">
        <v>232</v>
      </c>
      <c r="C181" s="113" t="s">
        <v>51</v>
      </c>
      <c r="D181" s="133" t="s">
        <v>229</v>
      </c>
      <c r="E181" s="133" t="s">
        <v>233</v>
      </c>
      <c r="F181" s="134" t="s">
        <v>11</v>
      </c>
      <c r="G181" s="111">
        <f>G182+G190</f>
        <v>16673.599999999999</v>
      </c>
      <c r="H181" s="111">
        <f>H182+H190</f>
        <v>629.69999999999993</v>
      </c>
      <c r="I181" s="111">
        <f>I182+I190</f>
        <v>17303.300000000003</v>
      </c>
      <c r="J181" s="114">
        <f>J182+J190</f>
        <v>43692.5</v>
      </c>
      <c r="K181" s="111">
        <f>K182</f>
        <v>0</v>
      </c>
      <c r="L181" s="114">
        <f>L182+L190</f>
        <v>43692.5</v>
      </c>
      <c r="M181" s="111">
        <f>M182+M190</f>
        <v>60366.1</v>
      </c>
      <c r="N181" s="111">
        <f>N182+N190</f>
        <v>629.69999999999993</v>
      </c>
      <c r="O181" s="111">
        <f>O182+O190</f>
        <v>60995.8</v>
      </c>
      <c r="P181" s="97"/>
      <c r="Q181" s="97"/>
    </row>
    <row r="182" spans="1:17" ht="31.5" x14ac:dyDescent="0.2">
      <c r="A182" s="40"/>
      <c r="B182" s="113" t="s">
        <v>234</v>
      </c>
      <c r="C182" s="113" t="s">
        <v>51</v>
      </c>
      <c r="D182" s="133" t="s">
        <v>229</v>
      </c>
      <c r="E182" s="133" t="s">
        <v>235</v>
      </c>
      <c r="F182" s="134" t="s">
        <v>11</v>
      </c>
      <c r="G182" s="111">
        <f>G183+G188+G186</f>
        <v>9840.6</v>
      </c>
      <c r="H182" s="111">
        <f t="shared" ref="H182:O182" si="32">H183+H188+H186</f>
        <v>229.69999999999993</v>
      </c>
      <c r="I182" s="111">
        <f t="shared" si="32"/>
        <v>10070.300000000001</v>
      </c>
      <c r="J182" s="111">
        <f t="shared" si="32"/>
        <v>43692.5</v>
      </c>
      <c r="K182" s="111">
        <f t="shared" si="32"/>
        <v>0</v>
      </c>
      <c r="L182" s="111">
        <f t="shared" si="32"/>
        <v>43692.5</v>
      </c>
      <c r="M182" s="111">
        <f t="shared" si="32"/>
        <v>53533.1</v>
      </c>
      <c r="N182" s="111">
        <f t="shared" si="32"/>
        <v>229.69999999999993</v>
      </c>
      <c r="O182" s="111">
        <f t="shared" si="32"/>
        <v>53762.8</v>
      </c>
      <c r="P182" s="97"/>
      <c r="Q182" s="97"/>
    </row>
    <row r="183" spans="1:17" ht="63" x14ac:dyDescent="0.2">
      <c r="A183" s="40"/>
      <c r="B183" s="113" t="s">
        <v>236</v>
      </c>
      <c r="C183" s="113" t="s">
        <v>51</v>
      </c>
      <c r="D183" s="133" t="s">
        <v>229</v>
      </c>
      <c r="E183" s="133" t="s">
        <v>237</v>
      </c>
      <c r="F183" s="134" t="s">
        <v>11</v>
      </c>
      <c r="G183" s="111">
        <f>G184+G185</f>
        <v>9540.6</v>
      </c>
      <c r="H183" s="111">
        <f>H184+H185</f>
        <v>529.69999999999993</v>
      </c>
      <c r="I183" s="111">
        <f t="shared" ref="I183:O183" si="33">I184+I185</f>
        <v>10070.300000000001</v>
      </c>
      <c r="J183" s="114">
        <f t="shared" si="33"/>
        <v>17036</v>
      </c>
      <c r="K183" s="114">
        <f t="shared" si="33"/>
        <v>0</v>
      </c>
      <c r="L183" s="114">
        <f t="shared" si="33"/>
        <v>17036</v>
      </c>
      <c r="M183" s="111">
        <f t="shared" si="33"/>
        <v>26576.6</v>
      </c>
      <c r="N183" s="111">
        <f t="shared" si="33"/>
        <v>529.69999999999993</v>
      </c>
      <c r="O183" s="111">
        <f t="shared" si="33"/>
        <v>27106.300000000003</v>
      </c>
      <c r="P183" s="97"/>
      <c r="Q183" s="97"/>
    </row>
    <row r="184" spans="1:17" ht="31.5" x14ac:dyDescent="0.2">
      <c r="A184" s="40"/>
      <c r="B184" s="113" t="s">
        <v>40</v>
      </c>
      <c r="C184" s="113" t="s">
        <v>51</v>
      </c>
      <c r="D184" s="133" t="s">
        <v>229</v>
      </c>
      <c r="E184" s="133" t="s">
        <v>237</v>
      </c>
      <c r="F184" s="134" t="s">
        <v>41</v>
      </c>
      <c r="G184" s="111">
        <v>9060.6</v>
      </c>
      <c r="H184" s="111">
        <f>43.3+1044-100-457.6</f>
        <v>529.69999999999993</v>
      </c>
      <c r="I184" s="111">
        <f>SUM(G184)+H184</f>
        <v>9590.3000000000011</v>
      </c>
      <c r="J184" s="115">
        <v>0</v>
      </c>
      <c r="K184" s="111">
        <f>26656.5-26656.5</f>
        <v>0</v>
      </c>
      <c r="L184" s="115">
        <f>SUM(K184)</f>
        <v>0</v>
      </c>
      <c r="M184" s="111">
        <f>SUM(G184)</f>
        <v>9060.6</v>
      </c>
      <c r="N184" s="111">
        <f>SUM(K184)+H184</f>
        <v>529.69999999999993</v>
      </c>
      <c r="O184" s="111">
        <f>SUM(I184+L184)</f>
        <v>9590.3000000000011</v>
      </c>
      <c r="P184" s="97"/>
      <c r="Q184" s="97"/>
    </row>
    <row r="185" spans="1:17" ht="31.5" x14ac:dyDescent="0.2">
      <c r="A185" s="40"/>
      <c r="B185" s="113" t="s">
        <v>225</v>
      </c>
      <c r="C185" s="118">
        <v>992</v>
      </c>
      <c r="D185" s="136" t="s">
        <v>229</v>
      </c>
      <c r="E185" s="136" t="s">
        <v>237</v>
      </c>
      <c r="F185" s="141" t="s">
        <v>226</v>
      </c>
      <c r="G185" s="111">
        <v>480</v>
      </c>
      <c r="H185" s="111"/>
      <c r="I185" s="111">
        <f>SUM(G185)+H185</f>
        <v>480</v>
      </c>
      <c r="J185" s="115">
        <v>17036</v>
      </c>
      <c r="K185" s="111"/>
      <c r="L185" s="115">
        <f>SUM(J185)</f>
        <v>17036</v>
      </c>
      <c r="M185" s="111">
        <f>SUM(G185+J185)</f>
        <v>17516</v>
      </c>
      <c r="N185" s="111">
        <f>SUM(K185)+H185</f>
        <v>0</v>
      </c>
      <c r="O185" s="111">
        <f>SUM(M185)+N185</f>
        <v>17516</v>
      </c>
      <c r="P185" s="97"/>
      <c r="Q185" s="97"/>
    </row>
    <row r="186" spans="1:17" ht="110.25" x14ac:dyDescent="0.2">
      <c r="A186" s="40"/>
      <c r="B186" s="135" t="s">
        <v>238</v>
      </c>
      <c r="C186" s="118">
        <v>992</v>
      </c>
      <c r="D186" s="136" t="s">
        <v>229</v>
      </c>
      <c r="E186" s="136" t="s">
        <v>239</v>
      </c>
      <c r="F186" s="141"/>
      <c r="G186" s="111">
        <f t="shared" ref="G186:O186" si="34">G187</f>
        <v>0</v>
      </c>
      <c r="H186" s="111">
        <f t="shared" si="34"/>
        <v>0</v>
      </c>
      <c r="I186" s="111">
        <f t="shared" si="34"/>
        <v>0</v>
      </c>
      <c r="J186" s="115">
        <f t="shared" si="34"/>
        <v>26656.5</v>
      </c>
      <c r="K186" s="111">
        <f t="shared" si="34"/>
        <v>0</v>
      </c>
      <c r="L186" s="115">
        <f t="shared" si="34"/>
        <v>26656.5</v>
      </c>
      <c r="M186" s="111">
        <f t="shared" si="34"/>
        <v>26656.5</v>
      </c>
      <c r="N186" s="111">
        <f t="shared" si="34"/>
        <v>0</v>
      </c>
      <c r="O186" s="111">
        <f t="shared" si="34"/>
        <v>26656.5</v>
      </c>
      <c r="P186" s="97"/>
      <c r="Q186" s="97"/>
    </row>
    <row r="187" spans="1:17" ht="31.5" x14ac:dyDescent="0.2">
      <c r="A187" s="40"/>
      <c r="B187" s="135" t="s">
        <v>40</v>
      </c>
      <c r="C187" s="118">
        <v>992</v>
      </c>
      <c r="D187" s="136" t="s">
        <v>229</v>
      </c>
      <c r="E187" s="136" t="s">
        <v>239</v>
      </c>
      <c r="F187" s="141" t="s">
        <v>41</v>
      </c>
      <c r="G187" s="111"/>
      <c r="H187" s="111"/>
      <c r="I187" s="111">
        <f>SUM(G187:H187)</f>
        <v>0</v>
      </c>
      <c r="J187" s="115">
        <v>26656.5</v>
      </c>
      <c r="K187" s="111"/>
      <c r="L187" s="115">
        <f>SUM(J187:K187)</f>
        <v>26656.5</v>
      </c>
      <c r="M187" s="111">
        <f>SUM(J187)</f>
        <v>26656.5</v>
      </c>
      <c r="N187" s="111">
        <f>H187+K187</f>
        <v>0</v>
      </c>
      <c r="O187" s="111">
        <f>I187+L187</f>
        <v>26656.5</v>
      </c>
      <c r="P187" s="97"/>
      <c r="Q187" s="97"/>
    </row>
    <row r="188" spans="1:17" ht="78.75" x14ac:dyDescent="0.2">
      <c r="A188" s="40"/>
      <c r="B188" s="113" t="s">
        <v>240</v>
      </c>
      <c r="C188" s="113" t="s">
        <v>51</v>
      </c>
      <c r="D188" s="133" t="s">
        <v>229</v>
      </c>
      <c r="E188" s="133" t="s">
        <v>241</v>
      </c>
      <c r="F188" s="134" t="s">
        <v>11</v>
      </c>
      <c r="G188" s="111">
        <f>G189</f>
        <v>300</v>
      </c>
      <c r="H188" s="111">
        <f>SUM(H189)</f>
        <v>-300</v>
      </c>
      <c r="I188" s="111">
        <f>I189</f>
        <v>0</v>
      </c>
      <c r="J188" s="114">
        <f>J189</f>
        <v>0</v>
      </c>
      <c r="K188" s="111"/>
      <c r="L188" s="114">
        <f>L189</f>
        <v>0</v>
      </c>
      <c r="M188" s="111">
        <f>M189</f>
        <v>300</v>
      </c>
      <c r="N188" s="111">
        <f>N189</f>
        <v>-300</v>
      </c>
      <c r="O188" s="111">
        <f>O189</f>
        <v>0</v>
      </c>
      <c r="P188" s="97"/>
      <c r="Q188" s="97"/>
    </row>
    <row r="189" spans="1:17" ht="31.5" x14ac:dyDescent="0.2">
      <c r="A189" s="40"/>
      <c r="B189" s="113" t="s">
        <v>40</v>
      </c>
      <c r="C189" s="113" t="s">
        <v>51</v>
      </c>
      <c r="D189" s="133" t="s">
        <v>229</v>
      </c>
      <c r="E189" s="133" t="s">
        <v>241</v>
      </c>
      <c r="F189" s="134" t="s">
        <v>41</v>
      </c>
      <c r="G189" s="111">
        <v>300</v>
      </c>
      <c r="H189" s="111">
        <v>-300</v>
      </c>
      <c r="I189" s="111">
        <f>300+H189</f>
        <v>0</v>
      </c>
      <c r="J189" s="115">
        <v>0</v>
      </c>
      <c r="K189" s="111">
        <f t="shared" ref="G189:O191" si="35">K190</f>
        <v>0</v>
      </c>
      <c r="L189" s="115">
        <v>0</v>
      </c>
      <c r="M189" s="111">
        <v>300</v>
      </c>
      <c r="N189" s="111">
        <f>SUM(H189)</f>
        <v>-300</v>
      </c>
      <c r="O189" s="111">
        <f>300+N189</f>
        <v>0</v>
      </c>
      <c r="P189" s="97"/>
      <c r="Q189" s="97"/>
    </row>
    <row r="190" spans="1:17" ht="31.5" x14ac:dyDescent="0.2">
      <c r="A190" s="40"/>
      <c r="B190" s="113" t="s">
        <v>242</v>
      </c>
      <c r="C190" s="113" t="s">
        <v>51</v>
      </c>
      <c r="D190" s="133" t="s">
        <v>229</v>
      </c>
      <c r="E190" s="133" t="s">
        <v>243</v>
      </c>
      <c r="F190" s="134" t="s">
        <v>11</v>
      </c>
      <c r="G190" s="111">
        <f t="shared" si="35"/>
        <v>6833</v>
      </c>
      <c r="H190" s="111">
        <f t="shared" si="35"/>
        <v>400</v>
      </c>
      <c r="I190" s="111">
        <f t="shared" si="35"/>
        <v>7233</v>
      </c>
      <c r="J190" s="114">
        <f t="shared" si="35"/>
        <v>0</v>
      </c>
      <c r="K190" s="111">
        <f t="shared" si="35"/>
        <v>0</v>
      </c>
      <c r="L190" s="114">
        <f t="shared" si="35"/>
        <v>0</v>
      </c>
      <c r="M190" s="111">
        <f t="shared" si="35"/>
        <v>6833</v>
      </c>
      <c r="N190" s="111">
        <f t="shared" si="35"/>
        <v>400</v>
      </c>
      <c r="O190" s="111">
        <f t="shared" si="35"/>
        <v>7233</v>
      </c>
      <c r="P190" s="97"/>
      <c r="Q190" s="97"/>
    </row>
    <row r="191" spans="1:17" ht="78.75" x14ac:dyDescent="0.2">
      <c r="A191" s="40"/>
      <c r="B191" s="113" t="s">
        <v>240</v>
      </c>
      <c r="C191" s="113" t="s">
        <v>51</v>
      </c>
      <c r="D191" s="133" t="s">
        <v>229</v>
      </c>
      <c r="E191" s="133" t="s">
        <v>244</v>
      </c>
      <c r="F191" s="134" t="s">
        <v>11</v>
      </c>
      <c r="G191" s="111">
        <f t="shared" si="35"/>
        <v>6833</v>
      </c>
      <c r="H191" s="111">
        <f>SUM(H192)</f>
        <v>400</v>
      </c>
      <c r="I191" s="111">
        <f t="shared" si="35"/>
        <v>7233</v>
      </c>
      <c r="J191" s="114">
        <f t="shared" si="35"/>
        <v>0</v>
      </c>
      <c r="K191" s="111"/>
      <c r="L191" s="114">
        <f t="shared" si="35"/>
        <v>0</v>
      </c>
      <c r="M191" s="111">
        <f t="shared" si="35"/>
        <v>6833</v>
      </c>
      <c r="N191" s="111">
        <f t="shared" si="35"/>
        <v>400</v>
      </c>
      <c r="O191" s="111">
        <f t="shared" si="35"/>
        <v>7233</v>
      </c>
      <c r="P191" s="97"/>
      <c r="Q191" s="97"/>
    </row>
    <row r="192" spans="1:17" ht="31.5" x14ac:dyDescent="0.2">
      <c r="A192" s="40"/>
      <c r="B192" s="113" t="s">
        <v>40</v>
      </c>
      <c r="C192" s="113" t="s">
        <v>51</v>
      </c>
      <c r="D192" s="133" t="s">
        <v>229</v>
      </c>
      <c r="E192" s="133" t="s">
        <v>244</v>
      </c>
      <c r="F192" s="134" t="s">
        <v>41</v>
      </c>
      <c r="G192" s="111">
        <v>6833</v>
      </c>
      <c r="H192" s="111">
        <f>390+10</f>
        <v>400</v>
      </c>
      <c r="I192" s="111">
        <f>SUM(G192)+H192</f>
        <v>7233</v>
      </c>
      <c r="J192" s="115">
        <v>0</v>
      </c>
      <c r="K192" s="111"/>
      <c r="L192" s="115">
        <v>0</v>
      </c>
      <c r="M192" s="111">
        <f>SUM(G192)</f>
        <v>6833</v>
      </c>
      <c r="N192" s="111">
        <f>SUM(H192)</f>
        <v>400</v>
      </c>
      <c r="O192" s="111">
        <f>SUM(I192)</f>
        <v>7233</v>
      </c>
      <c r="P192" s="97"/>
      <c r="Q192" s="97"/>
    </row>
    <row r="193" spans="1:17" ht="31.5" x14ac:dyDescent="0.2">
      <c r="A193" s="40"/>
      <c r="B193" s="113" t="s">
        <v>245</v>
      </c>
      <c r="C193" s="113" t="s">
        <v>51</v>
      </c>
      <c r="D193" s="133" t="s">
        <v>229</v>
      </c>
      <c r="E193" s="133" t="s">
        <v>246</v>
      </c>
      <c r="F193" s="134" t="s">
        <v>11</v>
      </c>
      <c r="G193" s="111">
        <f t="shared" ref="G193:O196" si="36">G194</f>
        <v>15743</v>
      </c>
      <c r="H193" s="111">
        <f t="shared" si="36"/>
        <v>0</v>
      </c>
      <c r="I193" s="111">
        <f t="shared" si="36"/>
        <v>15743</v>
      </c>
      <c r="J193" s="114">
        <f t="shared" si="36"/>
        <v>0</v>
      </c>
      <c r="K193" s="111">
        <f>K194</f>
        <v>0</v>
      </c>
      <c r="L193" s="114">
        <f t="shared" si="36"/>
        <v>0</v>
      </c>
      <c r="M193" s="111">
        <f t="shared" si="36"/>
        <v>15743</v>
      </c>
      <c r="N193" s="111">
        <f t="shared" si="36"/>
        <v>0</v>
      </c>
      <c r="O193" s="111">
        <f t="shared" si="36"/>
        <v>15743</v>
      </c>
      <c r="P193" s="97"/>
      <c r="Q193" s="97"/>
    </row>
    <row r="194" spans="1:17" ht="15.75" x14ac:dyDescent="0.2">
      <c r="A194" s="40"/>
      <c r="B194" s="113" t="s">
        <v>247</v>
      </c>
      <c r="C194" s="113" t="s">
        <v>51</v>
      </c>
      <c r="D194" s="133" t="s">
        <v>229</v>
      </c>
      <c r="E194" s="133" t="s">
        <v>248</v>
      </c>
      <c r="F194" s="134" t="s">
        <v>11</v>
      </c>
      <c r="G194" s="111">
        <f t="shared" si="36"/>
        <v>15743</v>
      </c>
      <c r="H194" s="111">
        <f t="shared" si="36"/>
        <v>0</v>
      </c>
      <c r="I194" s="111">
        <f t="shared" si="36"/>
        <v>15743</v>
      </c>
      <c r="J194" s="114">
        <f t="shared" si="36"/>
        <v>0</v>
      </c>
      <c r="K194" s="111">
        <f>K195</f>
        <v>0</v>
      </c>
      <c r="L194" s="114">
        <f t="shared" si="36"/>
        <v>0</v>
      </c>
      <c r="M194" s="111">
        <f t="shared" si="36"/>
        <v>15743</v>
      </c>
      <c r="N194" s="111">
        <f t="shared" si="36"/>
        <v>0</v>
      </c>
      <c r="O194" s="111">
        <f t="shared" si="36"/>
        <v>15743</v>
      </c>
      <c r="P194" s="97"/>
      <c r="Q194" s="97"/>
    </row>
    <row r="195" spans="1:17" ht="47.25" x14ac:dyDescent="0.2">
      <c r="A195" s="40"/>
      <c r="B195" s="113" t="s">
        <v>249</v>
      </c>
      <c r="C195" s="113" t="s">
        <v>51</v>
      </c>
      <c r="D195" s="133" t="s">
        <v>229</v>
      </c>
      <c r="E195" s="133" t="s">
        <v>250</v>
      </c>
      <c r="F195" s="134" t="s">
        <v>11</v>
      </c>
      <c r="G195" s="111">
        <f t="shared" si="36"/>
        <v>15743</v>
      </c>
      <c r="H195" s="111">
        <f>SUM(H196)</f>
        <v>0</v>
      </c>
      <c r="I195" s="111">
        <f t="shared" si="36"/>
        <v>15743</v>
      </c>
      <c r="J195" s="114">
        <f t="shared" si="36"/>
        <v>0</v>
      </c>
      <c r="K195" s="111">
        <f>K196</f>
        <v>0</v>
      </c>
      <c r="L195" s="114">
        <f t="shared" si="36"/>
        <v>0</v>
      </c>
      <c r="M195" s="111">
        <f t="shared" si="36"/>
        <v>15743</v>
      </c>
      <c r="N195" s="111">
        <f>SUM(H195)</f>
        <v>0</v>
      </c>
      <c r="O195" s="111">
        <f t="shared" si="36"/>
        <v>15743</v>
      </c>
      <c r="P195" s="97"/>
      <c r="Q195" s="97"/>
    </row>
    <row r="196" spans="1:17" ht="31.5" x14ac:dyDescent="0.2">
      <c r="A196" s="40"/>
      <c r="B196" s="113" t="s">
        <v>134</v>
      </c>
      <c r="C196" s="113" t="s">
        <v>51</v>
      </c>
      <c r="D196" s="133" t="s">
        <v>229</v>
      </c>
      <c r="E196" s="133" t="s">
        <v>251</v>
      </c>
      <c r="F196" s="134" t="s">
        <v>11</v>
      </c>
      <c r="G196" s="111">
        <f>G197</f>
        <v>15743</v>
      </c>
      <c r="H196" s="111">
        <f>SUM(H197)</f>
        <v>0</v>
      </c>
      <c r="I196" s="111">
        <f>I197</f>
        <v>15743</v>
      </c>
      <c r="J196" s="114">
        <f t="shared" si="36"/>
        <v>0</v>
      </c>
      <c r="K196" s="111"/>
      <c r="L196" s="114">
        <f t="shared" si="36"/>
        <v>0</v>
      </c>
      <c r="M196" s="111">
        <f t="shared" si="36"/>
        <v>15743</v>
      </c>
      <c r="N196" s="111">
        <f t="shared" si="36"/>
        <v>0</v>
      </c>
      <c r="O196" s="111">
        <f t="shared" si="36"/>
        <v>15743</v>
      </c>
      <c r="P196" s="97"/>
      <c r="Q196" s="97"/>
    </row>
    <row r="197" spans="1:17" ht="34.9" customHeight="1" x14ac:dyDescent="0.2">
      <c r="A197" s="40"/>
      <c r="B197" s="113" t="s">
        <v>95</v>
      </c>
      <c r="C197" s="113" t="s">
        <v>51</v>
      </c>
      <c r="D197" s="133" t="s">
        <v>229</v>
      </c>
      <c r="E197" s="133" t="s">
        <v>251</v>
      </c>
      <c r="F197" s="134" t="s">
        <v>96</v>
      </c>
      <c r="G197" s="111">
        <v>15743</v>
      </c>
      <c r="H197" s="117"/>
      <c r="I197" s="111">
        <f>SUM(G197)+H197</f>
        <v>15743</v>
      </c>
      <c r="J197" s="115">
        <v>0</v>
      </c>
      <c r="K197" s="109"/>
      <c r="L197" s="115">
        <v>0</v>
      </c>
      <c r="M197" s="111">
        <f>SUM(G197)</f>
        <v>15743</v>
      </c>
      <c r="N197" s="111">
        <f>SUM(H197)</f>
        <v>0</v>
      </c>
      <c r="O197" s="111">
        <f>SUM(M197)+N197</f>
        <v>15743</v>
      </c>
      <c r="P197" s="97"/>
      <c r="Q197" s="97"/>
    </row>
    <row r="198" spans="1:17" ht="21" customHeight="1" x14ac:dyDescent="0.2">
      <c r="A198" s="40"/>
      <c r="B198" s="118" t="s">
        <v>583</v>
      </c>
      <c r="C198" s="118" t="s">
        <v>51</v>
      </c>
      <c r="D198" s="136" t="s">
        <v>229</v>
      </c>
      <c r="E198" s="136" t="s">
        <v>460</v>
      </c>
      <c r="F198" s="134"/>
      <c r="G198" s="111"/>
      <c r="H198" s="117"/>
      <c r="I198" s="111"/>
      <c r="J198" s="115"/>
      <c r="K198" s="109"/>
      <c r="L198" s="115"/>
      <c r="M198" s="111"/>
      <c r="N198" s="111"/>
      <c r="O198" s="111"/>
      <c r="P198" s="97"/>
      <c r="Q198" s="97"/>
    </row>
    <row r="199" spans="1:17" ht="34.9" customHeight="1" x14ac:dyDescent="0.2">
      <c r="A199" s="40"/>
      <c r="B199" s="135" t="s">
        <v>461</v>
      </c>
      <c r="C199" s="113">
        <v>992</v>
      </c>
      <c r="D199" s="133" t="s">
        <v>229</v>
      </c>
      <c r="E199" s="136" t="s">
        <v>462</v>
      </c>
      <c r="F199" s="134"/>
      <c r="G199" s="117">
        <f t="shared" ref="G199:I200" si="37">SUM(G200)</f>
        <v>1333.6</v>
      </c>
      <c r="H199" s="117">
        <f t="shared" si="37"/>
        <v>0</v>
      </c>
      <c r="I199" s="117">
        <f t="shared" si="37"/>
        <v>1333.6</v>
      </c>
      <c r="J199" s="115"/>
      <c r="K199" s="109"/>
      <c r="L199" s="115"/>
      <c r="M199" s="111">
        <f>SUM(G199)</f>
        <v>1333.6</v>
      </c>
      <c r="N199" s="111">
        <f t="shared" ref="N199:O201" si="38">SUM(H199)</f>
        <v>0</v>
      </c>
      <c r="O199" s="111">
        <f t="shared" si="38"/>
        <v>1333.6</v>
      </c>
      <c r="P199" s="97"/>
      <c r="Q199" s="97"/>
    </row>
    <row r="200" spans="1:17" ht="37.15" customHeight="1" x14ac:dyDescent="0.2">
      <c r="A200" s="40"/>
      <c r="B200" s="135" t="s">
        <v>463</v>
      </c>
      <c r="C200" s="113">
        <v>992</v>
      </c>
      <c r="D200" s="133" t="s">
        <v>229</v>
      </c>
      <c r="E200" s="133">
        <v>1300122640</v>
      </c>
      <c r="F200" s="134"/>
      <c r="G200" s="117">
        <f t="shared" si="37"/>
        <v>1333.6</v>
      </c>
      <c r="H200" s="117">
        <f t="shared" si="37"/>
        <v>0</v>
      </c>
      <c r="I200" s="117">
        <f t="shared" si="37"/>
        <v>1333.6</v>
      </c>
      <c r="J200" s="115"/>
      <c r="K200" s="109"/>
      <c r="L200" s="115"/>
      <c r="M200" s="111">
        <f>SUM(G200)</f>
        <v>1333.6</v>
      </c>
      <c r="N200" s="111">
        <f t="shared" si="38"/>
        <v>0</v>
      </c>
      <c r="O200" s="111">
        <f t="shared" si="38"/>
        <v>1333.6</v>
      </c>
      <c r="P200" s="97"/>
      <c r="Q200" s="97"/>
    </row>
    <row r="201" spans="1:17" ht="34.5" customHeight="1" x14ac:dyDescent="0.2">
      <c r="A201" s="40"/>
      <c r="B201" s="113" t="s">
        <v>95</v>
      </c>
      <c r="C201" s="113">
        <v>992</v>
      </c>
      <c r="D201" s="133" t="s">
        <v>229</v>
      </c>
      <c r="E201" s="133">
        <v>1300122640</v>
      </c>
      <c r="F201" s="134">
        <v>200</v>
      </c>
      <c r="G201" s="111">
        <v>1333.6</v>
      </c>
      <c r="H201" s="117"/>
      <c r="I201" s="117">
        <f>SUM(G201)+H201</f>
        <v>1333.6</v>
      </c>
      <c r="J201" s="115"/>
      <c r="K201" s="109"/>
      <c r="L201" s="115"/>
      <c r="M201" s="111">
        <f>SUM(G201)</f>
        <v>1333.6</v>
      </c>
      <c r="N201" s="111">
        <f t="shared" si="38"/>
        <v>0</v>
      </c>
      <c r="O201" s="111">
        <f t="shared" si="38"/>
        <v>1333.6</v>
      </c>
      <c r="P201" s="97"/>
      <c r="Q201" s="97"/>
    </row>
    <row r="202" spans="1:17" ht="23.25" customHeight="1" x14ac:dyDescent="0.2">
      <c r="A202" s="33" t="s">
        <v>252</v>
      </c>
      <c r="B202" s="110" t="s">
        <v>253</v>
      </c>
      <c r="C202" s="110" t="s">
        <v>51</v>
      </c>
      <c r="D202" s="131" t="s">
        <v>254</v>
      </c>
      <c r="E202" s="131" t="s">
        <v>11</v>
      </c>
      <c r="F202" s="132" t="s">
        <v>11</v>
      </c>
      <c r="G202" s="109">
        <f t="shared" ref="G202:O206" si="39">G203</f>
        <v>1966</v>
      </c>
      <c r="H202" s="111">
        <f t="shared" si="39"/>
        <v>120</v>
      </c>
      <c r="I202" s="109">
        <f t="shared" si="39"/>
        <v>2086</v>
      </c>
      <c r="J202" s="112">
        <f t="shared" si="39"/>
        <v>0</v>
      </c>
      <c r="K202" s="111">
        <f>K203</f>
        <v>0</v>
      </c>
      <c r="L202" s="112">
        <f t="shared" si="39"/>
        <v>0</v>
      </c>
      <c r="M202" s="109">
        <f t="shared" si="39"/>
        <v>1966</v>
      </c>
      <c r="N202" s="109">
        <f t="shared" si="39"/>
        <v>120</v>
      </c>
      <c r="O202" s="109">
        <f t="shared" si="39"/>
        <v>2086</v>
      </c>
      <c r="P202" s="97"/>
      <c r="Q202" s="97"/>
    </row>
    <row r="203" spans="1:17" ht="31.5" x14ac:dyDescent="0.2">
      <c r="A203" s="40"/>
      <c r="B203" s="113" t="s">
        <v>97</v>
      </c>
      <c r="C203" s="113" t="s">
        <v>51</v>
      </c>
      <c r="D203" s="133" t="s">
        <v>254</v>
      </c>
      <c r="E203" s="133" t="s">
        <v>98</v>
      </c>
      <c r="F203" s="134" t="s">
        <v>11</v>
      </c>
      <c r="G203" s="111">
        <f t="shared" si="39"/>
        <v>1966</v>
      </c>
      <c r="H203" s="111">
        <f t="shared" si="39"/>
        <v>120</v>
      </c>
      <c r="I203" s="111">
        <f t="shared" si="39"/>
        <v>2086</v>
      </c>
      <c r="J203" s="114">
        <f t="shared" si="39"/>
        <v>0</v>
      </c>
      <c r="K203" s="111">
        <f>K204</f>
        <v>0</v>
      </c>
      <c r="L203" s="114">
        <f t="shared" si="39"/>
        <v>0</v>
      </c>
      <c r="M203" s="111">
        <f t="shared" si="39"/>
        <v>1966</v>
      </c>
      <c r="N203" s="111">
        <f t="shared" si="39"/>
        <v>120</v>
      </c>
      <c r="O203" s="111">
        <f t="shared" si="39"/>
        <v>2086</v>
      </c>
      <c r="P203" s="97"/>
      <c r="Q203" s="97"/>
    </row>
    <row r="204" spans="1:17" ht="15.75" x14ac:dyDescent="0.2">
      <c r="A204" s="40"/>
      <c r="B204" s="113" t="s">
        <v>255</v>
      </c>
      <c r="C204" s="113" t="s">
        <v>51</v>
      </c>
      <c r="D204" s="133" t="s">
        <v>254</v>
      </c>
      <c r="E204" s="133" t="s">
        <v>256</v>
      </c>
      <c r="F204" s="134" t="s">
        <v>11</v>
      </c>
      <c r="G204" s="111">
        <f t="shared" si="39"/>
        <v>1966</v>
      </c>
      <c r="H204" s="111">
        <f t="shared" si="39"/>
        <v>120</v>
      </c>
      <c r="I204" s="111">
        <f t="shared" si="39"/>
        <v>2086</v>
      </c>
      <c r="J204" s="114">
        <f t="shared" si="39"/>
        <v>0</v>
      </c>
      <c r="K204" s="111">
        <f>K205</f>
        <v>0</v>
      </c>
      <c r="L204" s="114">
        <f t="shared" si="39"/>
        <v>0</v>
      </c>
      <c r="M204" s="111">
        <f t="shared" si="39"/>
        <v>1966</v>
      </c>
      <c r="N204" s="111">
        <f t="shared" si="39"/>
        <v>120</v>
      </c>
      <c r="O204" s="111">
        <f t="shared" si="39"/>
        <v>2086</v>
      </c>
      <c r="P204" s="97"/>
      <c r="Q204" s="97"/>
    </row>
    <row r="205" spans="1:17" ht="31.5" x14ac:dyDescent="0.2">
      <c r="A205" s="40"/>
      <c r="B205" s="113" t="s">
        <v>257</v>
      </c>
      <c r="C205" s="113" t="s">
        <v>51</v>
      </c>
      <c r="D205" s="133" t="s">
        <v>254</v>
      </c>
      <c r="E205" s="133" t="s">
        <v>258</v>
      </c>
      <c r="F205" s="134" t="s">
        <v>11</v>
      </c>
      <c r="G205" s="111">
        <f t="shared" si="39"/>
        <v>1966</v>
      </c>
      <c r="H205" s="111">
        <f t="shared" si="39"/>
        <v>120</v>
      </c>
      <c r="I205" s="111">
        <f t="shared" si="39"/>
        <v>2086</v>
      </c>
      <c r="J205" s="114">
        <f t="shared" si="39"/>
        <v>0</v>
      </c>
      <c r="K205" s="111">
        <f>K206</f>
        <v>0</v>
      </c>
      <c r="L205" s="114">
        <f t="shared" si="39"/>
        <v>0</v>
      </c>
      <c r="M205" s="111">
        <f t="shared" si="39"/>
        <v>1966</v>
      </c>
      <c r="N205" s="111">
        <f t="shared" si="39"/>
        <v>120</v>
      </c>
      <c r="O205" s="111">
        <f t="shared" si="39"/>
        <v>2086</v>
      </c>
      <c r="P205" s="97"/>
      <c r="Q205" s="97"/>
    </row>
    <row r="206" spans="1:17" ht="32.450000000000003" customHeight="1" x14ac:dyDescent="0.2">
      <c r="A206" s="40"/>
      <c r="B206" s="113" t="s">
        <v>103</v>
      </c>
      <c r="C206" s="113" t="s">
        <v>51</v>
      </c>
      <c r="D206" s="133" t="s">
        <v>254</v>
      </c>
      <c r="E206" s="133" t="s">
        <v>259</v>
      </c>
      <c r="F206" s="134" t="s">
        <v>11</v>
      </c>
      <c r="G206" s="111">
        <f>G207</f>
        <v>1966</v>
      </c>
      <c r="H206" s="109">
        <f>SUM(H207)</f>
        <v>120</v>
      </c>
      <c r="I206" s="111">
        <f>I207</f>
        <v>2086</v>
      </c>
      <c r="J206" s="114">
        <f t="shared" si="39"/>
        <v>0</v>
      </c>
      <c r="K206" s="111"/>
      <c r="L206" s="114">
        <f t="shared" si="39"/>
        <v>0</v>
      </c>
      <c r="M206" s="111">
        <f t="shared" si="39"/>
        <v>1966</v>
      </c>
      <c r="N206" s="111">
        <f t="shared" si="39"/>
        <v>120</v>
      </c>
      <c r="O206" s="111">
        <f t="shared" si="39"/>
        <v>2086</v>
      </c>
      <c r="P206" s="97"/>
      <c r="Q206" s="97"/>
    </row>
    <row r="207" spans="1:17" ht="31.5" x14ac:dyDescent="0.2">
      <c r="A207" s="40"/>
      <c r="B207" s="113" t="s">
        <v>40</v>
      </c>
      <c r="C207" s="113" t="s">
        <v>51</v>
      </c>
      <c r="D207" s="133" t="s">
        <v>254</v>
      </c>
      <c r="E207" s="133" t="s">
        <v>259</v>
      </c>
      <c r="F207" s="134" t="s">
        <v>41</v>
      </c>
      <c r="G207" s="111">
        <v>1966</v>
      </c>
      <c r="H207" s="109">
        <v>120</v>
      </c>
      <c r="I207" s="111">
        <f>SUM(G207)+H207</f>
        <v>2086</v>
      </c>
      <c r="J207" s="115">
        <v>0</v>
      </c>
      <c r="K207" s="109"/>
      <c r="L207" s="115">
        <v>0</v>
      </c>
      <c r="M207" s="111">
        <f>SUM(G207)</f>
        <v>1966</v>
      </c>
      <c r="N207" s="111">
        <f>SUM(H207)</f>
        <v>120</v>
      </c>
      <c r="O207" s="111">
        <f>SUM(I207)</f>
        <v>2086</v>
      </c>
      <c r="P207" s="97"/>
      <c r="Q207" s="97"/>
    </row>
    <row r="208" spans="1:17" ht="24" customHeight="1" x14ac:dyDescent="0.2">
      <c r="A208" s="33" t="s">
        <v>260</v>
      </c>
      <c r="B208" s="110" t="s">
        <v>261</v>
      </c>
      <c r="C208" s="110" t="s">
        <v>51</v>
      </c>
      <c r="D208" s="131" t="s">
        <v>262</v>
      </c>
      <c r="E208" s="131" t="s">
        <v>11</v>
      </c>
      <c r="F208" s="132" t="s">
        <v>11</v>
      </c>
      <c r="G208" s="109">
        <f>G209+G237+G232</f>
        <v>30487.399999999998</v>
      </c>
      <c r="H208" s="111">
        <f>H209+H250+H248+H233+H243</f>
        <v>296.39999999999998</v>
      </c>
      <c r="I208" s="109">
        <f>I209+I237+I232</f>
        <v>30783.8</v>
      </c>
      <c r="J208" s="112">
        <f>J209+J237</f>
        <v>13560.400000000001</v>
      </c>
      <c r="K208" s="111">
        <f>K209</f>
        <v>0</v>
      </c>
      <c r="L208" s="112">
        <f>L209+L237</f>
        <v>13560.400000000001</v>
      </c>
      <c r="M208" s="109">
        <f>M209+M232+M237</f>
        <v>44047.799999999996</v>
      </c>
      <c r="N208" s="111">
        <f>N209+N250+N248+N233+N243</f>
        <v>296.39999999999998</v>
      </c>
      <c r="O208" s="109">
        <f>O209+O232+O237</f>
        <v>44344.2</v>
      </c>
      <c r="P208" s="97"/>
      <c r="Q208" s="97"/>
    </row>
    <row r="209" spans="1:17" ht="47.25" x14ac:dyDescent="0.2">
      <c r="A209" s="40"/>
      <c r="B209" s="113" t="s">
        <v>230</v>
      </c>
      <c r="C209" s="113" t="s">
        <v>51</v>
      </c>
      <c r="D209" s="133" t="s">
        <v>262</v>
      </c>
      <c r="E209" s="133" t="s">
        <v>231</v>
      </c>
      <c r="F209" s="134" t="s">
        <v>11</v>
      </c>
      <c r="G209" s="111">
        <f>G210+G220</f>
        <v>18704.599999999999</v>
      </c>
      <c r="H209" s="111">
        <f>H210+H220</f>
        <v>296.39999999999998</v>
      </c>
      <c r="I209" s="111">
        <f>I210+I220</f>
        <v>19001</v>
      </c>
      <c r="J209" s="114">
        <f>J210+J220</f>
        <v>13560.400000000001</v>
      </c>
      <c r="K209" s="111">
        <f>K210</f>
        <v>0</v>
      </c>
      <c r="L209" s="114">
        <f>L210+L220</f>
        <v>13560.400000000001</v>
      </c>
      <c r="M209" s="111">
        <f>M210+M220</f>
        <v>32265</v>
      </c>
      <c r="N209" s="111">
        <f>N210+N220</f>
        <v>296.39999999999998</v>
      </c>
      <c r="O209" s="111">
        <f>O210+O220</f>
        <v>32561.4</v>
      </c>
      <c r="P209" s="97"/>
      <c r="Q209" s="97"/>
    </row>
    <row r="210" spans="1:17" ht="36" customHeight="1" x14ac:dyDescent="0.2">
      <c r="A210" s="40"/>
      <c r="B210" s="113" t="s">
        <v>263</v>
      </c>
      <c r="C210" s="113" t="s">
        <v>51</v>
      </c>
      <c r="D210" s="133" t="s">
        <v>262</v>
      </c>
      <c r="E210" s="133" t="s">
        <v>264</v>
      </c>
      <c r="F210" s="134" t="s">
        <v>11</v>
      </c>
      <c r="G210" s="111">
        <f>G211</f>
        <v>1449.1000000000001</v>
      </c>
      <c r="H210" s="111">
        <f>H211</f>
        <v>0</v>
      </c>
      <c r="I210" s="111">
        <f>I211</f>
        <v>1449.1000000000001</v>
      </c>
      <c r="J210" s="114">
        <f>J211</f>
        <v>13560.400000000001</v>
      </c>
      <c r="K210" s="111">
        <f>K211</f>
        <v>0</v>
      </c>
      <c r="L210" s="114">
        <f>L211</f>
        <v>13560.400000000001</v>
      </c>
      <c r="M210" s="111">
        <f>M211</f>
        <v>15009.500000000002</v>
      </c>
      <c r="N210" s="111">
        <f>N211</f>
        <v>0</v>
      </c>
      <c r="O210" s="111">
        <f>O211</f>
        <v>15009.500000000002</v>
      </c>
      <c r="P210" s="97"/>
      <c r="Q210" s="97"/>
    </row>
    <row r="211" spans="1:17" ht="47.25" x14ac:dyDescent="0.2">
      <c r="A211" s="40"/>
      <c r="B211" s="113" t="s">
        <v>265</v>
      </c>
      <c r="C211" s="113" t="s">
        <v>51</v>
      </c>
      <c r="D211" s="133" t="s">
        <v>262</v>
      </c>
      <c r="E211" s="133" t="s">
        <v>266</v>
      </c>
      <c r="F211" s="134" t="s">
        <v>11</v>
      </c>
      <c r="G211" s="111">
        <f>G218+G212+G214+G216</f>
        <v>1449.1000000000001</v>
      </c>
      <c r="H211" s="111">
        <f>H218+H212+H214+H216</f>
        <v>0</v>
      </c>
      <c r="I211" s="111">
        <f>I218+I212+I214+I216</f>
        <v>1449.1000000000001</v>
      </c>
      <c r="J211" s="114">
        <f>SUM(J218)+J214+J216</f>
        <v>13560.400000000001</v>
      </c>
      <c r="K211" s="111">
        <f>K218+K212+K214+K216</f>
        <v>0</v>
      </c>
      <c r="L211" s="114">
        <f>SUM(L218)+L214+L216</f>
        <v>13560.400000000001</v>
      </c>
      <c r="M211" s="111">
        <f>SUM(G210+J210)</f>
        <v>15009.500000000002</v>
      </c>
      <c r="N211" s="111">
        <f>SUM(H211+K211)</f>
        <v>0</v>
      </c>
      <c r="O211" s="111">
        <f>SUM(I210+L210)</f>
        <v>15009.500000000002</v>
      </c>
      <c r="P211" s="97"/>
      <c r="Q211" s="97"/>
    </row>
    <row r="212" spans="1:17" ht="31.5" x14ac:dyDescent="0.2">
      <c r="A212" s="40"/>
      <c r="B212" s="140" t="s">
        <v>267</v>
      </c>
      <c r="C212" s="113">
        <v>992</v>
      </c>
      <c r="D212" s="133" t="s">
        <v>262</v>
      </c>
      <c r="E212" s="136" t="s">
        <v>268</v>
      </c>
      <c r="F212" s="134"/>
      <c r="G212" s="111">
        <v>735.3</v>
      </c>
      <c r="H212" s="111">
        <f>SUM(H213)</f>
        <v>0</v>
      </c>
      <c r="I212" s="111">
        <f>SUM(G212)</f>
        <v>735.3</v>
      </c>
      <c r="J212" s="114"/>
      <c r="K212" s="111"/>
      <c r="L212" s="114"/>
      <c r="M212" s="111">
        <f>SUM(G212)</f>
        <v>735.3</v>
      </c>
      <c r="N212" s="111">
        <f>SUM(N213)</f>
        <v>0</v>
      </c>
      <c r="O212" s="111">
        <f>SUM(M212)</f>
        <v>735.3</v>
      </c>
      <c r="P212" s="97"/>
      <c r="Q212" s="97"/>
    </row>
    <row r="213" spans="1:17" ht="31.5" x14ac:dyDescent="0.2">
      <c r="A213" s="40"/>
      <c r="B213" s="113" t="s">
        <v>40</v>
      </c>
      <c r="C213" s="113">
        <v>992</v>
      </c>
      <c r="D213" s="133" t="s">
        <v>262</v>
      </c>
      <c r="E213" s="136" t="s">
        <v>268</v>
      </c>
      <c r="F213" s="134">
        <v>200</v>
      </c>
      <c r="G213" s="111">
        <v>735.3</v>
      </c>
      <c r="H213" s="111"/>
      <c r="I213" s="111">
        <f>SUM(G213)</f>
        <v>735.3</v>
      </c>
      <c r="J213" s="114"/>
      <c r="K213" s="111"/>
      <c r="L213" s="114"/>
      <c r="M213" s="111">
        <f>SUM(G213)</f>
        <v>735.3</v>
      </c>
      <c r="N213" s="111">
        <f>SUM(H213)</f>
        <v>0</v>
      </c>
      <c r="O213" s="111">
        <f>SUM(M213)</f>
        <v>735.3</v>
      </c>
      <c r="P213" s="97"/>
      <c r="Q213" s="97"/>
    </row>
    <row r="214" spans="1:17" ht="30.75" customHeight="1" x14ac:dyDescent="0.2">
      <c r="A214" s="40"/>
      <c r="B214" s="113" t="s">
        <v>548</v>
      </c>
      <c r="C214" s="113">
        <v>992</v>
      </c>
      <c r="D214" s="133" t="s">
        <v>262</v>
      </c>
      <c r="E214" s="133" t="s">
        <v>547</v>
      </c>
      <c r="F214" s="134"/>
      <c r="G214" s="111">
        <v>0</v>
      </c>
      <c r="H214" s="111"/>
      <c r="I214" s="111">
        <f>SUM(G215)+H214</f>
        <v>0</v>
      </c>
      <c r="J214" s="114">
        <f>SUM(J215)</f>
        <v>0</v>
      </c>
      <c r="K214" s="111"/>
      <c r="L214" s="114">
        <f>SUM(J214)+K214</f>
        <v>0</v>
      </c>
      <c r="M214" s="111">
        <f t="shared" ref="M214:O215" si="40">SUM(G214+J214)</f>
        <v>0</v>
      </c>
      <c r="N214" s="111">
        <f t="shared" si="40"/>
        <v>0</v>
      </c>
      <c r="O214" s="111">
        <f t="shared" si="40"/>
        <v>0</v>
      </c>
      <c r="P214" s="97"/>
      <c r="Q214" s="97"/>
    </row>
    <row r="215" spans="1:17" ht="30.75" customHeight="1" x14ac:dyDescent="0.2">
      <c r="A215" s="40"/>
      <c r="B215" s="113" t="s">
        <v>40</v>
      </c>
      <c r="C215" s="113">
        <v>992</v>
      </c>
      <c r="D215" s="133" t="s">
        <v>262</v>
      </c>
      <c r="E215" s="133" t="s">
        <v>547</v>
      </c>
      <c r="F215" s="134">
        <v>200</v>
      </c>
      <c r="G215" s="111">
        <v>0</v>
      </c>
      <c r="H215" s="111"/>
      <c r="I215" s="111">
        <v>0</v>
      </c>
      <c r="J215" s="114">
        <v>0</v>
      </c>
      <c r="K215" s="111"/>
      <c r="L215" s="114">
        <f>SUM(J215)+K215</f>
        <v>0</v>
      </c>
      <c r="M215" s="111">
        <f t="shared" si="40"/>
        <v>0</v>
      </c>
      <c r="N215" s="111">
        <f t="shared" si="40"/>
        <v>0</v>
      </c>
      <c r="O215" s="111">
        <f t="shared" si="40"/>
        <v>0</v>
      </c>
      <c r="P215" s="97"/>
      <c r="Q215" s="97"/>
    </row>
    <row r="216" spans="1:17" ht="30.75" customHeight="1" x14ac:dyDescent="0.2">
      <c r="A216" s="40"/>
      <c r="B216" s="113" t="s">
        <v>548</v>
      </c>
      <c r="C216" s="113">
        <v>992</v>
      </c>
      <c r="D216" s="133" t="s">
        <v>262</v>
      </c>
      <c r="E216" s="133" t="s">
        <v>561</v>
      </c>
      <c r="F216" s="134"/>
      <c r="G216" s="111">
        <v>294.2</v>
      </c>
      <c r="H216" s="111"/>
      <c r="I216" s="111">
        <f>SUM(G216)</f>
        <v>294.2</v>
      </c>
      <c r="J216" s="114">
        <v>5589.3</v>
      </c>
      <c r="K216" s="111"/>
      <c r="L216" s="114">
        <f>SUM(J216)</f>
        <v>5589.3</v>
      </c>
      <c r="M216" s="111">
        <f t="shared" ref="M216:O217" si="41">SUM(G216)+J216</f>
        <v>5883.5</v>
      </c>
      <c r="N216" s="111">
        <f t="shared" si="41"/>
        <v>0</v>
      </c>
      <c r="O216" s="111">
        <f t="shared" si="41"/>
        <v>5883.5</v>
      </c>
      <c r="P216" s="97"/>
      <c r="Q216" s="97"/>
    </row>
    <row r="217" spans="1:17" ht="30.75" customHeight="1" x14ac:dyDescent="0.2">
      <c r="A217" s="40"/>
      <c r="B217" s="113" t="s">
        <v>40</v>
      </c>
      <c r="C217" s="113">
        <v>992</v>
      </c>
      <c r="D217" s="133" t="s">
        <v>262</v>
      </c>
      <c r="E217" s="133" t="s">
        <v>561</v>
      </c>
      <c r="F217" s="134">
        <v>200</v>
      </c>
      <c r="G217" s="111">
        <v>294.2</v>
      </c>
      <c r="H217" s="111"/>
      <c r="I217" s="111">
        <f>SUM(G217)</f>
        <v>294.2</v>
      </c>
      <c r="J217" s="114">
        <v>5589.3</v>
      </c>
      <c r="K217" s="111"/>
      <c r="L217" s="114">
        <f>SUM(J217)</f>
        <v>5589.3</v>
      </c>
      <c r="M217" s="111">
        <f t="shared" si="41"/>
        <v>5883.5</v>
      </c>
      <c r="N217" s="111">
        <f t="shared" si="41"/>
        <v>0</v>
      </c>
      <c r="O217" s="111">
        <f t="shared" si="41"/>
        <v>5883.5</v>
      </c>
      <c r="P217" s="97"/>
      <c r="Q217" s="97"/>
    </row>
    <row r="218" spans="1:17" ht="47.25" x14ac:dyDescent="0.2">
      <c r="A218" s="40"/>
      <c r="B218" s="113" t="s">
        <v>269</v>
      </c>
      <c r="C218" s="113" t="s">
        <v>51</v>
      </c>
      <c r="D218" s="133" t="s">
        <v>262</v>
      </c>
      <c r="E218" s="133" t="s">
        <v>270</v>
      </c>
      <c r="F218" s="134" t="s">
        <v>11</v>
      </c>
      <c r="G218" s="111">
        <f>G219</f>
        <v>419.6</v>
      </c>
      <c r="H218" s="111">
        <f>SUM(H219)</f>
        <v>0</v>
      </c>
      <c r="I218" s="111">
        <f>I219</f>
        <v>419.6</v>
      </c>
      <c r="J218" s="114">
        <f>J219</f>
        <v>7971.1</v>
      </c>
      <c r="K218" s="111">
        <f>SUM(K219)</f>
        <v>0</v>
      </c>
      <c r="L218" s="114">
        <f>L219</f>
        <v>7971.1</v>
      </c>
      <c r="M218" s="111">
        <f>M219</f>
        <v>8390.7000000000007</v>
      </c>
      <c r="N218" s="111">
        <f>N219</f>
        <v>0</v>
      </c>
      <c r="O218" s="111">
        <f>O219</f>
        <v>8390.7000000000007</v>
      </c>
      <c r="P218" s="97"/>
      <c r="Q218" s="97"/>
    </row>
    <row r="219" spans="1:17" ht="31.5" x14ac:dyDescent="0.2">
      <c r="A219" s="40"/>
      <c r="B219" s="113" t="s">
        <v>40</v>
      </c>
      <c r="C219" s="113" t="s">
        <v>51</v>
      </c>
      <c r="D219" s="133" t="s">
        <v>262</v>
      </c>
      <c r="E219" s="133" t="s">
        <v>270</v>
      </c>
      <c r="F219" s="134" t="s">
        <v>41</v>
      </c>
      <c r="G219" s="111">
        <v>419.6</v>
      </c>
      <c r="H219" s="111"/>
      <c r="I219" s="111">
        <f>419.6+H219</f>
        <v>419.6</v>
      </c>
      <c r="J219" s="115">
        <v>7971.1</v>
      </c>
      <c r="K219" s="111"/>
      <c r="L219" s="115">
        <f>7971.1+K219</f>
        <v>7971.1</v>
      </c>
      <c r="M219" s="111">
        <f>419.6+J219</f>
        <v>8390.7000000000007</v>
      </c>
      <c r="N219" s="111">
        <f>SUM(H219+K219)</f>
        <v>0</v>
      </c>
      <c r="O219" s="111">
        <f>SUM(I219+L219)</f>
        <v>8390.7000000000007</v>
      </c>
      <c r="P219" s="97"/>
      <c r="Q219" s="97"/>
    </row>
    <row r="220" spans="1:17" ht="31.5" x14ac:dyDescent="0.2">
      <c r="A220" s="40"/>
      <c r="B220" s="113" t="s">
        <v>185</v>
      </c>
      <c r="C220" s="113" t="s">
        <v>51</v>
      </c>
      <c r="D220" s="133" t="s">
        <v>262</v>
      </c>
      <c r="E220" s="133" t="s">
        <v>271</v>
      </c>
      <c r="F220" s="134" t="s">
        <v>11</v>
      </c>
      <c r="G220" s="111">
        <f>G221+G228+G225</f>
        <v>17255.5</v>
      </c>
      <c r="H220" s="111">
        <f>H221+H225+H228</f>
        <v>296.39999999999998</v>
      </c>
      <c r="I220" s="111">
        <f>I221+I228+I225</f>
        <v>17551.900000000001</v>
      </c>
      <c r="J220" s="114">
        <f>J221+J228</f>
        <v>0</v>
      </c>
      <c r="K220" s="111">
        <f>K221</f>
        <v>0</v>
      </c>
      <c r="L220" s="114">
        <f>L221+L228</f>
        <v>0</v>
      </c>
      <c r="M220" s="111">
        <f>M221+M228+M225</f>
        <v>17255.5</v>
      </c>
      <c r="N220" s="111">
        <f>SUM(H220)</f>
        <v>296.39999999999998</v>
      </c>
      <c r="O220" s="111">
        <f>O221+O228+O225</f>
        <v>17551.900000000001</v>
      </c>
      <c r="P220" s="97"/>
      <c r="Q220" s="97"/>
    </row>
    <row r="221" spans="1:17" ht="51.6" customHeight="1" x14ac:dyDescent="0.2">
      <c r="A221" s="40"/>
      <c r="B221" s="113" t="s">
        <v>272</v>
      </c>
      <c r="C221" s="113" t="s">
        <v>51</v>
      </c>
      <c r="D221" s="133" t="s">
        <v>262</v>
      </c>
      <c r="E221" s="133" t="s">
        <v>273</v>
      </c>
      <c r="F221" s="134" t="s">
        <v>11</v>
      </c>
      <c r="G221" s="111">
        <f>G222</f>
        <v>9124.6</v>
      </c>
      <c r="H221" s="111">
        <f>H222+H223</f>
        <v>0</v>
      </c>
      <c r="I221" s="111">
        <f>I222</f>
        <v>9124.6</v>
      </c>
      <c r="J221" s="114">
        <f>J222</f>
        <v>0</v>
      </c>
      <c r="K221" s="111">
        <f>K222+K223</f>
        <v>0</v>
      </c>
      <c r="L221" s="114">
        <f>L222</f>
        <v>0</v>
      </c>
      <c r="M221" s="111">
        <f>M222</f>
        <v>9124.6</v>
      </c>
      <c r="N221" s="111">
        <f>N222</f>
        <v>0</v>
      </c>
      <c r="O221" s="111">
        <f>O222</f>
        <v>9124.6</v>
      </c>
      <c r="P221" s="97"/>
      <c r="Q221" s="97"/>
    </row>
    <row r="222" spans="1:17" ht="31.5" x14ac:dyDescent="0.2">
      <c r="A222" s="40"/>
      <c r="B222" s="113" t="s">
        <v>134</v>
      </c>
      <c r="C222" s="113" t="s">
        <v>51</v>
      </c>
      <c r="D222" s="133" t="s">
        <v>262</v>
      </c>
      <c r="E222" s="133" t="s">
        <v>274</v>
      </c>
      <c r="F222" s="134" t="s">
        <v>11</v>
      </c>
      <c r="G222" s="111">
        <f>G223+G224</f>
        <v>9124.6</v>
      </c>
      <c r="H222" s="111">
        <f>SUM(H224)</f>
        <v>0</v>
      </c>
      <c r="I222" s="111">
        <f>I223+I224</f>
        <v>9124.6</v>
      </c>
      <c r="J222" s="114">
        <f>J223+J224</f>
        <v>0</v>
      </c>
      <c r="K222" s="111"/>
      <c r="L222" s="114">
        <f>L223+L224</f>
        <v>0</v>
      </c>
      <c r="M222" s="111">
        <f>M223+M224</f>
        <v>9124.6</v>
      </c>
      <c r="N222" s="111">
        <f>N223+N224</f>
        <v>0</v>
      </c>
      <c r="O222" s="111">
        <f>O223+O224</f>
        <v>9124.6</v>
      </c>
      <c r="P222" s="97"/>
      <c r="Q222" s="97"/>
    </row>
    <row r="223" spans="1:17" ht="25.9" customHeight="1" x14ac:dyDescent="0.2">
      <c r="A223" s="40"/>
      <c r="B223" s="113" t="s">
        <v>61</v>
      </c>
      <c r="C223" s="113" t="s">
        <v>51</v>
      </c>
      <c r="D223" s="133" t="s">
        <v>262</v>
      </c>
      <c r="E223" s="133" t="s">
        <v>274</v>
      </c>
      <c r="F223" s="134" t="s">
        <v>62</v>
      </c>
      <c r="G223" s="111">
        <v>8871.2000000000007</v>
      </c>
      <c r="H223" s="111"/>
      <c r="I223" s="111">
        <f>SUM(G223)</f>
        <v>8871.2000000000007</v>
      </c>
      <c r="J223" s="115">
        <v>0</v>
      </c>
      <c r="K223" s="111"/>
      <c r="L223" s="115">
        <v>0</v>
      </c>
      <c r="M223" s="111">
        <f>SUM(G223)</f>
        <v>8871.2000000000007</v>
      </c>
      <c r="N223" s="111">
        <f>SUM(H223)</f>
        <v>0</v>
      </c>
      <c r="O223" s="111">
        <f>SUM(M223)</f>
        <v>8871.2000000000007</v>
      </c>
      <c r="P223" s="97"/>
      <c r="Q223" s="97"/>
    </row>
    <row r="224" spans="1:17" ht="31.5" x14ac:dyDescent="0.2">
      <c r="A224" s="40"/>
      <c r="B224" s="113" t="s">
        <v>40</v>
      </c>
      <c r="C224" s="113" t="s">
        <v>51</v>
      </c>
      <c r="D224" s="133" t="s">
        <v>262</v>
      </c>
      <c r="E224" s="133" t="s">
        <v>274</v>
      </c>
      <c r="F224" s="134" t="s">
        <v>41</v>
      </c>
      <c r="G224" s="111">
        <v>253.4</v>
      </c>
      <c r="H224" s="111"/>
      <c r="I224" s="111">
        <f>SUM(G224)</f>
        <v>253.4</v>
      </c>
      <c r="J224" s="115">
        <v>0</v>
      </c>
      <c r="K224" s="111"/>
      <c r="L224" s="115">
        <v>0</v>
      </c>
      <c r="M224" s="111">
        <f t="shared" ref="M224:N227" si="42">SUM(G224)</f>
        <v>253.4</v>
      </c>
      <c r="N224" s="111">
        <f t="shared" si="42"/>
        <v>0</v>
      </c>
      <c r="O224" s="111">
        <f>SUM(M224)</f>
        <v>253.4</v>
      </c>
      <c r="P224" s="97"/>
      <c r="Q224" s="97"/>
    </row>
    <row r="225" spans="1:17" ht="15.75" x14ac:dyDescent="0.2">
      <c r="A225" s="40"/>
      <c r="B225" s="113" t="s">
        <v>275</v>
      </c>
      <c r="C225" s="113">
        <v>992</v>
      </c>
      <c r="D225" s="133" t="s">
        <v>262</v>
      </c>
      <c r="E225" s="136" t="s">
        <v>276</v>
      </c>
      <c r="F225" s="134"/>
      <c r="G225" s="111">
        <f>SUM(G227)</f>
        <v>600</v>
      </c>
      <c r="H225" s="111">
        <f>SUM(H227)</f>
        <v>296.39999999999998</v>
      </c>
      <c r="I225" s="111">
        <f>SUM(H225)+G225</f>
        <v>896.4</v>
      </c>
      <c r="J225" s="115"/>
      <c r="K225" s="111"/>
      <c r="L225" s="115"/>
      <c r="M225" s="111">
        <f t="shared" si="42"/>
        <v>600</v>
      </c>
      <c r="N225" s="111">
        <f t="shared" si="42"/>
        <v>296.39999999999998</v>
      </c>
      <c r="O225" s="111">
        <f>SUM(I225)</f>
        <v>896.4</v>
      </c>
      <c r="P225" s="97"/>
      <c r="Q225" s="97"/>
    </row>
    <row r="226" spans="1:17" ht="15.75" x14ac:dyDescent="0.2">
      <c r="A226" s="40"/>
      <c r="B226" s="113" t="s">
        <v>277</v>
      </c>
      <c r="C226" s="113">
        <v>992</v>
      </c>
      <c r="D226" s="133" t="s">
        <v>262</v>
      </c>
      <c r="E226" s="136" t="s">
        <v>276</v>
      </c>
      <c r="F226" s="134"/>
      <c r="G226" s="111">
        <f>SUM(F226)+G227</f>
        <v>600</v>
      </c>
      <c r="H226" s="111">
        <v>296</v>
      </c>
      <c r="I226" s="111">
        <f>SUM(H226)+G226</f>
        <v>896</v>
      </c>
      <c r="J226" s="115"/>
      <c r="K226" s="111"/>
      <c r="L226" s="115"/>
      <c r="M226" s="111">
        <f t="shared" si="42"/>
        <v>600</v>
      </c>
      <c r="N226" s="111">
        <f t="shared" si="42"/>
        <v>296</v>
      </c>
      <c r="O226" s="111">
        <f>SUM(I226)</f>
        <v>896</v>
      </c>
      <c r="P226" s="97"/>
      <c r="Q226" s="97"/>
    </row>
    <row r="227" spans="1:17" ht="31.5" x14ac:dyDescent="0.2">
      <c r="A227" s="40"/>
      <c r="B227" s="113" t="s">
        <v>40</v>
      </c>
      <c r="C227" s="113">
        <v>992</v>
      </c>
      <c r="D227" s="133" t="s">
        <v>262</v>
      </c>
      <c r="E227" s="136" t="s">
        <v>278</v>
      </c>
      <c r="F227" s="134">
        <v>200</v>
      </c>
      <c r="G227" s="111">
        <v>600</v>
      </c>
      <c r="H227" s="111">
        <v>296.39999999999998</v>
      </c>
      <c r="I227" s="111">
        <f>SUM(H227)+G227</f>
        <v>896.4</v>
      </c>
      <c r="J227" s="115"/>
      <c r="K227" s="111"/>
      <c r="L227" s="115"/>
      <c r="M227" s="111">
        <f t="shared" si="42"/>
        <v>600</v>
      </c>
      <c r="N227" s="111">
        <f t="shared" si="42"/>
        <v>296.39999999999998</v>
      </c>
      <c r="O227" s="111">
        <f>SUM(I227)</f>
        <v>896.4</v>
      </c>
      <c r="P227" s="97"/>
      <c r="Q227" s="97"/>
    </row>
    <row r="228" spans="1:17" ht="52.15" customHeight="1" x14ac:dyDescent="0.2">
      <c r="A228" s="40"/>
      <c r="B228" s="113" t="s">
        <v>279</v>
      </c>
      <c r="C228" s="113" t="s">
        <v>51</v>
      </c>
      <c r="D228" s="133" t="s">
        <v>262</v>
      </c>
      <c r="E228" s="133" t="s">
        <v>280</v>
      </c>
      <c r="F228" s="134" t="s">
        <v>11</v>
      </c>
      <c r="G228" s="111">
        <f t="shared" ref="G228:O229" si="43">G229</f>
        <v>7530.9</v>
      </c>
      <c r="H228" s="111">
        <f t="shared" si="43"/>
        <v>0</v>
      </c>
      <c r="I228" s="111">
        <f t="shared" si="43"/>
        <v>7530.9</v>
      </c>
      <c r="J228" s="114">
        <f t="shared" si="43"/>
        <v>0</v>
      </c>
      <c r="K228" s="111">
        <f t="shared" si="43"/>
        <v>0</v>
      </c>
      <c r="L228" s="114">
        <f t="shared" si="43"/>
        <v>0</v>
      </c>
      <c r="M228" s="111">
        <f t="shared" si="43"/>
        <v>7530.9</v>
      </c>
      <c r="N228" s="111">
        <f t="shared" si="43"/>
        <v>0</v>
      </c>
      <c r="O228" s="111">
        <f t="shared" si="43"/>
        <v>7530.9</v>
      </c>
      <c r="P228" s="97"/>
      <c r="Q228" s="97"/>
    </row>
    <row r="229" spans="1:17" ht="31.5" x14ac:dyDescent="0.2">
      <c r="A229" s="40"/>
      <c r="B229" s="113" t="s">
        <v>134</v>
      </c>
      <c r="C229" s="113" t="s">
        <v>51</v>
      </c>
      <c r="D229" s="133" t="s">
        <v>262</v>
      </c>
      <c r="E229" s="133" t="s">
        <v>281</v>
      </c>
      <c r="F229" s="134" t="s">
        <v>11</v>
      </c>
      <c r="G229" s="111">
        <f t="shared" si="43"/>
        <v>7530.9</v>
      </c>
      <c r="H229" s="111">
        <f>SUM(H230)</f>
        <v>0</v>
      </c>
      <c r="I229" s="111">
        <f t="shared" si="43"/>
        <v>7530.9</v>
      </c>
      <c r="J229" s="114">
        <f t="shared" si="43"/>
        <v>0</v>
      </c>
      <c r="K229" s="111"/>
      <c r="L229" s="114">
        <f t="shared" si="43"/>
        <v>0</v>
      </c>
      <c r="M229" s="111">
        <f t="shared" si="43"/>
        <v>7530.9</v>
      </c>
      <c r="N229" s="111">
        <f t="shared" si="43"/>
        <v>0</v>
      </c>
      <c r="O229" s="111">
        <f t="shared" si="43"/>
        <v>7530.9</v>
      </c>
      <c r="P229" s="97"/>
      <c r="Q229" s="97"/>
    </row>
    <row r="230" spans="1:17" ht="37.9" customHeight="1" x14ac:dyDescent="0.2">
      <c r="A230" s="40"/>
      <c r="B230" s="113" t="s">
        <v>95</v>
      </c>
      <c r="C230" s="113" t="s">
        <v>51</v>
      </c>
      <c r="D230" s="133" t="s">
        <v>262</v>
      </c>
      <c r="E230" s="133" t="s">
        <v>281</v>
      </c>
      <c r="F230" s="134" t="s">
        <v>96</v>
      </c>
      <c r="G230" s="111">
        <v>7530.9</v>
      </c>
      <c r="H230" s="111"/>
      <c r="I230" s="111">
        <f>SUM(G230)</f>
        <v>7530.9</v>
      </c>
      <c r="J230" s="115">
        <v>0</v>
      </c>
      <c r="K230" s="111"/>
      <c r="L230" s="115">
        <v>0</v>
      </c>
      <c r="M230" s="111">
        <f>SUM(G230)</f>
        <v>7530.9</v>
      </c>
      <c r="N230" s="111">
        <f>SUM(H230)</f>
        <v>0</v>
      </c>
      <c r="O230" s="111">
        <f>SUM(M230)</f>
        <v>7530.9</v>
      </c>
      <c r="P230" s="97"/>
      <c r="Q230" s="97"/>
    </row>
    <row r="231" spans="1:17" ht="37.9" customHeight="1" x14ac:dyDescent="0.2">
      <c r="A231" s="40"/>
      <c r="B231" s="118" t="s">
        <v>245</v>
      </c>
      <c r="C231" s="118">
        <v>992</v>
      </c>
      <c r="D231" s="136" t="s">
        <v>262</v>
      </c>
      <c r="E231" s="136" t="s">
        <v>246</v>
      </c>
      <c r="F231" s="141"/>
      <c r="G231" s="111">
        <f t="shared" ref="G231:O231" si="44">G232</f>
        <v>6256.7</v>
      </c>
      <c r="H231" s="111">
        <f t="shared" si="44"/>
        <v>0</v>
      </c>
      <c r="I231" s="111">
        <f t="shared" si="44"/>
        <v>6256.7</v>
      </c>
      <c r="J231" s="115">
        <f t="shared" si="44"/>
        <v>0</v>
      </c>
      <c r="K231" s="111">
        <f t="shared" si="44"/>
        <v>0</v>
      </c>
      <c r="L231" s="115">
        <f t="shared" si="44"/>
        <v>0</v>
      </c>
      <c r="M231" s="111">
        <f t="shared" si="44"/>
        <v>6256.7</v>
      </c>
      <c r="N231" s="111">
        <f t="shared" si="44"/>
        <v>0</v>
      </c>
      <c r="O231" s="111">
        <f t="shared" si="44"/>
        <v>6256.7</v>
      </c>
      <c r="P231" s="97"/>
      <c r="Q231" s="97"/>
    </row>
    <row r="232" spans="1:17" ht="37.9" customHeight="1" x14ac:dyDescent="0.2">
      <c r="A232" s="40"/>
      <c r="B232" s="96" t="s">
        <v>282</v>
      </c>
      <c r="C232" s="113">
        <v>992</v>
      </c>
      <c r="D232" s="133" t="s">
        <v>262</v>
      </c>
      <c r="E232" s="136" t="s">
        <v>248</v>
      </c>
      <c r="F232" s="134"/>
      <c r="G232" s="111">
        <f>SUM(G235)+G233</f>
        <v>6256.7</v>
      </c>
      <c r="H232" s="111">
        <f>SUM(H235)+H233</f>
        <v>0</v>
      </c>
      <c r="I232" s="111">
        <f>SUM(G232)+H232</f>
        <v>6256.7</v>
      </c>
      <c r="J232" s="115"/>
      <c r="K232" s="111"/>
      <c r="L232" s="115"/>
      <c r="M232" s="111">
        <f>SUM(G232)</f>
        <v>6256.7</v>
      </c>
      <c r="N232" s="111">
        <f t="shared" ref="N232:O236" si="45">SUM(H232)</f>
        <v>0</v>
      </c>
      <c r="O232" s="111">
        <f t="shared" si="45"/>
        <v>6256.7</v>
      </c>
      <c r="P232" s="97"/>
      <c r="Q232" s="97"/>
    </row>
    <row r="233" spans="1:17" ht="43.5" customHeight="1" x14ac:dyDescent="0.2">
      <c r="A233" s="40"/>
      <c r="B233" s="135" t="s">
        <v>134</v>
      </c>
      <c r="C233" s="113">
        <v>992</v>
      </c>
      <c r="D233" s="133" t="s">
        <v>262</v>
      </c>
      <c r="E233" s="136" t="s">
        <v>251</v>
      </c>
      <c r="F233" s="134"/>
      <c r="G233" s="111">
        <f>SUM(G234)</f>
        <v>5097.7</v>
      </c>
      <c r="H233" s="111">
        <f>SUM(H234)</f>
        <v>0</v>
      </c>
      <c r="I233" s="111">
        <f>SUM(I234)</f>
        <v>5097.7</v>
      </c>
      <c r="J233" s="115"/>
      <c r="K233" s="111"/>
      <c r="L233" s="115"/>
      <c r="M233" s="111">
        <f>SUM(G233)</f>
        <v>5097.7</v>
      </c>
      <c r="N233" s="111">
        <f>SUM(H233)</f>
        <v>0</v>
      </c>
      <c r="O233" s="111">
        <f>SUM(I233)</f>
        <v>5097.7</v>
      </c>
      <c r="P233" s="97"/>
      <c r="Q233" s="97"/>
    </row>
    <row r="234" spans="1:17" ht="46.5" customHeight="1" x14ac:dyDescent="0.2">
      <c r="A234" s="40"/>
      <c r="B234" s="113" t="s">
        <v>95</v>
      </c>
      <c r="C234" s="113">
        <v>992</v>
      </c>
      <c r="D234" s="133" t="s">
        <v>262</v>
      </c>
      <c r="E234" s="136" t="s">
        <v>251</v>
      </c>
      <c r="F234" s="134">
        <v>600</v>
      </c>
      <c r="G234" s="111">
        <v>5097.7</v>
      </c>
      <c r="H234" s="111"/>
      <c r="I234" s="111">
        <v>5097.7</v>
      </c>
      <c r="J234" s="115"/>
      <c r="K234" s="111"/>
      <c r="L234" s="115"/>
      <c r="M234" s="111">
        <f>SUM(G234)</f>
        <v>5097.7</v>
      </c>
      <c r="N234" s="111">
        <f>SUM(H234)</f>
        <v>0</v>
      </c>
      <c r="O234" s="111">
        <f>SUM(I234)</f>
        <v>5097.7</v>
      </c>
      <c r="P234" s="97"/>
      <c r="Q234" s="97"/>
    </row>
    <row r="235" spans="1:17" ht="54" customHeight="1" x14ac:dyDescent="0.2">
      <c r="A235" s="40"/>
      <c r="B235" s="142" t="s">
        <v>283</v>
      </c>
      <c r="C235" s="113">
        <v>992</v>
      </c>
      <c r="D235" s="133" t="s">
        <v>262</v>
      </c>
      <c r="E235" s="136" t="s">
        <v>284</v>
      </c>
      <c r="F235" s="134"/>
      <c r="G235" s="111">
        <f>SUM(G236)</f>
        <v>1159</v>
      </c>
      <c r="H235" s="111">
        <f>SUM(H236)</f>
        <v>0</v>
      </c>
      <c r="I235" s="111">
        <f>SUM(G235)+H235</f>
        <v>1159</v>
      </c>
      <c r="J235" s="115"/>
      <c r="K235" s="111"/>
      <c r="L235" s="115"/>
      <c r="M235" s="111">
        <f>SUM(G236)</f>
        <v>1159</v>
      </c>
      <c r="N235" s="111">
        <f t="shared" si="45"/>
        <v>0</v>
      </c>
      <c r="O235" s="111">
        <f t="shared" si="45"/>
        <v>1159</v>
      </c>
      <c r="P235" s="97"/>
      <c r="Q235" s="97"/>
    </row>
    <row r="236" spans="1:17" ht="37.9" customHeight="1" x14ac:dyDescent="0.2">
      <c r="A236" s="40"/>
      <c r="B236" s="113" t="s">
        <v>95</v>
      </c>
      <c r="C236" s="113">
        <v>992</v>
      </c>
      <c r="D236" s="133" t="s">
        <v>262</v>
      </c>
      <c r="E236" s="136" t="s">
        <v>284</v>
      </c>
      <c r="F236" s="134">
        <v>600</v>
      </c>
      <c r="G236" s="111">
        <v>1159</v>
      </c>
      <c r="H236" s="111"/>
      <c r="I236" s="111">
        <f>SUM(G236)+H236</f>
        <v>1159</v>
      </c>
      <c r="J236" s="115"/>
      <c r="K236" s="111"/>
      <c r="L236" s="115"/>
      <c r="M236" s="111">
        <f>SUM(G236)</f>
        <v>1159</v>
      </c>
      <c r="N236" s="111">
        <f t="shared" si="45"/>
        <v>0</v>
      </c>
      <c r="O236" s="111">
        <f t="shared" si="45"/>
        <v>1159</v>
      </c>
      <c r="P236" s="97"/>
      <c r="Q236" s="97"/>
    </row>
    <row r="237" spans="1:17" ht="31.5" x14ac:dyDescent="0.2">
      <c r="A237" s="40"/>
      <c r="B237" s="113" t="s">
        <v>218</v>
      </c>
      <c r="C237" s="113" t="s">
        <v>51</v>
      </c>
      <c r="D237" s="133" t="s">
        <v>262</v>
      </c>
      <c r="E237" s="133" t="s">
        <v>219</v>
      </c>
      <c r="F237" s="134" t="s">
        <v>11</v>
      </c>
      <c r="G237" s="111">
        <f>G238+G243+G250</f>
        <v>5526.1</v>
      </c>
      <c r="H237" s="111">
        <f>H238+H243</f>
        <v>0</v>
      </c>
      <c r="I237" s="111">
        <f>I238+I243+I250</f>
        <v>5526.1</v>
      </c>
      <c r="J237" s="114">
        <f>J238+J243+J250</f>
        <v>0</v>
      </c>
      <c r="K237" s="111">
        <f>K238</f>
        <v>0</v>
      </c>
      <c r="L237" s="114">
        <f>L238+L243+L250</f>
        <v>0</v>
      </c>
      <c r="M237" s="111">
        <f>M238+M243+M250</f>
        <v>5526.1</v>
      </c>
      <c r="N237" s="111">
        <f>N238+N243+N250</f>
        <v>0</v>
      </c>
      <c r="O237" s="111">
        <f>O238+O243+O250</f>
        <v>5526.1</v>
      </c>
      <c r="P237" s="97"/>
      <c r="Q237" s="97"/>
    </row>
    <row r="238" spans="1:17" ht="31.5" x14ac:dyDescent="0.2">
      <c r="A238" s="40"/>
      <c r="B238" s="113" t="s">
        <v>285</v>
      </c>
      <c r="C238" s="113" t="s">
        <v>51</v>
      </c>
      <c r="D238" s="133" t="s">
        <v>262</v>
      </c>
      <c r="E238" s="133" t="s">
        <v>286</v>
      </c>
      <c r="F238" s="134" t="s">
        <v>11</v>
      </c>
      <c r="G238" s="111">
        <f>G239</f>
        <v>330</v>
      </c>
      <c r="H238" s="111">
        <f>H239</f>
        <v>0</v>
      </c>
      <c r="I238" s="111">
        <f>I239</f>
        <v>330</v>
      </c>
      <c r="J238" s="114">
        <f t="shared" ref="J238:O239" si="46">J239</f>
        <v>0</v>
      </c>
      <c r="K238" s="111">
        <f>K239</f>
        <v>0</v>
      </c>
      <c r="L238" s="114">
        <f t="shared" si="46"/>
        <v>0</v>
      </c>
      <c r="M238" s="111">
        <f t="shared" si="46"/>
        <v>330</v>
      </c>
      <c r="N238" s="111">
        <f t="shared" si="46"/>
        <v>0</v>
      </c>
      <c r="O238" s="111">
        <f t="shared" si="46"/>
        <v>330</v>
      </c>
      <c r="P238" s="97"/>
      <c r="Q238" s="97"/>
    </row>
    <row r="239" spans="1:17" ht="31.5" x14ac:dyDescent="0.2">
      <c r="A239" s="40"/>
      <c r="B239" s="113" t="s">
        <v>287</v>
      </c>
      <c r="C239" s="113" t="s">
        <v>51</v>
      </c>
      <c r="D239" s="133" t="s">
        <v>262</v>
      </c>
      <c r="E239" s="133" t="s">
        <v>288</v>
      </c>
      <c r="F239" s="134" t="s">
        <v>11</v>
      </c>
      <c r="G239" s="111">
        <f>G240</f>
        <v>330</v>
      </c>
      <c r="H239" s="111">
        <f>H241+H240</f>
        <v>0</v>
      </c>
      <c r="I239" s="111">
        <f>I240</f>
        <v>330</v>
      </c>
      <c r="J239" s="114">
        <f t="shared" si="46"/>
        <v>0</v>
      </c>
      <c r="K239" s="111">
        <f>K241+K240</f>
        <v>0</v>
      </c>
      <c r="L239" s="114">
        <f t="shared" si="46"/>
        <v>0</v>
      </c>
      <c r="M239" s="111">
        <f t="shared" si="46"/>
        <v>330</v>
      </c>
      <c r="N239" s="111">
        <f t="shared" si="46"/>
        <v>0</v>
      </c>
      <c r="O239" s="111">
        <f t="shared" si="46"/>
        <v>330</v>
      </c>
      <c r="P239" s="97"/>
      <c r="Q239" s="97"/>
    </row>
    <row r="240" spans="1:17" ht="31.5" x14ac:dyDescent="0.2">
      <c r="A240" s="40"/>
      <c r="B240" s="113" t="s">
        <v>285</v>
      </c>
      <c r="C240" s="113" t="s">
        <v>51</v>
      </c>
      <c r="D240" s="133" t="s">
        <v>262</v>
      </c>
      <c r="E240" s="133" t="s">
        <v>289</v>
      </c>
      <c r="F240" s="134" t="s">
        <v>11</v>
      </c>
      <c r="G240" s="111">
        <f>G242+G241</f>
        <v>330</v>
      </c>
      <c r="H240" s="111"/>
      <c r="I240" s="111">
        <f>I242+I241</f>
        <v>330</v>
      </c>
      <c r="J240" s="114">
        <f>J242+J241</f>
        <v>0</v>
      </c>
      <c r="K240" s="111"/>
      <c r="L240" s="114">
        <f>L242+L241</f>
        <v>0</v>
      </c>
      <c r="M240" s="111">
        <f>M242+M241</f>
        <v>330</v>
      </c>
      <c r="N240" s="111">
        <f>N242+N241</f>
        <v>0</v>
      </c>
      <c r="O240" s="111">
        <f>O242+O241</f>
        <v>330</v>
      </c>
      <c r="P240" s="97"/>
      <c r="Q240" s="97"/>
    </row>
    <row r="241" spans="1:17" ht="31.5" x14ac:dyDescent="0.2">
      <c r="A241" s="40"/>
      <c r="B241" s="113" t="s">
        <v>40</v>
      </c>
      <c r="C241" s="113" t="s">
        <v>51</v>
      </c>
      <c r="D241" s="133" t="s">
        <v>262</v>
      </c>
      <c r="E241" s="133" t="s">
        <v>289</v>
      </c>
      <c r="F241" s="134">
        <v>200</v>
      </c>
      <c r="G241" s="111">
        <v>200</v>
      </c>
      <c r="H241" s="111"/>
      <c r="I241" s="111">
        <v>200</v>
      </c>
      <c r="J241" s="114">
        <v>0</v>
      </c>
      <c r="K241" s="111"/>
      <c r="L241" s="114">
        <v>0</v>
      </c>
      <c r="M241" s="111">
        <v>200</v>
      </c>
      <c r="N241" s="111"/>
      <c r="O241" s="111">
        <v>200</v>
      </c>
      <c r="P241" s="97"/>
      <c r="Q241" s="97"/>
    </row>
    <row r="242" spans="1:17" ht="15.75" x14ac:dyDescent="0.2">
      <c r="A242" s="40"/>
      <c r="B242" s="113" t="s">
        <v>70</v>
      </c>
      <c r="C242" s="113" t="s">
        <v>51</v>
      </c>
      <c r="D242" s="133" t="s">
        <v>262</v>
      </c>
      <c r="E242" s="133" t="s">
        <v>289</v>
      </c>
      <c r="F242" s="134" t="s">
        <v>71</v>
      </c>
      <c r="G242" s="111">
        <v>130</v>
      </c>
      <c r="H242" s="111"/>
      <c r="I242" s="111">
        <v>130</v>
      </c>
      <c r="J242" s="115">
        <v>0</v>
      </c>
      <c r="K242" s="111"/>
      <c r="L242" s="115">
        <v>0</v>
      </c>
      <c r="M242" s="111">
        <v>130</v>
      </c>
      <c r="N242" s="111"/>
      <c r="O242" s="111">
        <v>130</v>
      </c>
      <c r="P242" s="97"/>
      <c r="Q242" s="97"/>
    </row>
    <row r="243" spans="1:17" ht="31.5" x14ac:dyDescent="0.2">
      <c r="A243" s="40"/>
      <c r="B243" s="113" t="s">
        <v>290</v>
      </c>
      <c r="C243" s="113" t="s">
        <v>51</v>
      </c>
      <c r="D243" s="133" t="s">
        <v>262</v>
      </c>
      <c r="E243" s="133" t="s">
        <v>291</v>
      </c>
      <c r="F243" s="134" t="s">
        <v>11</v>
      </c>
      <c r="G243" s="111">
        <f t="shared" ref="G243:O244" si="47">G244</f>
        <v>4396.1000000000004</v>
      </c>
      <c r="H243" s="111">
        <f t="shared" si="47"/>
        <v>0</v>
      </c>
      <c r="I243" s="111">
        <f t="shared" si="47"/>
        <v>4396.1000000000004</v>
      </c>
      <c r="J243" s="114">
        <f t="shared" si="47"/>
        <v>0</v>
      </c>
      <c r="K243" s="111">
        <f t="shared" si="47"/>
        <v>0</v>
      </c>
      <c r="L243" s="114">
        <f t="shared" si="47"/>
        <v>0</v>
      </c>
      <c r="M243" s="111">
        <f t="shared" si="47"/>
        <v>4396.1000000000004</v>
      </c>
      <c r="N243" s="111">
        <f t="shared" si="47"/>
        <v>0</v>
      </c>
      <c r="O243" s="111">
        <f t="shared" si="47"/>
        <v>4396.1000000000004</v>
      </c>
      <c r="P243" s="97"/>
      <c r="Q243" s="97"/>
    </row>
    <row r="244" spans="1:17" ht="47.25" x14ac:dyDescent="0.2">
      <c r="A244" s="40"/>
      <c r="B244" s="113" t="s">
        <v>292</v>
      </c>
      <c r="C244" s="113" t="s">
        <v>51</v>
      </c>
      <c r="D244" s="133" t="s">
        <v>262</v>
      </c>
      <c r="E244" s="133" t="s">
        <v>293</v>
      </c>
      <c r="F244" s="134" t="s">
        <v>11</v>
      </c>
      <c r="G244" s="111">
        <f t="shared" si="47"/>
        <v>4396.1000000000004</v>
      </c>
      <c r="H244" s="111">
        <f t="shared" si="47"/>
        <v>0</v>
      </c>
      <c r="I244" s="111">
        <f t="shared" si="47"/>
        <v>4396.1000000000004</v>
      </c>
      <c r="J244" s="114">
        <f t="shared" si="47"/>
        <v>0</v>
      </c>
      <c r="K244" s="111">
        <f>K245+K246</f>
        <v>0</v>
      </c>
      <c r="L244" s="114">
        <f t="shared" si="47"/>
        <v>0</v>
      </c>
      <c r="M244" s="111">
        <f t="shared" si="47"/>
        <v>4396.1000000000004</v>
      </c>
      <c r="N244" s="111">
        <f>SUM(H244)</f>
        <v>0</v>
      </c>
      <c r="O244" s="111">
        <f t="shared" si="47"/>
        <v>4396.1000000000004</v>
      </c>
      <c r="P244" s="97"/>
      <c r="Q244" s="97"/>
    </row>
    <row r="245" spans="1:17" ht="31.5" x14ac:dyDescent="0.2">
      <c r="A245" s="40"/>
      <c r="B245" s="113" t="s">
        <v>134</v>
      </c>
      <c r="C245" s="113" t="s">
        <v>51</v>
      </c>
      <c r="D245" s="133" t="s">
        <v>262</v>
      </c>
      <c r="E245" s="133" t="s">
        <v>294</v>
      </c>
      <c r="F245" s="134" t="s">
        <v>11</v>
      </c>
      <c r="G245" s="111">
        <f>G246+G247</f>
        <v>4396.1000000000004</v>
      </c>
      <c r="H245" s="111"/>
      <c r="I245" s="111">
        <f>I246+I247</f>
        <v>4396.1000000000004</v>
      </c>
      <c r="J245" s="114">
        <f>J246+J247</f>
        <v>0</v>
      </c>
      <c r="K245" s="111"/>
      <c r="L245" s="114">
        <f>L246+L247</f>
        <v>0</v>
      </c>
      <c r="M245" s="111">
        <f>M246+M247</f>
        <v>4396.1000000000004</v>
      </c>
      <c r="N245" s="111">
        <f>N246+N247</f>
        <v>0</v>
      </c>
      <c r="O245" s="111">
        <f>O246+O247</f>
        <v>4396.1000000000004</v>
      </c>
      <c r="P245" s="97"/>
      <c r="Q245" s="97"/>
    </row>
    <row r="246" spans="1:17" ht="31.9" customHeight="1" x14ac:dyDescent="0.2">
      <c r="A246" s="40"/>
      <c r="B246" s="113" t="s">
        <v>61</v>
      </c>
      <c r="C246" s="113" t="s">
        <v>51</v>
      </c>
      <c r="D246" s="133" t="s">
        <v>262</v>
      </c>
      <c r="E246" s="133" t="s">
        <v>294</v>
      </c>
      <c r="F246" s="134" t="s">
        <v>62</v>
      </c>
      <c r="G246" s="111">
        <v>4250.6000000000004</v>
      </c>
      <c r="H246" s="111"/>
      <c r="I246" s="111">
        <f>SUM(G246)</f>
        <v>4250.6000000000004</v>
      </c>
      <c r="J246" s="115">
        <v>0</v>
      </c>
      <c r="K246" s="111"/>
      <c r="L246" s="115">
        <v>0</v>
      </c>
      <c r="M246" s="111">
        <f>SUM(G246)</f>
        <v>4250.6000000000004</v>
      </c>
      <c r="N246" s="111">
        <f>SUM(H246)</f>
        <v>0</v>
      </c>
      <c r="O246" s="111">
        <f>SUM(I246)</f>
        <v>4250.6000000000004</v>
      </c>
      <c r="P246" s="97"/>
      <c r="Q246" s="97"/>
    </row>
    <row r="247" spans="1:17" ht="31.5" x14ac:dyDescent="0.2">
      <c r="A247" s="40"/>
      <c r="B247" s="113" t="s">
        <v>40</v>
      </c>
      <c r="C247" s="113" t="s">
        <v>51</v>
      </c>
      <c r="D247" s="133" t="s">
        <v>262</v>
      </c>
      <c r="E247" s="133" t="s">
        <v>294</v>
      </c>
      <c r="F247" s="134" t="s">
        <v>41</v>
      </c>
      <c r="G247" s="111">
        <v>145.5</v>
      </c>
      <c r="H247" s="111"/>
      <c r="I247" s="111">
        <v>145.5</v>
      </c>
      <c r="J247" s="115">
        <v>0</v>
      </c>
      <c r="K247" s="111"/>
      <c r="L247" s="115">
        <v>0</v>
      </c>
      <c r="M247" s="111">
        <v>145.5</v>
      </c>
      <c r="N247" s="111"/>
      <c r="O247" s="111">
        <v>145.5</v>
      </c>
      <c r="P247" s="97"/>
      <c r="Q247" s="97"/>
    </row>
    <row r="248" spans="1:17" ht="63" hidden="1" x14ac:dyDescent="0.2">
      <c r="A248" s="40"/>
      <c r="B248" s="135" t="s">
        <v>560</v>
      </c>
      <c r="C248" s="113">
        <v>992</v>
      </c>
      <c r="D248" s="133" t="s">
        <v>262</v>
      </c>
      <c r="E248" s="133" t="s">
        <v>559</v>
      </c>
      <c r="F248" s="134"/>
      <c r="G248" s="111"/>
      <c r="H248" s="111"/>
      <c r="I248" s="111">
        <f>SUM(H248)</f>
        <v>0</v>
      </c>
      <c r="J248" s="115"/>
      <c r="K248" s="111"/>
      <c r="L248" s="115"/>
      <c r="M248" s="111"/>
      <c r="N248" s="111">
        <f>SUM(H248)</f>
        <v>0</v>
      </c>
      <c r="O248" s="111">
        <f>SUM(H248)</f>
        <v>0</v>
      </c>
      <c r="P248" s="97"/>
      <c r="Q248" s="97"/>
    </row>
    <row r="249" spans="1:17" ht="15.75" hidden="1" x14ac:dyDescent="0.2">
      <c r="A249" s="40"/>
      <c r="B249" s="113" t="s">
        <v>47</v>
      </c>
      <c r="C249" s="113">
        <v>992</v>
      </c>
      <c r="D249" s="133" t="s">
        <v>262</v>
      </c>
      <c r="E249" s="133" t="s">
        <v>559</v>
      </c>
      <c r="F249" s="134">
        <v>500</v>
      </c>
      <c r="G249" s="111"/>
      <c r="H249" s="111"/>
      <c r="I249" s="111">
        <f>SUM(H249)</f>
        <v>0</v>
      </c>
      <c r="J249" s="115"/>
      <c r="K249" s="111"/>
      <c r="L249" s="115"/>
      <c r="M249" s="111"/>
      <c r="N249" s="111">
        <f>SUM(H249)</f>
        <v>0</v>
      </c>
      <c r="O249" s="111">
        <f>SUM(H249)</f>
        <v>0</v>
      </c>
      <c r="P249" s="97"/>
      <c r="Q249" s="97"/>
    </row>
    <row r="250" spans="1:17" ht="63" x14ac:dyDescent="0.2">
      <c r="A250" s="40"/>
      <c r="B250" s="113" t="s">
        <v>295</v>
      </c>
      <c r="C250" s="113" t="s">
        <v>51</v>
      </c>
      <c r="D250" s="133" t="s">
        <v>262</v>
      </c>
      <c r="E250" s="133" t="s">
        <v>296</v>
      </c>
      <c r="F250" s="134" t="s">
        <v>11</v>
      </c>
      <c r="G250" s="111">
        <f t="shared" ref="G250:O252" si="48">G251</f>
        <v>800</v>
      </c>
      <c r="H250" s="111">
        <f t="shared" si="48"/>
        <v>0</v>
      </c>
      <c r="I250" s="111">
        <f t="shared" si="48"/>
        <v>800</v>
      </c>
      <c r="J250" s="114">
        <f t="shared" si="48"/>
        <v>0</v>
      </c>
      <c r="K250" s="111">
        <f>K251</f>
        <v>0</v>
      </c>
      <c r="L250" s="114">
        <f t="shared" si="48"/>
        <v>0</v>
      </c>
      <c r="M250" s="111">
        <f t="shared" si="48"/>
        <v>800</v>
      </c>
      <c r="N250" s="111">
        <f t="shared" si="48"/>
        <v>0</v>
      </c>
      <c r="O250" s="111">
        <f t="shared" si="48"/>
        <v>800</v>
      </c>
      <c r="P250" s="97"/>
      <c r="Q250" s="97"/>
    </row>
    <row r="251" spans="1:17" ht="47.25" x14ac:dyDescent="0.2">
      <c r="A251" s="40"/>
      <c r="B251" s="113" t="s">
        <v>297</v>
      </c>
      <c r="C251" s="113" t="s">
        <v>51</v>
      </c>
      <c r="D251" s="133" t="s">
        <v>262</v>
      </c>
      <c r="E251" s="133" t="s">
        <v>298</v>
      </c>
      <c r="F251" s="134" t="s">
        <v>11</v>
      </c>
      <c r="G251" s="111">
        <f t="shared" si="48"/>
        <v>800</v>
      </c>
      <c r="H251" s="111">
        <f>H252</f>
        <v>0</v>
      </c>
      <c r="I251" s="111">
        <f t="shared" si="48"/>
        <v>800</v>
      </c>
      <c r="J251" s="114">
        <f t="shared" si="48"/>
        <v>0</v>
      </c>
      <c r="K251" s="111">
        <f>K252</f>
        <v>0</v>
      </c>
      <c r="L251" s="114">
        <f t="shared" si="48"/>
        <v>0</v>
      </c>
      <c r="M251" s="111">
        <f t="shared" si="48"/>
        <v>800</v>
      </c>
      <c r="N251" s="111">
        <f t="shared" si="48"/>
        <v>0</v>
      </c>
      <c r="O251" s="111">
        <f t="shared" si="48"/>
        <v>800</v>
      </c>
      <c r="P251" s="97"/>
      <c r="Q251" s="97"/>
    </row>
    <row r="252" spans="1:17" ht="31.5" x14ac:dyDescent="0.2">
      <c r="A252" s="40"/>
      <c r="B252" s="113" t="s">
        <v>299</v>
      </c>
      <c r="C252" s="113" t="s">
        <v>51</v>
      </c>
      <c r="D252" s="133" t="s">
        <v>262</v>
      </c>
      <c r="E252" s="133" t="s">
        <v>300</v>
      </c>
      <c r="F252" s="134" t="s">
        <v>11</v>
      </c>
      <c r="G252" s="111">
        <f>G253</f>
        <v>800</v>
      </c>
      <c r="H252" s="106"/>
      <c r="I252" s="111">
        <f>I253</f>
        <v>800</v>
      </c>
      <c r="J252" s="114">
        <f t="shared" si="48"/>
        <v>0</v>
      </c>
      <c r="K252" s="111"/>
      <c r="L252" s="114">
        <f t="shared" si="48"/>
        <v>0</v>
      </c>
      <c r="M252" s="111">
        <f t="shared" si="48"/>
        <v>800</v>
      </c>
      <c r="N252" s="111">
        <f t="shared" si="48"/>
        <v>0</v>
      </c>
      <c r="O252" s="111">
        <f t="shared" si="48"/>
        <v>800</v>
      </c>
      <c r="P252" s="97"/>
      <c r="Q252" s="97"/>
    </row>
    <row r="253" spans="1:17" ht="31.5" x14ac:dyDescent="0.2">
      <c r="A253" s="40"/>
      <c r="B253" s="113" t="s">
        <v>40</v>
      </c>
      <c r="C253" s="113" t="s">
        <v>51</v>
      </c>
      <c r="D253" s="133" t="s">
        <v>262</v>
      </c>
      <c r="E253" s="133" t="s">
        <v>300</v>
      </c>
      <c r="F253" s="134" t="s">
        <v>41</v>
      </c>
      <c r="G253" s="111">
        <v>800</v>
      </c>
      <c r="H253" s="106"/>
      <c r="I253" s="111">
        <f>SUM(G253)</f>
        <v>800</v>
      </c>
      <c r="J253" s="115"/>
      <c r="K253" s="106"/>
      <c r="L253" s="115"/>
      <c r="M253" s="111">
        <f>SUM(G253)</f>
        <v>800</v>
      </c>
      <c r="N253" s="111">
        <f>SUM(H253)</f>
        <v>0</v>
      </c>
      <c r="O253" s="111">
        <f>SUM(I253)</f>
        <v>800</v>
      </c>
      <c r="P253" s="97"/>
      <c r="Q253" s="97"/>
    </row>
    <row r="254" spans="1:17" ht="15.75" x14ac:dyDescent="0.2">
      <c r="A254" s="20" t="s">
        <v>301</v>
      </c>
      <c r="B254" s="107" t="s">
        <v>302</v>
      </c>
      <c r="C254" s="107" t="s">
        <v>51</v>
      </c>
      <c r="D254" s="129" t="s">
        <v>303</v>
      </c>
      <c r="E254" s="129" t="s">
        <v>11</v>
      </c>
      <c r="F254" s="134" t="s">
        <v>11</v>
      </c>
      <c r="G254" s="106">
        <f>G255+G281+G317+G378</f>
        <v>242947.4</v>
      </c>
      <c r="H254" s="106">
        <f>H255+H281+H317+H378</f>
        <v>2740.9999999999991</v>
      </c>
      <c r="I254" s="106">
        <f>I255+I281+I317+I378</f>
        <v>245688.40000000002</v>
      </c>
      <c r="J254" s="108">
        <f>J255+J281+J317+J378</f>
        <v>2433446.2000000002</v>
      </c>
      <c r="K254" s="109">
        <f>K255+K281+K317</f>
        <v>9081.1</v>
      </c>
      <c r="L254" s="108">
        <f>L255+L281+L317+L378</f>
        <v>2442527.3000000003</v>
      </c>
      <c r="M254" s="106">
        <f>M255+M281+M317+M378</f>
        <v>2676393.5999999996</v>
      </c>
      <c r="N254" s="106">
        <f>N255+N281+N317+N378</f>
        <v>11822.099999999999</v>
      </c>
      <c r="O254" s="106">
        <f>O255+O281+O317+O378</f>
        <v>2688215.6999999997</v>
      </c>
      <c r="P254" s="97"/>
      <c r="Q254" s="97"/>
    </row>
    <row r="255" spans="1:17" ht="15.75" x14ac:dyDescent="0.2">
      <c r="A255" s="33" t="s">
        <v>304</v>
      </c>
      <c r="B255" s="110" t="s">
        <v>305</v>
      </c>
      <c r="C255" s="110" t="s">
        <v>51</v>
      </c>
      <c r="D255" s="131" t="s">
        <v>306</v>
      </c>
      <c r="E255" s="137" t="s">
        <v>231</v>
      </c>
      <c r="F255" s="134" t="s">
        <v>11</v>
      </c>
      <c r="G255" s="109">
        <f>G270+G261</f>
        <v>8473.4</v>
      </c>
      <c r="H255" s="109">
        <f>H270+H261+H266+H256</f>
        <v>-1100</v>
      </c>
      <c r="I255" s="109">
        <f>I270+I261</f>
        <v>7373.4000000000005</v>
      </c>
      <c r="J255" s="112">
        <f>J270</f>
        <v>0</v>
      </c>
      <c r="K255" s="111">
        <f>K270</f>
        <v>0</v>
      </c>
      <c r="L255" s="112">
        <f>L270</f>
        <v>0</v>
      </c>
      <c r="M255" s="109">
        <f>M270+M261</f>
        <v>8473.4</v>
      </c>
      <c r="N255" s="111">
        <f>SUM(H255)</f>
        <v>-1100</v>
      </c>
      <c r="O255" s="109">
        <f>O270+O261</f>
        <v>7373.4000000000005</v>
      </c>
      <c r="P255" s="97"/>
      <c r="Q255" s="97"/>
    </row>
    <row r="256" spans="1:17" ht="30.75" customHeight="1" x14ac:dyDescent="0.2">
      <c r="A256" s="33"/>
      <c r="B256" s="113" t="s">
        <v>185</v>
      </c>
      <c r="C256" s="118">
        <v>992</v>
      </c>
      <c r="D256" s="136" t="s">
        <v>306</v>
      </c>
      <c r="E256" s="136" t="s">
        <v>271</v>
      </c>
      <c r="F256" s="134"/>
      <c r="G256" s="111">
        <f>G261</f>
        <v>451.3</v>
      </c>
      <c r="H256" s="111">
        <f>H261+H257</f>
        <v>0</v>
      </c>
      <c r="I256" s="111">
        <f>I261+H256</f>
        <v>451.3</v>
      </c>
      <c r="J256" s="112"/>
      <c r="K256" s="111"/>
      <c r="L256" s="112"/>
      <c r="M256" s="111">
        <f>M261</f>
        <v>451.3</v>
      </c>
      <c r="N256" s="111">
        <f>SUM(N258)</f>
        <v>0</v>
      </c>
      <c r="O256" s="111">
        <f>O261+N256</f>
        <v>451.3</v>
      </c>
      <c r="P256" s="97"/>
      <c r="Q256" s="97"/>
    </row>
    <row r="257" spans="1:17" ht="47.25" hidden="1" x14ac:dyDescent="0.2">
      <c r="A257" s="33"/>
      <c r="B257" s="113" t="s">
        <v>591</v>
      </c>
      <c r="C257" s="118" t="s">
        <v>51</v>
      </c>
      <c r="D257" s="136" t="s">
        <v>306</v>
      </c>
      <c r="E257" s="136" t="s">
        <v>276</v>
      </c>
      <c r="F257" s="134"/>
      <c r="G257" s="111"/>
      <c r="H257" s="111"/>
      <c r="I257" s="111">
        <f>SUM(H257)</f>
        <v>0</v>
      </c>
      <c r="J257" s="112"/>
      <c r="K257" s="111"/>
      <c r="L257" s="112"/>
      <c r="M257" s="111"/>
      <c r="N257" s="111">
        <f t="shared" ref="N257:O259" si="49">SUM(H257)</f>
        <v>0</v>
      </c>
      <c r="O257" s="111">
        <f t="shared" si="49"/>
        <v>0</v>
      </c>
      <c r="P257" s="97"/>
      <c r="Q257" s="97"/>
    </row>
    <row r="258" spans="1:17" ht="31.5" hidden="1" x14ac:dyDescent="0.2">
      <c r="A258" s="33"/>
      <c r="B258" s="113" t="s">
        <v>592</v>
      </c>
      <c r="C258" s="118" t="s">
        <v>51</v>
      </c>
      <c r="D258" s="136" t="s">
        <v>306</v>
      </c>
      <c r="E258" s="136" t="s">
        <v>590</v>
      </c>
      <c r="F258" s="134"/>
      <c r="G258" s="111"/>
      <c r="H258" s="111"/>
      <c r="I258" s="111">
        <f>SUM(H258)</f>
        <v>0</v>
      </c>
      <c r="J258" s="112"/>
      <c r="K258" s="111"/>
      <c r="L258" s="112"/>
      <c r="M258" s="111"/>
      <c r="N258" s="111">
        <f t="shared" si="49"/>
        <v>0</v>
      </c>
      <c r="O258" s="111">
        <f t="shared" si="49"/>
        <v>0</v>
      </c>
      <c r="P258" s="97"/>
      <c r="Q258" s="97"/>
    </row>
    <row r="259" spans="1:17" ht="31.5" hidden="1" x14ac:dyDescent="0.2">
      <c r="A259" s="33"/>
      <c r="B259" s="113" t="s">
        <v>225</v>
      </c>
      <c r="C259" s="118" t="s">
        <v>51</v>
      </c>
      <c r="D259" s="136" t="s">
        <v>306</v>
      </c>
      <c r="E259" s="136" t="s">
        <v>590</v>
      </c>
      <c r="F259" s="134">
        <v>400</v>
      </c>
      <c r="G259" s="111"/>
      <c r="H259" s="111"/>
      <c r="I259" s="111">
        <f>SUM(H259)</f>
        <v>0</v>
      </c>
      <c r="J259" s="112"/>
      <c r="K259" s="111"/>
      <c r="L259" s="112"/>
      <c r="M259" s="111"/>
      <c r="N259" s="111">
        <f t="shared" si="49"/>
        <v>0</v>
      </c>
      <c r="O259" s="111">
        <f t="shared" si="49"/>
        <v>0</v>
      </c>
      <c r="P259" s="97"/>
      <c r="Q259" s="97"/>
    </row>
    <row r="260" spans="1:17" ht="0.75" customHeight="1" x14ac:dyDescent="0.2">
      <c r="A260" s="33"/>
      <c r="B260" s="113"/>
      <c r="C260" s="118"/>
      <c r="D260" s="136"/>
      <c r="E260" s="136"/>
      <c r="F260" s="134"/>
      <c r="G260" s="111"/>
      <c r="H260" s="111"/>
      <c r="I260" s="111"/>
      <c r="J260" s="112"/>
      <c r="K260" s="111"/>
      <c r="L260" s="112"/>
      <c r="M260" s="111"/>
      <c r="N260" s="111"/>
      <c r="O260" s="111"/>
      <c r="P260" s="97"/>
      <c r="Q260" s="97"/>
    </row>
    <row r="261" spans="1:17" ht="31.5" x14ac:dyDescent="0.2">
      <c r="A261" s="33"/>
      <c r="B261" s="113" t="s">
        <v>307</v>
      </c>
      <c r="C261" s="113">
        <v>992</v>
      </c>
      <c r="D261" s="133" t="s">
        <v>306</v>
      </c>
      <c r="E261" s="136" t="s">
        <v>308</v>
      </c>
      <c r="F261" s="134"/>
      <c r="G261" s="111">
        <f>SUM(G262)</f>
        <v>451.3</v>
      </c>
      <c r="H261" s="111">
        <f>SUM(H262)</f>
        <v>0</v>
      </c>
      <c r="I261" s="111">
        <f>SUM(G261:H261)</f>
        <v>451.3</v>
      </c>
      <c r="J261" s="112"/>
      <c r="K261" s="111"/>
      <c r="L261" s="112"/>
      <c r="M261" s="111">
        <f t="shared" ref="M261:O264" si="50">SUM(G261)</f>
        <v>451.3</v>
      </c>
      <c r="N261" s="111">
        <f t="shared" si="50"/>
        <v>0</v>
      </c>
      <c r="O261" s="111">
        <f t="shared" si="50"/>
        <v>451.3</v>
      </c>
      <c r="P261" s="97"/>
      <c r="Q261" s="97"/>
    </row>
    <row r="262" spans="1:17" ht="31.5" x14ac:dyDescent="0.2">
      <c r="A262" s="33"/>
      <c r="B262" s="135" t="s">
        <v>309</v>
      </c>
      <c r="C262" s="113">
        <v>992</v>
      </c>
      <c r="D262" s="133" t="s">
        <v>306</v>
      </c>
      <c r="E262" s="136" t="s">
        <v>310</v>
      </c>
      <c r="F262" s="134"/>
      <c r="G262" s="111">
        <f>SUM(G264)+G263</f>
        <v>451.3</v>
      </c>
      <c r="H262" s="111">
        <f>SUM(H264)+H263</f>
        <v>0</v>
      </c>
      <c r="I262" s="111">
        <f>SUM(G262:H262)</f>
        <v>451.3</v>
      </c>
      <c r="J262" s="112"/>
      <c r="K262" s="111"/>
      <c r="L262" s="112"/>
      <c r="M262" s="111">
        <f>SUM(G262)</f>
        <v>451.3</v>
      </c>
      <c r="N262" s="111">
        <f t="shared" si="50"/>
        <v>0</v>
      </c>
      <c r="O262" s="111">
        <f>SUM(I262)</f>
        <v>451.3</v>
      </c>
      <c r="P262" s="97"/>
      <c r="Q262" s="97"/>
    </row>
    <row r="263" spans="1:17" ht="31.5" x14ac:dyDescent="0.2">
      <c r="A263" s="33"/>
      <c r="B263" s="113" t="s">
        <v>40</v>
      </c>
      <c r="C263" s="113">
        <v>992</v>
      </c>
      <c r="D263" s="133" t="s">
        <v>306</v>
      </c>
      <c r="E263" s="136" t="s">
        <v>310</v>
      </c>
      <c r="F263" s="134">
        <v>200</v>
      </c>
      <c r="G263" s="111">
        <v>151.30000000000001</v>
      </c>
      <c r="H263" s="111">
        <v>300</v>
      </c>
      <c r="I263" s="111">
        <f>SUM(G263)+H263</f>
        <v>451.3</v>
      </c>
      <c r="J263" s="112"/>
      <c r="K263" s="111"/>
      <c r="L263" s="112"/>
      <c r="M263" s="111">
        <f>SUM(G263)</f>
        <v>151.30000000000001</v>
      </c>
      <c r="N263" s="111">
        <f>SUM(H263)</f>
        <v>300</v>
      </c>
      <c r="O263" s="111">
        <f t="shared" si="50"/>
        <v>451.3</v>
      </c>
      <c r="P263" s="97"/>
      <c r="Q263" s="97"/>
    </row>
    <row r="264" spans="1:17" ht="28.5" customHeight="1" x14ac:dyDescent="0.2">
      <c r="A264" s="33"/>
      <c r="B264" s="113" t="s">
        <v>225</v>
      </c>
      <c r="C264" s="113">
        <v>992</v>
      </c>
      <c r="D264" s="133" t="s">
        <v>306</v>
      </c>
      <c r="E264" s="136" t="s">
        <v>310</v>
      </c>
      <c r="F264" s="134">
        <v>400</v>
      </c>
      <c r="G264" s="111">
        <v>300</v>
      </c>
      <c r="H264" s="111">
        <v>-300</v>
      </c>
      <c r="I264" s="111">
        <f>SUM(G264)+H264</f>
        <v>0</v>
      </c>
      <c r="J264" s="112"/>
      <c r="K264" s="111"/>
      <c r="L264" s="112"/>
      <c r="M264" s="111">
        <f>SUM(G264)</f>
        <v>300</v>
      </c>
      <c r="N264" s="111">
        <f t="shared" si="50"/>
        <v>-300</v>
      </c>
      <c r="O264" s="111">
        <f t="shared" si="50"/>
        <v>0</v>
      </c>
      <c r="P264" s="97"/>
      <c r="Q264" s="97"/>
    </row>
    <row r="265" spans="1:17" ht="15.75" hidden="1" x14ac:dyDescent="0.2">
      <c r="A265" s="33"/>
      <c r="B265" s="110"/>
      <c r="C265" s="110"/>
      <c r="D265" s="131"/>
      <c r="E265" s="131"/>
      <c r="F265" s="132"/>
      <c r="G265" s="111"/>
      <c r="H265" s="111"/>
      <c r="I265" s="111"/>
      <c r="J265" s="112"/>
      <c r="K265" s="111"/>
      <c r="L265" s="112"/>
      <c r="M265" s="109"/>
      <c r="N265" s="109"/>
      <c r="O265" s="109"/>
      <c r="P265" s="97"/>
      <c r="Q265" s="97"/>
    </row>
    <row r="266" spans="1:17" ht="15.75" hidden="1" x14ac:dyDescent="0.2">
      <c r="A266" s="33"/>
      <c r="B266" s="110"/>
      <c r="C266" s="152">
        <v>992</v>
      </c>
      <c r="D266" s="133" t="s">
        <v>306</v>
      </c>
      <c r="E266" s="131"/>
      <c r="F266" s="132"/>
      <c r="G266" s="111"/>
      <c r="H266" s="111"/>
      <c r="I266" s="111">
        <f>SUM(H266)</f>
        <v>0</v>
      </c>
      <c r="J266" s="112"/>
      <c r="K266" s="111"/>
      <c r="L266" s="112"/>
      <c r="M266" s="109"/>
      <c r="N266" s="109"/>
      <c r="O266" s="109">
        <f>SUM(I266)</f>
        <v>0</v>
      </c>
      <c r="P266" s="97"/>
      <c r="Q266" s="97"/>
    </row>
    <row r="267" spans="1:17" ht="15.75" hidden="1" x14ac:dyDescent="0.2">
      <c r="A267" s="33"/>
      <c r="B267" s="110"/>
      <c r="C267" s="110"/>
      <c r="D267" s="131"/>
      <c r="E267" s="131"/>
      <c r="F267" s="132"/>
      <c r="G267" s="111"/>
      <c r="H267" s="111"/>
      <c r="I267" s="111">
        <f>SUM(H267)</f>
        <v>0</v>
      </c>
      <c r="J267" s="112"/>
      <c r="K267" s="111"/>
      <c r="L267" s="112"/>
      <c r="M267" s="109"/>
      <c r="N267" s="109"/>
      <c r="O267" s="109">
        <f>SUM(I267)</f>
        <v>0</v>
      </c>
      <c r="P267" s="97"/>
      <c r="Q267" s="97"/>
    </row>
    <row r="268" spans="1:17" ht="15.75" hidden="1" x14ac:dyDescent="0.2">
      <c r="A268" s="33"/>
      <c r="B268" s="110"/>
      <c r="C268" s="110"/>
      <c r="D268" s="131"/>
      <c r="E268" s="131"/>
      <c r="F268" s="132"/>
      <c r="G268" s="111"/>
      <c r="H268" s="111"/>
      <c r="I268" s="111">
        <f>SUM(H268)</f>
        <v>0</v>
      </c>
      <c r="J268" s="112"/>
      <c r="K268" s="111"/>
      <c r="L268" s="112"/>
      <c r="M268" s="109"/>
      <c r="N268" s="109">
        <f>SUM(H268)</f>
        <v>0</v>
      </c>
      <c r="O268" s="109">
        <f>SUM(I268)</f>
        <v>0</v>
      </c>
      <c r="P268" s="97"/>
      <c r="Q268" s="97"/>
    </row>
    <row r="269" spans="1:17" ht="31.5" hidden="1" x14ac:dyDescent="0.2">
      <c r="A269" s="33"/>
      <c r="B269" s="113" t="s">
        <v>225</v>
      </c>
      <c r="C269" s="110"/>
      <c r="D269" s="131"/>
      <c r="E269" s="131"/>
      <c r="F269" s="132">
        <v>400</v>
      </c>
      <c r="G269" s="111"/>
      <c r="H269" s="111"/>
      <c r="I269" s="111">
        <f>SUM(H269)</f>
        <v>0</v>
      </c>
      <c r="J269" s="112"/>
      <c r="K269" s="111"/>
      <c r="L269" s="112"/>
      <c r="M269" s="109"/>
      <c r="N269" s="109">
        <f>SUM(H269)</f>
        <v>0</v>
      </c>
      <c r="O269" s="109">
        <f>SUM(I269)</f>
        <v>0</v>
      </c>
      <c r="P269" s="97"/>
      <c r="Q269" s="97"/>
    </row>
    <row r="270" spans="1:17" ht="27.75" customHeight="1" x14ac:dyDescent="0.2">
      <c r="A270" s="40"/>
      <c r="B270" s="113" t="s">
        <v>245</v>
      </c>
      <c r="C270" s="113" t="s">
        <v>51</v>
      </c>
      <c r="D270" s="133" t="s">
        <v>306</v>
      </c>
      <c r="E270" s="133" t="s">
        <v>246</v>
      </c>
      <c r="F270" s="134" t="s">
        <v>11</v>
      </c>
      <c r="G270" s="111">
        <f>G275</f>
        <v>8022.1</v>
      </c>
      <c r="H270" s="111">
        <f>H275+H271</f>
        <v>-1100</v>
      </c>
      <c r="I270" s="111">
        <f>I275+I271</f>
        <v>6922.1</v>
      </c>
      <c r="J270" s="114">
        <f>J275</f>
        <v>0</v>
      </c>
      <c r="K270" s="111">
        <f>K275</f>
        <v>0</v>
      </c>
      <c r="L270" s="114">
        <f>L275</f>
        <v>0</v>
      </c>
      <c r="M270" s="111">
        <f>M275</f>
        <v>8022.1</v>
      </c>
      <c r="N270" s="111">
        <f>N275+N271</f>
        <v>-1100</v>
      </c>
      <c r="O270" s="111">
        <f>O275+O271</f>
        <v>6922.1</v>
      </c>
      <c r="P270" s="97"/>
      <c r="Q270" s="97"/>
    </row>
    <row r="271" spans="1:17" ht="31.5" hidden="1" x14ac:dyDescent="0.2">
      <c r="A271" s="40"/>
      <c r="B271" s="113" t="s">
        <v>595</v>
      </c>
      <c r="C271" s="113">
        <v>992</v>
      </c>
      <c r="D271" s="133" t="s">
        <v>306</v>
      </c>
      <c r="E271" s="136" t="s">
        <v>439</v>
      </c>
      <c r="F271" s="134"/>
      <c r="G271" s="111"/>
      <c r="H271" s="111">
        <f>SUM(H272)</f>
        <v>0</v>
      </c>
      <c r="I271" s="111">
        <f>SUM(H271)</f>
        <v>0</v>
      </c>
      <c r="J271" s="114"/>
      <c r="K271" s="111"/>
      <c r="L271" s="114"/>
      <c r="M271" s="111"/>
      <c r="N271" s="111">
        <f t="shared" ref="N271:O274" si="51">SUM(H271)</f>
        <v>0</v>
      </c>
      <c r="O271" s="111">
        <f t="shared" si="51"/>
        <v>0</v>
      </c>
      <c r="P271" s="97"/>
      <c r="Q271" s="97"/>
    </row>
    <row r="272" spans="1:17" ht="15.75" hidden="1" x14ac:dyDescent="0.2">
      <c r="A272" s="40"/>
      <c r="B272" s="113" t="s">
        <v>596</v>
      </c>
      <c r="C272" s="113">
        <v>992</v>
      </c>
      <c r="D272" s="133" t="s">
        <v>306</v>
      </c>
      <c r="E272" s="136" t="s">
        <v>593</v>
      </c>
      <c r="F272" s="134"/>
      <c r="G272" s="111"/>
      <c r="H272" s="111">
        <f>SUM(H273)</f>
        <v>0</v>
      </c>
      <c r="I272" s="111">
        <f>SUM(H272)</f>
        <v>0</v>
      </c>
      <c r="J272" s="114"/>
      <c r="K272" s="111"/>
      <c r="L272" s="114"/>
      <c r="M272" s="111"/>
      <c r="N272" s="111">
        <f t="shared" si="51"/>
        <v>0</v>
      </c>
      <c r="O272" s="111">
        <f t="shared" si="51"/>
        <v>0</v>
      </c>
      <c r="P272" s="97"/>
      <c r="Q272" s="97"/>
    </row>
    <row r="273" spans="1:17" ht="47.25" hidden="1" x14ac:dyDescent="0.2">
      <c r="A273" s="40"/>
      <c r="B273" s="113" t="s">
        <v>597</v>
      </c>
      <c r="C273" s="113">
        <v>992</v>
      </c>
      <c r="D273" s="133" t="s">
        <v>306</v>
      </c>
      <c r="E273" s="136" t="s">
        <v>594</v>
      </c>
      <c r="F273" s="134"/>
      <c r="G273" s="111"/>
      <c r="H273" s="111">
        <f>SUM(H274)</f>
        <v>0</v>
      </c>
      <c r="I273" s="111">
        <f>SUM(H273)</f>
        <v>0</v>
      </c>
      <c r="J273" s="114"/>
      <c r="K273" s="111"/>
      <c r="L273" s="114"/>
      <c r="M273" s="111"/>
      <c r="N273" s="111">
        <f t="shared" si="51"/>
        <v>0</v>
      </c>
      <c r="O273" s="111">
        <f t="shared" si="51"/>
        <v>0</v>
      </c>
      <c r="P273" s="97"/>
      <c r="Q273" s="97"/>
    </row>
    <row r="274" spans="1:17" ht="31.5" hidden="1" x14ac:dyDescent="0.2">
      <c r="A274" s="40"/>
      <c r="B274" s="113" t="s">
        <v>225</v>
      </c>
      <c r="C274" s="113">
        <v>992</v>
      </c>
      <c r="D274" s="133" t="s">
        <v>306</v>
      </c>
      <c r="E274" s="136" t="s">
        <v>594</v>
      </c>
      <c r="F274" s="134">
        <v>400</v>
      </c>
      <c r="G274" s="111"/>
      <c r="H274" s="111"/>
      <c r="I274" s="111">
        <f>SUM(H274)</f>
        <v>0</v>
      </c>
      <c r="J274" s="114"/>
      <c r="K274" s="111"/>
      <c r="L274" s="114"/>
      <c r="M274" s="111"/>
      <c r="N274" s="111">
        <f t="shared" si="51"/>
        <v>0</v>
      </c>
      <c r="O274" s="111">
        <f t="shared" si="51"/>
        <v>0</v>
      </c>
      <c r="P274" s="97"/>
      <c r="Q274" s="97"/>
    </row>
    <row r="275" spans="1:17" ht="31.5" x14ac:dyDescent="0.2">
      <c r="A275" s="40"/>
      <c r="B275" s="113" t="s">
        <v>311</v>
      </c>
      <c r="C275" s="113" t="s">
        <v>51</v>
      </c>
      <c r="D275" s="133" t="s">
        <v>306</v>
      </c>
      <c r="E275" s="133" t="s">
        <v>312</v>
      </c>
      <c r="F275" s="134" t="s">
        <v>11</v>
      </c>
      <c r="G275" s="111">
        <f>G276</f>
        <v>8022.1</v>
      </c>
      <c r="H275" s="111">
        <f>H276+H278</f>
        <v>-1100</v>
      </c>
      <c r="I275" s="111">
        <f>I276</f>
        <v>6922.1</v>
      </c>
      <c r="J275" s="114">
        <f t="shared" ref="J275:O275" si="52">J276</f>
        <v>0</v>
      </c>
      <c r="K275" s="111">
        <f>K276+K278</f>
        <v>0</v>
      </c>
      <c r="L275" s="114">
        <f t="shared" si="52"/>
        <v>0</v>
      </c>
      <c r="M275" s="111">
        <f t="shared" si="52"/>
        <v>8022.1</v>
      </c>
      <c r="N275" s="111">
        <f t="shared" si="52"/>
        <v>-1100</v>
      </c>
      <c r="O275" s="111">
        <f t="shared" si="52"/>
        <v>6922.1</v>
      </c>
      <c r="P275" s="97"/>
      <c r="Q275" s="97"/>
    </row>
    <row r="276" spans="1:17" ht="31.5" x14ac:dyDescent="0.2">
      <c r="A276" s="40"/>
      <c r="B276" s="113" t="s">
        <v>313</v>
      </c>
      <c r="C276" s="113" t="s">
        <v>51</v>
      </c>
      <c r="D276" s="133" t="s">
        <v>306</v>
      </c>
      <c r="E276" s="133" t="s">
        <v>314</v>
      </c>
      <c r="F276" s="134" t="s">
        <v>11</v>
      </c>
      <c r="G276" s="111">
        <f>G277+G279</f>
        <v>8022.1</v>
      </c>
      <c r="H276" s="111">
        <f>H277+H279</f>
        <v>-1100</v>
      </c>
      <c r="I276" s="111">
        <f>I277+I279</f>
        <v>6922.1</v>
      </c>
      <c r="J276" s="114">
        <f>J277+J279</f>
        <v>0</v>
      </c>
      <c r="K276" s="111">
        <f>K277</f>
        <v>0</v>
      </c>
      <c r="L276" s="114">
        <f>L277+L279</f>
        <v>0</v>
      </c>
      <c r="M276" s="111">
        <f>M277+M279</f>
        <v>8022.1</v>
      </c>
      <c r="N276" s="111">
        <f>N277+N279</f>
        <v>-1100</v>
      </c>
      <c r="O276" s="111">
        <f>O277+O279</f>
        <v>6922.1</v>
      </c>
      <c r="P276" s="97"/>
      <c r="Q276" s="97"/>
    </row>
    <row r="277" spans="1:17" ht="47.25" x14ac:dyDescent="0.2">
      <c r="A277" s="40"/>
      <c r="B277" s="113" t="s">
        <v>315</v>
      </c>
      <c r="C277" s="113" t="s">
        <v>51</v>
      </c>
      <c r="D277" s="133" t="s">
        <v>306</v>
      </c>
      <c r="E277" s="133" t="s">
        <v>316</v>
      </c>
      <c r="F277" s="134" t="s">
        <v>11</v>
      </c>
      <c r="G277" s="111">
        <f>G278</f>
        <v>2400</v>
      </c>
      <c r="H277" s="111"/>
      <c r="I277" s="111">
        <f>I278</f>
        <v>2400</v>
      </c>
      <c r="J277" s="114">
        <f>J278</f>
        <v>0</v>
      </c>
      <c r="K277" s="111"/>
      <c r="L277" s="114">
        <f>L278</f>
        <v>0</v>
      </c>
      <c r="M277" s="111">
        <f>M278</f>
        <v>2400</v>
      </c>
      <c r="N277" s="111">
        <f>N278</f>
        <v>0</v>
      </c>
      <c r="O277" s="111">
        <f>O278</f>
        <v>2400</v>
      </c>
      <c r="P277" s="97"/>
      <c r="Q277" s="97"/>
    </row>
    <row r="278" spans="1:17" ht="31.5" x14ac:dyDescent="0.2">
      <c r="A278" s="40"/>
      <c r="B278" s="113" t="s">
        <v>40</v>
      </c>
      <c r="C278" s="113" t="s">
        <v>51</v>
      </c>
      <c r="D278" s="133" t="s">
        <v>306</v>
      </c>
      <c r="E278" s="133" t="s">
        <v>316</v>
      </c>
      <c r="F278" s="134" t="s">
        <v>41</v>
      </c>
      <c r="G278" s="111">
        <v>2400</v>
      </c>
      <c r="H278" s="111"/>
      <c r="I278" s="111">
        <v>2400</v>
      </c>
      <c r="J278" s="115"/>
      <c r="K278" s="111"/>
      <c r="L278" s="115"/>
      <c r="M278" s="111">
        <v>2400</v>
      </c>
      <c r="N278" s="111"/>
      <c r="O278" s="111">
        <v>2400</v>
      </c>
      <c r="P278" s="97"/>
      <c r="Q278" s="97"/>
    </row>
    <row r="279" spans="1:17" ht="47.25" x14ac:dyDescent="0.2">
      <c r="A279" s="40"/>
      <c r="B279" s="113" t="s">
        <v>317</v>
      </c>
      <c r="C279" s="113" t="s">
        <v>51</v>
      </c>
      <c r="D279" s="133" t="s">
        <v>306</v>
      </c>
      <c r="E279" s="133" t="s">
        <v>318</v>
      </c>
      <c r="F279" s="134" t="s">
        <v>11</v>
      </c>
      <c r="G279" s="111">
        <f>G280</f>
        <v>5622.1</v>
      </c>
      <c r="H279" s="111">
        <f>H280</f>
        <v>-1100</v>
      </c>
      <c r="I279" s="111">
        <f>I280</f>
        <v>4522.1000000000004</v>
      </c>
      <c r="J279" s="114">
        <f>J280</f>
        <v>0</v>
      </c>
      <c r="K279" s="111"/>
      <c r="L279" s="114">
        <f>L280</f>
        <v>0</v>
      </c>
      <c r="M279" s="111">
        <f>M280</f>
        <v>5622.1</v>
      </c>
      <c r="N279" s="111">
        <f>N280</f>
        <v>-1100</v>
      </c>
      <c r="O279" s="111">
        <f>O280</f>
        <v>4522.1000000000004</v>
      </c>
      <c r="P279" s="97"/>
      <c r="Q279" s="97"/>
    </row>
    <row r="280" spans="1:17" ht="31.5" x14ac:dyDescent="0.2">
      <c r="A280" s="40"/>
      <c r="B280" s="113" t="s">
        <v>40</v>
      </c>
      <c r="C280" s="113" t="s">
        <v>51</v>
      </c>
      <c r="D280" s="133" t="s">
        <v>306</v>
      </c>
      <c r="E280" s="133" t="s">
        <v>318</v>
      </c>
      <c r="F280" s="134" t="s">
        <v>41</v>
      </c>
      <c r="G280" s="111">
        <v>5622.1</v>
      </c>
      <c r="H280" s="117">
        <f>-909+788.5-191-788.5</f>
        <v>-1100</v>
      </c>
      <c r="I280" s="111">
        <f>SUM(G280)+H280</f>
        <v>4522.1000000000004</v>
      </c>
      <c r="J280" s="115"/>
      <c r="K280" s="109"/>
      <c r="L280" s="115"/>
      <c r="M280" s="111">
        <f>SUM(G280)</f>
        <v>5622.1</v>
      </c>
      <c r="N280" s="111">
        <f>SUM(H280)</f>
        <v>-1100</v>
      </c>
      <c r="O280" s="111">
        <f>SUM(M280)+N280</f>
        <v>4522.1000000000004</v>
      </c>
      <c r="P280" s="97"/>
      <c r="Q280" s="97"/>
    </row>
    <row r="281" spans="1:17" ht="15.75" x14ac:dyDescent="0.2">
      <c r="A281" s="33" t="s">
        <v>319</v>
      </c>
      <c r="B281" s="110" t="s">
        <v>320</v>
      </c>
      <c r="C281" s="110" t="s">
        <v>51</v>
      </c>
      <c r="D281" s="131" t="s">
        <v>321</v>
      </c>
      <c r="E281" s="131" t="s">
        <v>11</v>
      </c>
      <c r="F281" s="132" t="s">
        <v>11</v>
      </c>
      <c r="G281" s="109">
        <f t="shared" ref="G281:O281" si="53">G282+G299</f>
        <v>72285.5</v>
      </c>
      <c r="H281" s="111">
        <f t="shared" si="53"/>
        <v>-7383.4</v>
      </c>
      <c r="I281" s="109">
        <f t="shared" si="53"/>
        <v>64902.100000000006</v>
      </c>
      <c r="J281" s="112">
        <f t="shared" si="53"/>
        <v>2420884.4000000004</v>
      </c>
      <c r="K281" s="111">
        <f t="shared" si="53"/>
        <v>6585.7000000000007</v>
      </c>
      <c r="L281" s="112">
        <f t="shared" si="53"/>
        <v>2427470.1</v>
      </c>
      <c r="M281" s="109">
        <f t="shared" si="53"/>
        <v>2493169.9</v>
      </c>
      <c r="N281" s="111">
        <f t="shared" si="53"/>
        <v>-797.69999999999982</v>
      </c>
      <c r="O281" s="109">
        <f t="shared" si="53"/>
        <v>2492372.1999999997</v>
      </c>
      <c r="P281" s="97"/>
      <c r="Q281" s="97"/>
    </row>
    <row r="282" spans="1:17" ht="31.5" x14ac:dyDescent="0.2">
      <c r="A282" s="40"/>
      <c r="B282" s="113" t="s">
        <v>245</v>
      </c>
      <c r="C282" s="113" t="s">
        <v>51</v>
      </c>
      <c r="D282" s="133" t="s">
        <v>321</v>
      </c>
      <c r="E282" s="133" t="s">
        <v>246</v>
      </c>
      <c r="F282" s="134" t="s">
        <v>11</v>
      </c>
      <c r="G282" s="111">
        <f>G283+G296</f>
        <v>22709.7</v>
      </c>
      <c r="H282" s="111">
        <f>H283+H296</f>
        <v>-3171.9</v>
      </c>
      <c r="I282" s="111">
        <f>I283+I296</f>
        <v>19537.8</v>
      </c>
      <c r="J282" s="114">
        <f t="shared" ref="G282:O283" si="54">J283</f>
        <v>2301493.8000000003</v>
      </c>
      <c r="K282" s="111">
        <f t="shared" si="54"/>
        <v>1585.7000000000003</v>
      </c>
      <c r="L282" s="114">
        <f t="shared" si="54"/>
        <v>2303079.5</v>
      </c>
      <c r="M282" s="111">
        <f>M283+M296</f>
        <v>2324203.5</v>
      </c>
      <c r="N282" s="111">
        <f>SUM(N296)+N283</f>
        <v>-1586.1999999999998</v>
      </c>
      <c r="O282" s="111">
        <f>O283+O296</f>
        <v>2322617.2999999998</v>
      </c>
      <c r="P282" s="97"/>
      <c r="Q282" s="97"/>
    </row>
    <row r="283" spans="1:17" ht="31.5" x14ac:dyDescent="0.2">
      <c r="A283" s="40"/>
      <c r="B283" s="113" t="s">
        <v>322</v>
      </c>
      <c r="C283" s="113" t="s">
        <v>51</v>
      </c>
      <c r="D283" s="133" t="s">
        <v>321</v>
      </c>
      <c r="E283" s="133" t="s">
        <v>323</v>
      </c>
      <c r="F283" s="134" t="s">
        <v>11</v>
      </c>
      <c r="G283" s="111">
        <f t="shared" si="54"/>
        <v>14792.900000000001</v>
      </c>
      <c r="H283" s="111">
        <f>SUM(H284)</f>
        <v>-2171.9</v>
      </c>
      <c r="I283" s="111">
        <f t="shared" si="54"/>
        <v>12621</v>
      </c>
      <c r="J283" s="114">
        <f t="shared" si="54"/>
        <v>2301493.8000000003</v>
      </c>
      <c r="K283" s="111">
        <f>SUM(K284)</f>
        <v>1585.7000000000003</v>
      </c>
      <c r="L283" s="114">
        <f t="shared" si="54"/>
        <v>2303079.5</v>
      </c>
      <c r="M283" s="111">
        <f t="shared" si="54"/>
        <v>2316286.7000000002</v>
      </c>
      <c r="N283" s="111">
        <f t="shared" si="54"/>
        <v>-586.19999999999982</v>
      </c>
      <c r="O283" s="111">
        <f t="shared" si="54"/>
        <v>2315700.5</v>
      </c>
      <c r="P283" s="97"/>
      <c r="Q283" s="97"/>
    </row>
    <row r="284" spans="1:17" ht="47.25" x14ac:dyDescent="0.2">
      <c r="A284" s="40"/>
      <c r="B284" s="113" t="s">
        <v>324</v>
      </c>
      <c r="C284" s="113" t="s">
        <v>51</v>
      </c>
      <c r="D284" s="133" t="s">
        <v>321</v>
      </c>
      <c r="E284" s="133" t="s">
        <v>325</v>
      </c>
      <c r="F284" s="134" t="s">
        <v>11</v>
      </c>
      <c r="G284" s="111">
        <f>G285+G288+G290+G292</f>
        <v>14792.900000000001</v>
      </c>
      <c r="H284" s="111">
        <f>H285+H290+H292</f>
        <v>-2171.9</v>
      </c>
      <c r="I284" s="111">
        <f>I285+I288+I290+I292</f>
        <v>12621</v>
      </c>
      <c r="J284" s="114">
        <f>J285+J288+J290+J292</f>
        <v>2301493.8000000003</v>
      </c>
      <c r="K284" s="111">
        <f>K285+K288+K292</f>
        <v>1585.7000000000003</v>
      </c>
      <c r="L284" s="114">
        <f>L285+L288+L290+L292</f>
        <v>2303079.5</v>
      </c>
      <c r="M284" s="111">
        <f>M285+M288+M290+M292</f>
        <v>2316286.7000000002</v>
      </c>
      <c r="N284" s="111">
        <f>N285+N288+N290+N292</f>
        <v>-586.19999999999982</v>
      </c>
      <c r="O284" s="111">
        <f>O285+O288+O290+O292</f>
        <v>2315700.5</v>
      </c>
      <c r="P284" s="97"/>
      <c r="Q284" s="97"/>
    </row>
    <row r="285" spans="1:17" ht="15.75" x14ac:dyDescent="0.2">
      <c r="A285" s="40"/>
      <c r="B285" s="113" t="s">
        <v>326</v>
      </c>
      <c r="C285" s="113" t="s">
        <v>51</v>
      </c>
      <c r="D285" s="133" t="s">
        <v>321</v>
      </c>
      <c r="E285" s="133" t="s">
        <v>327</v>
      </c>
      <c r="F285" s="134" t="s">
        <v>11</v>
      </c>
      <c r="G285" s="111">
        <f>G286+G287</f>
        <v>2286.1</v>
      </c>
      <c r="H285" s="111">
        <f>SUM(H286)+H287</f>
        <v>-2255.3000000000002</v>
      </c>
      <c r="I285" s="111">
        <f>I286+I287</f>
        <v>30.799999999999727</v>
      </c>
      <c r="J285" s="114">
        <f>J286</f>
        <v>1529.5</v>
      </c>
      <c r="K285" s="111">
        <f>SUM(K286)</f>
        <v>0</v>
      </c>
      <c r="L285" s="114">
        <f>L286</f>
        <v>1529.5</v>
      </c>
      <c r="M285" s="111">
        <f>M286+M287</f>
        <v>3815.6</v>
      </c>
      <c r="N285" s="111">
        <f>N286+N287</f>
        <v>-2255.3000000000002</v>
      </c>
      <c r="O285" s="111">
        <f>O286+O287</f>
        <v>1560.2999999999997</v>
      </c>
      <c r="P285" s="97"/>
      <c r="Q285" s="97"/>
    </row>
    <row r="286" spans="1:17" ht="31.5" x14ac:dyDescent="0.2">
      <c r="A286" s="40"/>
      <c r="B286" s="113" t="s">
        <v>40</v>
      </c>
      <c r="C286" s="113" t="s">
        <v>51</v>
      </c>
      <c r="D286" s="133" t="s">
        <v>321</v>
      </c>
      <c r="E286" s="133" t="s">
        <v>327</v>
      </c>
      <c r="F286" s="134" t="s">
        <v>41</v>
      </c>
      <c r="G286" s="111">
        <v>0</v>
      </c>
      <c r="H286" s="111"/>
      <c r="I286" s="111"/>
      <c r="J286" s="115">
        <v>1529.5</v>
      </c>
      <c r="K286" s="111"/>
      <c r="L286" s="111">
        <f>SUM(J286)</f>
        <v>1529.5</v>
      </c>
      <c r="M286" s="111">
        <f>SUM(J286)</f>
        <v>1529.5</v>
      </c>
      <c r="N286" s="111">
        <f>SUM(H286+K286)</f>
        <v>0</v>
      </c>
      <c r="O286" s="111">
        <f>SUM(L286)</f>
        <v>1529.5</v>
      </c>
      <c r="P286" s="97"/>
      <c r="Q286" s="97"/>
    </row>
    <row r="287" spans="1:17" ht="31.5" x14ac:dyDescent="0.2">
      <c r="A287" s="40"/>
      <c r="B287" s="113" t="s">
        <v>225</v>
      </c>
      <c r="C287" s="113">
        <v>992</v>
      </c>
      <c r="D287" s="133" t="s">
        <v>321</v>
      </c>
      <c r="E287" s="133" t="s">
        <v>327</v>
      </c>
      <c r="F287" s="134">
        <v>400</v>
      </c>
      <c r="G287" s="111">
        <v>2286.1</v>
      </c>
      <c r="H287" s="111">
        <f>-2171.9-83.4</f>
        <v>-2255.3000000000002</v>
      </c>
      <c r="I287" s="111">
        <f>SUM(G287)+H287</f>
        <v>30.799999999999727</v>
      </c>
      <c r="J287" s="115"/>
      <c r="K287" s="111"/>
      <c r="L287" s="119"/>
      <c r="M287" s="111">
        <f>SUM(G287)</f>
        <v>2286.1</v>
      </c>
      <c r="N287" s="111">
        <f>SUM(H287)</f>
        <v>-2255.3000000000002</v>
      </c>
      <c r="O287" s="111">
        <f>SUM(M287)+N287</f>
        <v>30.799999999999727</v>
      </c>
      <c r="P287" s="97"/>
      <c r="Q287" s="97"/>
    </row>
    <row r="288" spans="1:17" ht="31.5" x14ac:dyDescent="0.2">
      <c r="A288" s="40"/>
      <c r="B288" s="113" t="s">
        <v>328</v>
      </c>
      <c r="C288" s="113" t="s">
        <v>51</v>
      </c>
      <c r="D288" s="133" t="s">
        <v>321</v>
      </c>
      <c r="E288" s="133" t="s">
        <v>329</v>
      </c>
      <c r="F288" s="134" t="s">
        <v>11</v>
      </c>
      <c r="G288" s="111">
        <f>G289</f>
        <v>11457.5</v>
      </c>
      <c r="H288" s="111"/>
      <c r="I288" s="111">
        <f>I289</f>
        <v>11457.5</v>
      </c>
      <c r="J288" s="114">
        <f>J289</f>
        <v>2280029.1</v>
      </c>
      <c r="K288" s="111"/>
      <c r="L288" s="114">
        <f>L289</f>
        <v>2280029.1</v>
      </c>
      <c r="M288" s="111">
        <f>M289</f>
        <v>2291486.6</v>
      </c>
      <c r="N288" s="111">
        <f>N289</f>
        <v>0</v>
      </c>
      <c r="O288" s="111">
        <f>O289</f>
        <v>2291486.6</v>
      </c>
      <c r="P288" s="97"/>
      <c r="Q288" s="97"/>
    </row>
    <row r="289" spans="1:17" ht="31.5" x14ac:dyDescent="0.2">
      <c r="A289" s="40"/>
      <c r="B289" s="113" t="s">
        <v>225</v>
      </c>
      <c r="C289" s="113" t="s">
        <v>51</v>
      </c>
      <c r="D289" s="133" t="s">
        <v>321</v>
      </c>
      <c r="E289" s="133" t="s">
        <v>329</v>
      </c>
      <c r="F289" s="134" t="s">
        <v>226</v>
      </c>
      <c r="G289" s="111">
        <v>11457.5</v>
      </c>
      <c r="H289" s="111"/>
      <c r="I289" s="111">
        <f>11457.5+H289</f>
        <v>11457.5</v>
      </c>
      <c r="J289" s="115">
        <v>2280029.1</v>
      </c>
      <c r="K289" s="111"/>
      <c r="L289" s="115">
        <f>2280029.1+K289</f>
        <v>2280029.1</v>
      </c>
      <c r="M289" s="111">
        <f>11457.5+J289</f>
        <v>2291486.6</v>
      </c>
      <c r="N289" s="111">
        <f>SUM(K289)</f>
        <v>0</v>
      </c>
      <c r="O289" s="111">
        <f>11457.5+L289</f>
        <v>2291486.6</v>
      </c>
      <c r="P289" s="97"/>
      <c r="Q289" s="97"/>
    </row>
    <row r="290" spans="1:17" ht="15.75" x14ac:dyDescent="0.2">
      <c r="A290" s="40"/>
      <c r="B290" s="113" t="s">
        <v>330</v>
      </c>
      <c r="C290" s="113" t="s">
        <v>51</v>
      </c>
      <c r="D290" s="133" t="s">
        <v>321</v>
      </c>
      <c r="E290" s="133" t="s">
        <v>331</v>
      </c>
      <c r="F290" s="134" t="s">
        <v>11</v>
      </c>
      <c r="G290" s="111">
        <f>G291</f>
        <v>386.1</v>
      </c>
      <c r="H290" s="111">
        <f>SUM(H291)</f>
        <v>0</v>
      </c>
      <c r="I290" s="111">
        <f>I291</f>
        <v>386.1</v>
      </c>
      <c r="J290" s="114">
        <f>J291</f>
        <v>7335.5</v>
      </c>
      <c r="K290" s="111">
        <v>0</v>
      </c>
      <c r="L290" s="114">
        <f>L291</f>
        <v>7335.5</v>
      </c>
      <c r="M290" s="111">
        <f>M291</f>
        <v>7721.6</v>
      </c>
      <c r="N290" s="111">
        <f>N291</f>
        <v>0</v>
      </c>
      <c r="O290" s="111">
        <f>O291</f>
        <v>7721.6</v>
      </c>
      <c r="P290" s="97"/>
      <c r="Q290" s="97"/>
    </row>
    <row r="291" spans="1:17" ht="31.5" x14ac:dyDescent="0.2">
      <c r="A291" s="40"/>
      <c r="B291" s="113" t="s">
        <v>225</v>
      </c>
      <c r="C291" s="113" t="s">
        <v>51</v>
      </c>
      <c r="D291" s="133" t="s">
        <v>321</v>
      </c>
      <c r="E291" s="133" t="s">
        <v>331</v>
      </c>
      <c r="F291" s="134" t="s">
        <v>226</v>
      </c>
      <c r="G291" s="111">
        <v>386.1</v>
      </c>
      <c r="H291" s="111"/>
      <c r="I291" s="111">
        <f>SUM(G291)</f>
        <v>386.1</v>
      </c>
      <c r="J291" s="115">
        <f>14200-6864.5</f>
        <v>7335.5</v>
      </c>
      <c r="K291" s="111"/>
      <c r="L291" s="115">
        <f>14200-6864.5</f>
        <v>7335.5</v>
      </c>
      <c r="M291" s="111">
        <f>SUM(J291)+G291</f>
        <v>7721.6</v>
      </c>
      <c r="N291" s="111">
        <f>SUM(H291)</f>
        <v>0</v>
      </c>
      <c r="O291" s="111">
        <f>SUM(L291)+N291+I291</f>
        <v>7721.6</v>
      </c>
      <c r="P291" s="97"/>
      <c r="Q291" s="97"/>
    </row>
    <row r="292" spans="1:17" ht="15.75" x14ac:dyDescent="0.2">
      <c r="A292" s="40"/>
      <c r="B292" s="113" t="s">
        <v>332</v>
      </c>
      <c r="C292" s="113" t="s">
        <v>51</v>
      </c>
      <c r="D292" s="133" t="s">
        <v>321</v>
      </c>
      <c r="E292" s="133" t="s">
        <v>333</v>
      </c>
      <c r="F292" s="134" t="s">
        <v>11</v>
      </c>
      <c r="G292" s="111">
        <f>G293</f>
        <v>663.2</v>
      </c>
      <c r="H292" s="111">
        <v>83.4</v>
      </c>
      <c r="I292" s="111">
        <f>I293</f>
        <v>746.6</v>
      </c>
      <c r="J292" s="114">
        <f>J293</f>
        <v>12599.699999999999</v>
      </c>
      <c r="K292" s="111">
        <f>2171.9-177.8-408.4</f>
        <v>1585.7000000000003</v>
      </c>
      <c r="L292" s="114">
        <f>L293</f>
        <v>14185.4</v>
      </c>
      <c r="M292" s="111">
        <f>M293</f>
        <v>13262.9</v>
      </c>
      <c r="N292" s="111">
        <f>N293</f>
        <v>1669.1000000000004</v>
      </c>
      <c r="O292" s="111">
        <f>O293</f>
        <v>14932</v>
      </c>
      <c r="P292" s="97"/>
      <c r="Q292" s="97"/>
    </row>
    <row r="293" spans="1:17" ht="31.5" x14ac:dyDescent="0.2">
      <c r="A293" s="40"/>
      <c r="B293" s="113" t="s">
        <v>225</v>
      </c>
      <c r="C293" s="113" t="s">
        <v>51</v>
      </c>
      <c r="D293" s="133" t="s">
        <v>321</v>
      </c>
      <c r="E293" s="133" t="s">
        <v>333</v>
      </c>
      <c r="F293" s="134" t="s">
        <v>226</v>
      </c>
      <c r="G293" s="111">
        <v>663.2</v>
      </c>
      <c r="H293" s="111">
        <v>83.4</v>
      </c>
      <c r="I293" s="111">
        <f>SUM(G293)+H293</f>
        <v>746.6</v>
      </c>
      <c r="J293" s="115">
        <f>11689.4+910.3</f>
        <v>12599.699999999999</v>
      </c>
      <c r="K293" s="111">
        <f>2171.9-177.8-408.4</f>
        <v>1585.7000000000003</v>
      </c>
      <c r="L293" s="115">
        <f>11689.4+910.3+K293</f>
        <v>14185.4</v>
      </c>
      <c r="M293" s="111">
        <f>SUM(G293+J293)</f>
        <v>13262.9</v>
      </c>
      <c r="N293" s="111">
        <f>SUM(K293)+H293</f>
        <v>1669.1000000000004</v>
      </c>
      <c r="O293" s="111">
        <f>SUM(I293+L293)</f>
        <v>14932</v>
      </c>
      <c r="P293" s="97"/>
      <c r="Q293" s="97"/>
    </row>
    <row r="294" spans="1:17" ht="31.5" x14ac:dyDescent="0.2">
      <c r="A294" s="40"/>
      <c r="B294" s="118" t="s">
        <v>245</v>
      </c>
      <c r="C294" s="118" t="s">
        <v>51</v>
      </c>
      <c r="D294" s="136" t="s">
        <v>321</v>
      </c>
      <c r="E294" s="136" t="s">
        <v>246</v>
      </c>
      <c r="F294" s="141"/>
      <c r="G294" s="114">
        <f>G295</f>
        <v>7916.8</v>
      </c>
      <c r="H294" s="114">
        <f t="shared" ref="H294:O295" si="55">H295</f>
        <v>-1000</v>
      </c>
      <c r="I294" s="114">
        <f t="shared" si="55"/>
        <v>6916.8</v>
      </c>
      <c r="J294" s="114">
        <f t="shared" si="55"/>
        <v>0</v>
      </c>
      <c r="K294" s="114">
        <f t="shared" si="55"/>
        <v>0</v>
      </c>
      <c r="L294" s="114">
        <f t="shared" si="55"/>
        <v>0</v>
      </c>
      <c r="M294" s="114">
        <f t="shared" si="55"/>
        <v>7916.8</v>
      </c>
      <c r="N294" s="114">
        <f t="shared" si="55"/>
        <v>-1000</v>
      </c>
      <c r="O294" s="114">
        <f t="shared" si="55"/>
        <v>6916.8</v>
      </c>
      <c r="P294" s="97"/>
      <c r="Q294" s="97"/>
    </row>
    <row r="295" spans="1:17" ht="15.75" x14ac:dyDescent="0.2">
      <c r="A295" s="40"/>
      <c r="B295" s="118" t="s">
        <v>247</v>
      </c>
      <c r="C295" s="118" t="s">
        <v>51</v>
      </c>
      <c r="D295" s="136" t="s">
        <v>321</v>
      </c>
      <c r="E295" s="136" t="s">
        <v>248</v>
      </c>
      <c r="F295" s="141"/>
      <c r="G295" s="114">
        <f>G296</f>
        <v>7916.8</v>
      </c>
      <c r="H295" s="114">
        <f t="shared" si="55"/>
        <v>-1000</v>
      </c>
      <c r="I295" s="114">
        <f t="shared" si="55"/>
        <v>6916.8</v>
      </c>
      <c r="J295" s="114">
        <f t="shared" si="55"/>
        <v>0</v>
      </c>
      <c r="K295" s="114">
        <f t="shared" si="55"/>
        <v>0</v>
      </c>
      <c r="L295" s="114">
        <f t="shared" si="55"/>
        <v>0</v>
      </c>
      <c r="M295" s="114">
        <f t="shared" si="55"/>
        <v>7916.8</v>
      </c>
      <c r="N295" s="114">
        <f t="shared" si="55"/>
        <v>-1000</v>
      </c>
      <c r="O295" s="114">
        <f t="shared" si="55"/>
        <v>6916.8</v>
      </c>
      <c r="P295" s="97"/>
      <c r="Q295" s="97"/>
    </row>
    <row r="296" spans="1:17" ht="47.25" x14ac:dyDescent="0.2">
      <c r="A296" s="40"/>
      <c r="B296" s="143" t="s">
        <v>334</v>
      </c>
      <c r="C296" s="113">
        <v>992</v>
      </c>
      <c r="D296" s="133" t="s">
        <v>321</v>
      </c>
      <c r="E296" s="136" t="s">
        <v>335</v>
      </c>
      <c r="F296" s="134"/>
      <c r="G296" s="111">
        <f t="shared" ref="G296:I297" si="56">SUM(G297)</f>
        <v>7916.8</v>
      </c>
      <c r="H296" s="111">
        <f t="shared" si="56"/>
        <v>-1000</v>
      </c>
      <c r="I296" s="111">
        <f t="shared" si="56"/>
        <v>6916.8</v>
      </c>
      <c r="J296" s="115"/>
      <c r="K296" s="111"/>
      <c r="L296" s="115"/>
      <c r="M296" s="111">
        <f>SUM(G296)</f>
        <v>7916.8</v>
      </c>
      <c r="N296" s="111">
        <f t="shared" ref="N296:O298" si="57">SUM(H296)</f>
        <v>-1000</v>
      </c>
      <c r="O296" s="111">
        <f t="shared" si="57"/>
        <v>6916.8</v>
      </c>
      <c r="P296" s="97"/>
      <c r="Q296" s="97"/>
    </row>
    <row r="297" spans="1:17" ht="78.75" x14ac:dyDescent="0.2">
      <c r="A297" s="40"/>
      <c r="B297" s="144" t="s">
        <v>336</v>
      </c>
      <c r="C297" s="113">
        <v>992</v>
      </c>
      <c r="D297" s="133" t="s">
        <v>321</v>
      </c>
      <c r="E297" s="136" t="s">
        <v>337</v>
      </c>
      <c r="F297" s="134"/>
      <c r="G297" s="111">
        <f t="shared" si="56"/>
        <v>7916.8</v>
      </c>
      <c r="H297" s="111">
        <f t="shared" si="56"/>
        <v>-1000</v>
      </c>
      <c r="I297" s="111">
        <f t="shared" si="56"/>
        <v>6916.8</v>
      </c>
      <c r="J297" s="115"/>
      <c r="K297" s="111"/>
      <c r="L297" s="115"/>
      <c r="M297" s="111">
        <f>SUM(G297)</f>
        <v>7916.8</v>
      </c>
      <c r="N297" s="111">
        <f t="shared" si="57"/>
        <v>-1000</v>
      </c>
      <c r="O297" s="111">
        <f t="shared" si="57"/>
        <v>6916.8</v>
      </c>
      <c r="P297" s="97"/>
      <c r="Q297" s="97"/>
    </row>
    <row r="298" spans="1:17" ht="15.75" x14ac:dyDescent="0.2">
      <c r="A298" s="40"/>
      <c r="B298" s="113" t="s">
        <v>338</v>
      </c>
      <c r="C298" s="113">
        <v>992</v>
      </c>
      <c r="D298" s="133" t="s">
        <v>321</v>
      </c>
      <c r="E298" s="136" t="s">
        <v>337</v>
      </c>
      <c r="F298" s="134">
        <v>800</v>
      </c>
      <c r="G298" s="111">
        <v>7916.8</v>
      </c>
      <c r="H298" s="111">
        <v>-1000</v>
      </c>
      <c r="I298" s="111">
        <f>SUM(G298)+H298</f>
        <v>6916.8</v>
      </c>
      <c r="J298" s="115"/>
      <c r="K298" s="111"/>
      <c r="L298" s="115"/>
      <c r="M298" s="111">
        <f>SUM(G298)</f>
        <v>7916.8</v>
      </c>
      <c r="N298" s="111">
        <f t="shared" si="57"/>
        <v>-1000</v>
      </c>
      <c r="O298" s="111">
        <f t="shared" si="57"/>
        <v>6916.8</v>
      </c>
      <c r="P298" s="97"/>
      <c r="Q298" s="97"/>
    </row>
    <row r="299" spans="1:17" ht="31.5" x14ac:dyDescent="0.2">
      <c r="A299" s="40"/>
      <c r="B299" s="113" t="s">
        <v>339</v>
      </c>
      <c r="C299" s="113" t="s">
        <v>51</v>
      </c>
      <c r="D299" s="133" t="s">
        <v>321</v>
      </c>
      <c r="E299" s="133" t="s">
        <v>340</v>
      </c>
      <c r="F299" s="134" t="s">
        <v>11</v>
      </c>
      <c r="G299" s="111">
        <f>G300+G312+G309</f>
        <v>49575.8</v>
      </c>
      <c r="H299" s="111">
        <f>H300+H309+H312</f>
        <v>-4211.5</v>
      </c>
      <c r="I299" s="111">
        <f>I300+I312+I309</f>
        <v>45364.3</v>
      </c>
      <c r="J299" s="114">
        <f t="shared" ref="G299:O300" si="58">J300</f>
        <v>119390.6</v>
      </c>
      <c r="K299" s="111">
        <f>K300+K312</f>
        <v>5000</v>
      </c>
      <c r="L299" s="114">
        <f>L300+L312</f>
        <v>124390.6</v>
      </c>
      <c r="M299" s="111">
        <f>M300+M312+M309</f>
        <v>168966.40000000002</v>
      </c>
      <c r="N299" s="111">
        <f>N300+N309+N312</f>
        <v>788.5</v>
      </c>
      <c r="O299" s="111">
        <f>O300+O312+O309</f>
        <v>169754.90000000002</v>
      </c>
      <c r="P299" s="97"/>
      <c r="Q299" s="97"/>
    </row>
    <row r="300" spans="1:17" ht="15.75" x14ac:dyDescent="0.2">
      <c r="A300" s="40"/>
      <c r="B300" s="113" t="s">
        <v>341</v>
      </c>
      <c r="C300" s="113" t="s">
        <v>51</v>
      </c>
      <c r="D300" s="133" t="s">
        <v>321</v>
      </c>
      <c r="E300" s="133" t="s">
        <v>342</v>
      </c>
      <c r="F300" s="134" t="s">
        <v>11</v>
      </c>
      <c r="G300" s="111">
        <f t="shared" si="58"/>
        <v>29421.300000000003</v>
      </c>
      <c r="H300" s="111">
        <f>H301</f>
        <v>0</v>
      </c>
      <c r="I300" s="111">
        <f t="shared" si="58"/>
        <v>29421.300000000003</v>
      </c>
      <c r="J300" s="114">
        <f t="shared" si="58"/>
        <v>119390.6</v>
      </c>
      <c r="K300" s="111">
        <f>K301+K304</f>
        <v>0</v>
      </c>
      <c r="L300" s="114">
        <f t="shared" si="58"/>
        <v>119390.6</v>
      </c>
      <c r="M300" s="111">
        <f t="shared" si="58"/>
        <v>148811.90000000002</v>
      </c>
      <c r="N300" s="111">
        <f t="shared" si="58"/>
        <v>0</v>
      </c>
      <c r="O300" s="111">
        <f t="shared" si="58"/>
        <v>148811.90000000002</v>
      </c>
      <c r="P300" s="97"/>
      <c r="Q300" s="97"/>
    </row>
    <row r="301" spans="1:17" ht="47.25" x14ac:dyDescent="0.2">
      <c r="A301" s="40"/>
      <c r="B301" s="113" t="s">
        <v>343</v>
      </c>
      <c r="C301" s="113" t="s">
        <v>51</v>
      </c>
      <c r="D301" s="133" t="s">
        <v>321</v>
      </c>
      <c r="E301" s="133" t="s">
        <v>344</v>
      </c>
      <c r="F301" s="134" t="s">
        <v>11</v>
      </c>
      <c r="G301" s="111">
        <f>G302+G305</f>
        <v>29421.300000000003</v>
      </c>
      <c r="H301" s="111">
        <f>H302+H305</f>
        <v>0</v>
      </c>
      <c r="I301" s="111">
        <f>I302+I305</f>
        <v>29421.300000000003</v>
      </c>
      <c r="J301" s="114">
        <f>J302+J305</f>
        <v>119390.6</v>
      </c>
      <c r="K301" s="111">
        <f>K302+K305</f>
        <v>0</v>
      </c>
      <c r="L301" s="114">
        <f>L302+L305</f>
        <v>119390.6</v>
      </c>
      <c r="M301" s="111">
        <f>M302+M305</f>
        <v>148811.90000000002</v>
      </c>
      <c r="N301" s="111">
        <f>N302+N305</f>
        <v>0</v>
      </c>
      <c r="O301" s="111">
        <f>O302+O305</f>
        <v>148811.90000000002</v>
      </c>
      <c r="P301" s="97"/>
      <c r="Q301" s="97"/>
    </row>
    <row r="302" spans="1:17" ht="47.25" x14ac:dyDescent="0.2">
      <c r="A302" s="40"/>
      <c r="B302" s="113" t="s">
        <v>345</v>
      </c>
      <c r="C302" s="113" t="s">
        <v>51</v>
      </c>
      <c r="D302" s="133" t="s">
        <v>321</v>
      </c>
      <c r="E302" s="133" t="s">
        <v>346</v>
      </c>
      <c r="F302" s="134" t="s">
        <v>11</v>
      </c>
      <c r="G302" s="111">
        <f>G303+G304</f>
        <v>9985.6</v>
      </c>
      <c r="H302" s="111">
        <f>SUM(H303+H304)</f>
        <v>0</v>
      </c>
      <c r="I302" s="111">
        <f>I303+I304</f>
        <v>9985.6</v>
      </c>
      <c r="J302" s="114">
        <f>J303+J304</f>
        <v>0</v>
      </c>
      <c r="K302" s="111"/>
      <c r="L302" s="114">
        <f>L303+L304</f>
        <v>0</v>
      </c>
      <c r="M302" s="111">
        <f>M303+M304</f>
        <v>9985.6</v>
      </c>
      <c r="N302" s="111">
        <f>N303+N304</f>
        <v>0</v>
      </c>
      <c r="O302" s="111">
        <f>O303+O304</f>
        <v>9985.6</v>
      </c>
      <c r="P302" s="97"/>
      <c r="Q302" s="97"/>
    </row>
    <row r="303" spans="1:17" ht="31.5" x14ac:dyDescent="0.2">
      <c r="A303" s="40"/>
      <c r="B303" s="113" t="s">
        <v>40</v>
      </c>
      <c r="C303" s="113" t="s">
        <v>51</v>
      </c>
      <c r="D303" s="133" t="s">
        <v>321</v>
      </c>
      <c r="E303" s="133" t="s">
        <v>346</v>
      </c>
      <c r="F303" s="134" t="s">
        <v>41</v>
      </c>
      <c r="G303" s="111">
        <v>2940</v>
      </c>
      <c r="H303" s="111"/>
      <c r="I303" s="111">
        <f>SUM(G303)+H303</f>
        <v>2940</v>
      </c>
      <c r="J303" s="115">
        <v>0</v>
      </c>
      <c r="K303" s="111">
        <f>2803.6+840-1820-983.6-840</f>
        <v>0</v>
      </c>
      <c r="L303" s="115">
        <v>0</v>
      </c>
      <c r="M303" s="111">
        <f>SUM(G303)</f>
        <v>2940</v>
      </c>
      <c r="N303" s="111">
        <f>SUM(H303)</f>
        <v>0</v>
      </c>
      <c r="O303" s="111">
        <f>SUM(I303)</f>
        <v>2940</v>
      </c>
      <c r="P303" s="97"/>
      <c r="Q303" s="97"/>
    </row>
    <row r="304" spans="1:17" ht="31.5" x14ac:dyDescent="0.2">
      <c r="A304" s="40"/>
      <c r="B304" s="113" t="s">
        <v>225</v>
      </c>
      <c r="C304" s="113" t="s">
        <v>51</v>
      </c>
      <c r="D304" s="133" t="s">
        <v>321</v>
      </c>
      <c r="E304" s="133" t="s">
        <v>346</v>
      </c>
      <c r="F304" s="134" t="s">
        <v>226</v>
      </c>
      <c r="G304" s="111">
        <v>7045.6</v>
      </c>
      <c r="H304" s="111"/>
      <c r="I304" s="111">
        <f>SUM(G304)+R305+H304</f>
        <v>7045.6</v>
      </c>
      <c r="J304" s="115">
        <v>0</v>
      </c>
      <c r="K304" s="111"/>
      <c r="L304" s="115">
        <v>0</v>
      </c>
      <c r="M304" s="111">
        <f>SUM(G304)</f>
        <v>7045.6</v>
      </c>
      <c r="N304" s="111">
        <f>SUM(H304)</f>
        <v>0</v>
      </c>
      <c r="O304" s="111">
        <f>SUM(M304)+N304</f>
        <v>7045.6</v>
      </c>
      <c r="P304" s="97"/>
      <c r="Q304" s="97"/>
    </row>
    <row r="305" spans="1:17" ht="15.75" x14ac:dyDescent="0.2">
      <c r="A305" s="40"/>
      <c r="B305" s="113" t="s">
        <v>347</v>
      </c>
      <c r="C305" s="113" t="s">
        <v>51</v>
      </c>
      <c r="D305" s="133" t="s">
        <v>321</v>
      </c>
      <c r="E305" s="133" t="s">
        <v>348</v>
      </c>
      <c r="F305" s="134" t="s">
        <v>11</v>
      </c>
      <c r="G305" s="111">
        <f>G306</f>
        <v>19435.7</v>
      </c>
      <c r="H305" s="111">
        <f>SUM(H306)</f>
        <v>0</v>
      </c>
      <c r="I305" s="111">
        <f>I306</f>
        <v>19435.7</v>
      </c>
      <c r="J305" s="114">
        <f>J306</f>
        <v>119390.6</v>
      </c>
      <c r="K305" s="119"/>
      <c r="L305" s="114">
        <f>L306</f>
        <v>119390.6</v>
      </c>
      <c r="M305" s="111">
        <f>M306</f>
        <v>138826.30000000002</v>
      </c>
      <c r="N305" s="111">
        <f>N306</f>
        <v>0</v>
      </c>
      <c r="O305" s="111">
        <f>O306</f>
        <v>138826.30000000002</v>
      </c>
      <c r="P305" s="97"/>
      <c r="Q305" s="97"/>
    </row>
    <row r="306" spans="1:17" ht="31.5" x14ac:dyDescent="0.2">
      <c r="A306" s="40"/>
      <c r="B306" s="113" t="s">
        <v>225</v>
      </c>
      <c r="C306" s="113" t="s">
        <v>51</v>
      </c>
      <c r="D306" s="133" t="s">
        <v>321</v>
      </c>
      <c r="E306" s="133" t="s">
        <v>348</v>
      </c>
      <c r="F306" s="134" t="s">
        <v>226</v>
      </c>
      <c r="G306" s="111">
        <v>19435.7</v>
      </c>
      <c r="H306" s="111"/>
      <c r="I306" s="111">
        <f>19435.7+H306</f>
        <v>19435.7</v>
      </c>
      <c r="J306" s="115">
        <v>119390.6</v>
      </c>
      <c r="K306" s="119"/>
      <c r="L306" s="115">
        <f>SUM(J306)+K306</f>
        <v>119390.6</v>
      </c>
      <c r="M306" s="111">
        <f>SUM(G306+J306)</f>
        <v>138826.30000000002</v>
      </c>
      <c r="N306" s="111">
        <f>SUM(H306+K306)</f>
        <v>0</v>
      </c>
      <c r="O306" s="111">
        <f>SUM(I306+L306)</f>
        <v>138826.30000000002</v>
      </c>
      <c r="P306" s="97"/>
      <c r="Q306" s="97"/>
    </row>
    <row r="307" spans="1:17" ht="15.75" x14ac:dyDescent="0.2">
      <c r="A307" s="40"/>
      <c r="B307" s="118" t="s">
        <v>580</v>
      </c>
      <c r="C307" s="118" t="s">
        <v>51</v>
      </c>
      <c r="D307" s="136" t="s">
        <v>321</v>
      </c>
      <c r="E307" s="136" t="s">
        <v>579</v>
      </c>
      <c r="F307" s="141"/>
      <c r="G307" s="111">
        <f>G308</f>
        <v>0</v>
      </c>
      <c r="H307" s="111">
        <f t="shared" ref="H307:O308" si="59">H308</f>
        <v>0</v>
      </c>
      <c r="I307" s="120">
        <f t="shared" si="59"/>
        <v>0</v>
      </c>
      <c r="J307" s="114">
        <f t="shared" si="59"/>
        <v>0</v>
      </c>
      <c r="K307" s="114">
        <f t="shared" si="59"/>
        <v>0</v>
      </c>
      <c r="L307" s="119">
        <f t="shared" si="59"/>
        <v>0</v>
      </c>
      <c r="M307" s="111">
        <f t="shared" si="59"/>
        <v>0</v>
      </c>
      <c r="N307" s="111">
        <f t="shared" si="59"/>
        <v>0</v>
      </c>
      <c r="O307" s="111">
        <f t="shared" si="59"/>
        <v>0</v>
      </c>
      <c r="P307" s="97"/>
      <c r="Q307" s="97"/>
    </row>
    <row r="308" spans="1:17" ht="31.5" x14ac:dyDescent="0.2">
      <c r="A308" s="40"/>
      <c r="B308" s="118" t="s">
        <v>581</v>
      </c>
      <c r="C308" s="118" t="s">
        <v>51</v>
      </c>
      <c r="D308" s="136" t="s">
        <v>321</v>
      </c>
      <c r="E308" s="136" t="s">
        <v>578</v>
      </c>
      <c r="F308" s="141"/>
      <c r="G308" s="111">
        <f>G309</f>
        <v>0</v>
      </c>
      <c r="H308" s="111">
        <f t="shared" si="59"/>
        <v>0</v>
      </c>
      <c r="I308" s="120">
        <f t="shared" si="59"/>
        <v>0</v>
      </c>
      <c r="J308" s="114">
        <f t="shared" si="59"/>
        <v>0</v>
      </c>
      <c r="K308" s="114">
        <f t="shared" si="59"/>
        <v>0</v>
      </c>
      <c r="L308" s="119">
        <f t="shared" si="59"/>
        <v>0</v>
      </c>
      <c r="M308" s="111">
        <f t="shared" si="59"/>
        <v>0</v>
      </c>
      <c r="N308" s="111">
        <f t="shared" si="59"/>
        <v>0</v>
      </c>
      <c r="O308" s="111">
        <f t="shared" si="59"/>
        <v>0</v>
      </c>
      <c r="P308" s="97"/>
      <c r="Q308" s="97"/>
    </row>
    <row r="309" spans="1:17" ht="15.75" x14ac:dyDescent="0.2">
      <c r="A309" s="40"/>
      <c r="B309" s="113" t="s">
        <v>349</v>
      </c>
      <c r="C309" s="113">
        <v>992</v>
      </c>
      <c r="D309" s="133" t="s">
        <v>321</v>
      </c>
      <c r="E309" s="133">
        <v>1120121140</v>
      </c>
      <c r="F309" s="134"/>
      <c r="G309" s="111">
        <f>SUM(G311)</f>
        <v>0</v>
      </c>
      <c r="H309" s="111">
        <f>SUM(H311)</f>
        <v>0</v>
      </c>
      <c r="I309" s="111">
        <f>SUM(G309:H309)</f>
        <v>0</v>
      </c>
      <c r="J309" s="115"/>
      <c r="K309" s="111"/>
      <c r="L309" s="115"/>
      <c r="M309" s="111">
        <f>SUM(G309)</f>
        <v>0</v>
      </c>
      <c r="N309" s="111">
        <f t="shared" ref="N309:O311" si="60">SUM(H309)</f>
        <v>0</v>
      </c>
      <c r="O309" s="111">
        <f t="shared" si="60"/>
        <v>0</v>
      </c>
      <c r="P309" s="97"/>
      <c r="Q309" s="97"/>
    </row>
    <row r="310" spans="1:17" ht="25.9" hidden="1" customHeight="1" x14ac:dyDescent="0.2">
      <c r="A310" s="40"/>
      <c r="B310" s="113"/>
      <c r="C310" s="113">
        <v>992</v>
      </c>
      <c r="D310" s="133" t="s">
        <v>321</v>
      </c>
      <c r="E310" s="133">
        <v>1120121140</v>
      </c>
      <c r="F310" s="134">
        <v>400</v>
      </c>
      <c r="G310" s="111"/>
      <c r="H310" s="111">
        <f>SUM(H311)</f>
        <v>0</v>
      </c>
      <c r="I310" s="111">
        <f>SUM(H310)</f>
        <v>0</v>
      </c>
      <c r="J310" s="115"/>
      <c r="K310" s="111"/>
      <c r="L310" s="115"/>
      <c r="M310" s="111"/>
      <c r="N310" s="111">
        <f t="shared" si="60"/>
        <v>0</v>
      </c>
      <c r="O310" s="111">
        <f t="shared" si="60"/>
        <v>0</v>
      </c>
      <c r="P310" s="97"/>
      <c r="Q310" s="97"/>
    </row>
    <row r="311" spans="1:17" ht="31.5" x14ac:dyDescent="0.2">
      <c r="A311" s="40"/>
      <c r="B311" s="113" t="s">
        <v>225</v>
      </c>
      <c r="C311" s="113">
        <v>992</v>
      </c>
      <c r="D311" s="133" t="s">
        <v>321</v>
      </c>
      <c r="E311" s="133">
        <v>1120121140</v>
      </c>
      <c r="F311" s="134">
        <v>400</v>
      </c>
      <c r="G311" s="111">
        <v>0</v>
      </c>
      <c r="H311" s="111"/>
      <c r="I311" s="111">
        <f>SUM(G311:H311)</f>
        <v>0</v>
      </c>
      <c r="J311" s="115"/>
      <c r="K311" s="111"/>
      <c r="L311" s="115"/>
      <c r="M311" s="111">
        <f>SUM(G311)</f>
        <v>0</v>
      </c>
      <c r="N311" s="111">
        <f t="shared" si="60"/>
        <v>0</v>
      </c>
      <c r="O311" s="111">
        <f t="shared" si="60"/>
        <v>0</v>
      </c>
      <c r="P311" s="97"/>
      <c r="Q311" s="97"/>
    </row>
    <row r="312" spans="1:17" ht="15.75" x14ac:dyDescent="0.2">
      <c r="A312" s="40"/>
      <c r="B312" s="135" t="s">
        <v>350</v>
      </c>
      <c r="C312" s="113">
        <v>992</v>
      </c>
      <c r="D312" s="133" t="s">
        <v>321</v>
      </c>
      <c r="E312" s="133">
        <v>1130000000</v>
      </c>
      <c r="F312" s="134"/>
      <c r="G312" s="111">
        <f>SUM(G313)</f>
        <v>20154.5</v>
      </c>
      <c r="H312" s="111">
        <f>H313</f>
        <v>-4211.5</v>
      </c>
      <c r="I312" s="111">
        <f>SUM(I313)</f>
        <v>15943</v>
      </c>
      <c r="J312" s="115"/>
      <c r="K312" s="111">
        <f t="shared" ref="K312:M313" si="61">SUM(K313)</f>
        <v>5000</v>
      </c>
      <c r="L312" s="111">
        <f t="shared" si="61"/>
        <v>5000</v>
      </c>
      <c r="M312" s="111">
        <f t="shared" si="61"/>
        <v>20154.5</v>
      </c>
      <c r="N312" s="111">
        <f>SUM(H312)+K312</f>
        <v>788.5</v>
      </c>
      <c r="O312" s="111">
        <f>SUM(O313)</f>
        <v>20943</v>
      </c>
      <c r="P312" s="97"/>
      <c r="Q312" s="97"/>
    </row>
    <row r="313" spans="1:17" ht="47.25" x14ac:dyDescent="0.2">
      <c r="A313" s="40"/>
      <c r="B313" s="135" t="s">
        <v>351</v>
      </c>
      <c r="C313" s="113">
        <v>992</v>
      </c>
      <c r="D313" s="133" t="s">
        <v>321</v>
      </c>
      <c r="E313" s="133">
        <v>1130100000</v>
      </c>
      <c r="F313" s="134"/>
      <c r="G313" s="111">
        <f>SUM(G314)</f>
        <v>20154.5</v>
      </c>
      <c r="H313" s="111">
        <f>H314</f>
        <v>-4211.5</v>
      </c>
      <c r="I313" s="111">
        <f>SUM(I314)</f>
        <v>15943</v>
      </c>
      <c r="J313" s="115"/>
      <c r="K313" s="111">
        <f t="shared" si="61"/>
        <v>5000</v>
      </c>
      <c r="L313" s="111">
        <f t="shared" si="61"/>
        <v>5000</v>
      </c>
      <c r="M313" s="111">
        <f t="shared" si="61"/>
        <v>20154.5</v>
      </c>
      <c r="N313" s="111">
        <f>SUM(H313)+K313</f>
        <v>788.5</v>
      </c>
      <c r="O313" s="111">
        <f>SUM(O314)</f>
        <v>20943</v>
      </c>
      <c r="P313" s="97"/>
      <c r="Q313" s="97"/>
    </row>
    <row r="314" spans="1:17" ht="15.75" x14ac:dyDescent="0.2">
      <c r="A314" s="40"/>
      <c r="B314" s="135" t="s">
        <v>582</v>
      </c>
      <c r="C314" s="113">
        <v>992</v>
      </c>
      <c r="D314" s="133" t="s">
        <v>321</v>
      </c>
      <c r="E314" s="133">
        <v>1130121070</v>
      </c>
      <c r="F314" s="134"/>
      <c r="G314" s="111">
        <f>SUM(G316)+G315</f>
        <v>20154.5</v>
      </c>
      <c r="H314" s="111">
        <f>H315+H316</f>
        <v>-4211.5</v>
      </c>
      <c r="I314" s="111">
        <f>SUM(G314:H314)</f>
        <v>15943</v>
      </c>
      <c r="J314" s="115"/>
      <c r="K314" s="111">
        <v>5000</v>
      </c>
      <c r="L314" s="115">
        <f>SUM(K314)</f>
        <v>5000</v>
      </c>
      <c r="M314" s="111">
        <f>SUM(G314)</f>
        <v>20154.5</v>
      </c>
      <c r="N314" s="111">
        <f>N315+N316</f>
        <v>788.5</v>
      </c>
      <c r="O314" s="111">
        <f>SUM(I314)+L314</f>
        <v>20943</v>
      </c>
      <c r="P314" s="97"/>
      <c r="Q314" s="97"/>
    </row>
    <row r="315" spans="1:17" ht="31.5" x14ac:dyDescent="0.2">
      <c r="A315" s="40"/>
      <c r="B315" s="113" t="s">
        <v>40</v>
      </c>
      <c r="C315" s="113">
        <v>992</v>
      </c>
      <c r="D315" s="133" t="s">
        <v>321</v>
      </c>
      <c r="E315" s="133">
        <v>1130121070</v>
      </c>
      <c r="F315" s="134">
        <v>200</v>
      </c>
      <c r="G315" s="111">
        <v>18340.5</v>
      </c>
      <c r="H315" s="111">
        <f>-5000+788.5</f>
        <v>-4211.5</v>
      </c>
      <c r="I315" s="111">
        <f>SUM(G315:H315)</f>
        <v>14129</v>
      </c>
      <c r="J315" s="115"/>
      <c r="K315" s="111">
        <v>5000</v>
      </c>
      <c r="L315" s="115">
        <f>SUM(K315)</f>
        <v>5000</v>
      </c>
      <c r="M315" s="111">
        <f>SUM(G315)</f>
        <v>18340.5</v>
      </c>
      <c r="N315" s="111">
        <f>SUM(H315)+K315</f>
        <v>788.5</v>
      </c>
      <c r="O315" s="111">
        <f>SUM(I315)+L315</f>
        <v>19129</v>
      </c>
      <c r="P315" s="97"/>
      <c r="Q315" s="97"/>
    </row>
    <row r="316" spans="1:17" ht="31.5" x14ac:dyDescent="0.2">
      <c r="A316" s="40"/>
      <c r="B316" s="113" t="s">
        <v>225</v>
      </c>
      <c r="C316" s="113">
        <v>992</v>
      </c>
      <c r="D316" s="133" t="s">
        <v>321</v>
      </c>
      <c r="E316" s="136" t="s">
        <v>352</v>
      </c>
      <c r="F316" s="134">
        <v>400</v>
      </c>
      <c r="G316" s="111">
        <v>1814</v>
      </c>
      <c r="H316" s="111"/>
      <c r="I316" s="111">
        <v>1814</v>
      </c>
      <c r="J316" s="115"/>
      <c r="K316" s="109"/>
      <c r="L316" s="115"/>
      <c r="M316" s="111">
        <v>1964</v>
      </c>
      <c r="N316" s="111">
        <f>SUM(H316)</f>
        <v>0</v>
      </c>
      <c r="O316" s="111">
        <f>1964+N316</f>
        <v>1964</v>
      </c>
      <c r="P316" s="97"/>
      <c r="Q316" s="97"/>
    </row>
    <row r="317" spans="1:17" ht="15.75" x14ac:dyDescent="0.2">
      <c r="A317" s="33" t="s">
        <v>353</v>
      </c>
      <c r="B317" s="110" t="s">
        <v>354</v>
      </c>
      <c r="C317" s="110" t="s">
        <v>51</v>
      </c>
      <c r="D317" s="131" t="s">
        <v>355</v>
      </c>
      <c r="E317" s="131" t="s">
        <v>11</v>
      </c>
      <c r="F317" s="132" t="s">
        <v>11</v>
      </c>
      <c r="G317" s="109">
        <f>G318+G359+G366+G353+G373</f>
        <v>58256.5</v>
      </c>
      <c r="H317" s="111">
        <f>H318+Z320+H366+H352</f>
        <v>7432.1999999999989</v>
      </c>
      <c r="I317" s="109">
        <f>I318+I359+I366+I353+I373</f>
        <v>65688.700000000012</v>
      </c>
      <c r="J317" s="112">
        <f>J318+J359+J366+J353</f>
        <v>12561.8</v>
      </c>
      <c r="K317" s="111">
        <f>K318+K353+K359+K373+K366</f>
        <v>2495.4</v>
      </c>
      <c r="L317" s="111">
        <f>L318+L353+L359+L373+L366</f>
        <v>15057.2</v>
      </c>
      <c r="M317" s="109">
        <f>M318+M359+M366+M353+M373</f>
        <v>70818.3</v>
      </c>
      <c r="N317" s="111">
        <f>N318+AF320+N366+N359+N352</f>
        <v>9927.5999999999985</v>
      </c>
      <c r="O317" s="109">
        <f>O318+O359+O366+O353+O373</f>
        <v>80745.900000000009</v>
      </c>
      <c r="P317" s="97"/>
      <c r="Q317" s="97"/>
    </row>
    <row r="318" spans="1:17" ht="31.5" x14ac:dyDescent="0.2">
      <c r="A318" s="40"/>
      <c r="B318" s="113" t="s">
        <v>245</v>
      </c>
      <c r="C318" s="113" t="s">
        <v>51</v>
      </c>
      <c r="D318" s="133" t="s">
        <v>355</v>
      </c>
      <c r="E318" s="133" t="s">
        <v>246</v>
      </c>
      <c r="F318" s="134" t="s">
        <v>11</v>
      </c>
      <c r="G318" s="111">
        <f>G319+G347</f>
        <v>50519.200000000004</v>
      </c>
      <c r="H318" s="111">
        <f>H319+H347</f>
        <v>7257.6999999999989</v>
      </c>
      <c r="I318" s="111">
        <f>I319+I347</f>
        <v>57776.9</v>
      </c>
      <c r="J318" s="114">
        <f t="shared" ref="G318:O319" si="62">J319</f>
        <v>8661.7999999999993</v>
      </c>
      <c r="K318" s="111">
        <f t="shared" si="62"/>
        <v>2495.4</v>
      </c>
      <c r="L318" s="114">
        <f t="shared" si="62"/>
        <v>11157.2</v>
      </c>
      <c r="M318" s="111">
        <f>SUM(G318+J318)</f>
        <v>59181</v>
      </c>
      <c r="N318" s="111">
        <f>N319+N347</f>
        <v>9753.0999999999985</v>
      </c>
      <c r="O318" s="111">
        <f>O319+O347</f>
        <v>68934.100000000006</v>
      </c>
      <c r="P318" s="97"/>
      <c r="Q318" s="97"/>
    </row>
    <row r="319" spans="1:17" ht="15.75" x14ac:dyDescent="0.2">
      <c r="A319" s="40"/>
      <c r="B319" s="113" t="s">
        <v>356</v>
      </c>
      <c r="C319" s="113" t="s">
        <v>51</v>
      </c>
      <c r="D319" s="133" t="s">
        <v>355</v>
      </c>
      <c r="E319" s="133" t="s">
        <v>357</v>
      </c>
      <c r="F319" s="134" t="s">
        <v>11</v>
      </c>
      <c r="G319" s="111">
        <f t="shared" si="62"/>
        <v>48269.200000000004</v>
      </c>
      <c r="H319" s="111">
        <f t="shared" si="62"/>
        <v>6157.6999999999989</v>
      </c>
      <c r="I319" s="111">
        <f t="shared" si="62"/>
        <v>54426.9</v>
      </c>
      <c r="J319" s="114">
        <f t="shared" si="62"/>
        <v>8661.7999999999993</v>
      </c>
      <c r="K319" s="111">
        <f>K320+K322+K324+K326+K328+K334</f>
        <v>2495.4</v>
      </c>
      <c r="L319" s="114">
        <f t="shared" si="62"/>
        <v>11157.2</v>
      </c>
      <c r="M319" s="111">
        <f t="shared" si="62"/>
        <v>56931.000000000007</v>
      </c>
      <c r="N319" s="111">
        <f t="shared" si="62"/>
        <v>8653.0999999999985</v>
      </c>
      <c r="O319" s="111">
        <f t="shared" si="62"/>
        <v>65584.100000000006</v>
      </c>
      <c r="P319" s="97"/>
      <c r="Q319" s="97"/>
    </row>
    <row r="320" spans="1:17" ht="47.25" x14ac:dyDescent="0.2">
      <c r="A320" s="40"/>
      <c r="B320" s="113" t="s">
        <v>358</v>
      </c>
      <c r="C320" s="113" t="s">
        <v>51</v>
      </c>
      <c r="D320" s="133" t="s">
        <v>355</v>
      </c>
      <c r="E320" s="133" t="s">
        <v>359</v>
      </c>
      <c r="F320" s="134" t="s">
        <v>11</v>
      </c>
      <c r="G320" s="111">
        <f>G321+G323+G325+G327+G333+G335+G329+G345+G343+G341</f>
        <v>48269.200000000004</v>
      </c>
      <c r="H320" s="111">
        <f>H321+H323+H325+H327+H333+H335+H329+H345+H343+H341+H331</f>
        <v>6157.6999999999989</v>
      </c>
      <c r="I320" s="111">
        <f>I321+I323+I325+I327+I333+I335+I329+I345+I343+I341</f>
        <v>54426.9</v>
      </c>
      <c r="J320" s="114">
        <f>J321+J323+J325+J327+J329+J331+J333+J335+J341+J343+J345</f>
        <v>8661.7999999999993</v>
      </c>
      <c r="K320" s="111">
        <f>SUM(K345)+K341+K343+K331</f>
        <v>2495.4</v>
      </c>
      <c r="L320" s="114">
        <f>L321+L323+L325+L327+L329+L331+L333+L335+L341+L343+L345</f>
        <v>11157.2</v>
      </c>
      <c r="M320" s="114">
        <f t="shared" ref="M320:O320" si="63">M321+M323+M325+M327+M329+M331+M333+M335+M341+M343+M345</f>
        <v>56931.000000000007</v>
      </c>
      <c r="N320" s="114">
        <f>N321+N323+N325+N327+N329+N331+N333+N335+N341+N343+N345</f>
        <v>8653.0999999999985</v>
      </c>
      <c r="O320" s="114">
        <f t="shared" si="63"/>
        <v>65584.100000000006</v>
      </c>
      <c r="P320" s="97"/>
      <c r="Q320" s="97"/>
    </row>
    <row r="321" spans="1:17" ht="15.75" x14ac:dyDescent="0.2">
      <c r="A321" s="40"/>
      <c r="B321" s="113" t="s">
        <v>360</v>
      </c>
      <c r="C321" s="113" t="s">
        <v>51</v>
      </c>
      <c r="D321" s="133" t="s">
        <v>355</v>
      </c>
      <c r="E321" s="133" t="s">
        <v>361</v>
      </c>
      <c r="F321" s="134" t="s">
        <v>11</v>
      </c>
      <c r="G321" s="111">
        <f>G322</f>
        <v>19465.8</v>
      </c>
      <c r="H321" s="111">
        <f>H322</f>
        <v>2924.1</v>
      </c>
      <c r="I321" s="111">
        <f>I322</f>
        <v>22389.899999999998</v>
      </c>
      <c r="J321" s="114">
        <f>J322</f>
        <v>0</v>
      </c>
      <c r="K321" s="111"/>
      <c r="L321" s="114">
        <f>L322</f>
        <v>0</v>
      </c>
      <c r="M321" s="111">
        <f>M322</f>
        <v>19465.8</v>
      </c>
      <c r="N321" s="111">
        <f>N322</f>
        <v>2924.1</v>
      </c>
      <c r="O321" s="111">
        <f>O322</f>
        <v>22389.899999999998</v>
      </c>
      <c r="P321" s="97"/>
      <c r="Q321" s="97"/>
    </row>
    <row r="322" spans="1:17" ht="31.5" x14ac:dyDescent="0.2">
      <c r="A322" s="40"/>
      <c r="B322" s="113" t="s">
        <v>40</v>
      </c>
      <c r="C322" s="113" t="s">
        <v>51</v>
      </c>
      <c r="D322" s="133" t="s">
        <v>355</v>
      </c>
      <c r="E322" s="133" t="s">
        <v>361</v>
      </c>
      <c r="F322" s="134" t="s">
        <v>41</v>
      </c>
      <c r="G322" s="111">
        <v>19465.8</v>
      </c>
      <c r="H322" s="111">
        <f>1396.1+600+600+268+60</f>
        <v>2924.1</v>
      </c>
      <c r="I322" s="111">
        <f>SUM(G322)+H322</f>
        <v>22389.899999999998</v>
      </c>
      <c r="J322" s="115"/>
      <c r="K322" s="111"/>
      <c r="L322" s="115"/>
      <c r="M322" s="111">
        <f>SUM(G322)</f>
        <v>19465.8</v>
      </c>
      <c r="N322" s="111">
        <f>SUM(H322)+K322</f>
        <v>2924.1</v>
      </c>
      <c r="O322" s="111">
        <f>SUM(I322)</f>
        <v>22389.899999999998</v>
      </c>
      <c r="P322" s="97"/>
      <c r="Q322" s="97"/>
    </row>
    <row r="323" spans="1:17" ht="15.75" x14ac:dyDescent="0.2">
      <c r="A323" s="40"/>
      <c r="B323" s="113" t="s">
        <v>362</v>
      </c>
      <c r="C323" s="113" t="s">
        <v>51</v>
      </c>
      <c r="D323" s="133" t="s">
        <v>355</v>
      </c>
      <c r="E323" s="133" t="s">
        <v>363</v>
      </c>
      <c r="F323" s="134" t="s">
        <v>11</v>
      </c>
      <c r="G323" s="111">
        <f>G324</f>
        <v>10114.1</v>
      </c>
      <c r="H323" s="111">
        <f>H324</f>
        <v>3836.7</v>
      </c>
      <c r="I323" s="111">
        <f>I324</f>
        <v>13950.8</v>
      </c>
      <c r="J323" s="114">
        <f>J324</f>
        <v>75</v>
      </c>
      <c r="K323" s="111">
        <f>SUM(K324)</f>
        <v>0</v>
      </c>
      <c r="L323" s="114">
        <f>L324</f>
        <v>75</v>
      </c>
      <c r="M323" s="111">
        <f>M324</f>
        <v>10189.1</v>
      </c>
      <c r="N323" s="111">
        <f>N324</f>
        <v>3836.7</v>
      </c>
      <c r="O323" s="111">
        <f>O324</f>
        <v>14025.8</v>
      </c>
      <c r="P323" s="97"/>
      <c r="Q323" s="97"/>
    </row>
    <row r="324" spans="1:17" ht="31.5" x14ac:dyDescent="0.2">
      <c r="A324" s="40"/>
      <c r="B324" s="113" t="s">
        <v>40</v>
      </c>
      <c r="C324" s="113" t="s">
        <v>51</v>
      </c>
      <c r="D324" s="133" t="s">
        <v>355</v>
      </c>
      <c r="E324" s="133" t="s">
        <v>363</v>
      </c>
      <c r="F324" s="134" t="s">
        <v>41</v>
      </c>
      <c r="G324" s="111">
        <v>10114.1</v>
      </c>
      <c r="H324" s="111">
        <f>194+3642.7</f>
        <v>3836.7</v>
      </c>
      <c r="I324" s="111">
        <f>SUM(G324)+H324</f>
        <v>13950.8</v>
      </c>
      <c r="J324" s="115">
        <v>75</v>
      </c>
      <c r="K324" s="111"/>
      <c r="L324" s="111">
        <f>SUM(J324)</f>
        <v>75</v>
      </c>
      <c r="M324" s="111">
        <f>SUM(G324+J324)</f>
        <v>10189.1</v>
      </c>
      <c r="N324" s="111">
        <f>SUM(H324)+K324</f>
        <v>3836.7</v>
      </c>
      <c r="O324" s="111">
        <f>SUM(I324+L324)</f>
        <v>14025.8</v>
      </c>
      <c r="P324" s="97"/>
      <c r="Q324" s="97"/>
    </row>
    <row r="325" spans="1:17" ht="15.75" x14ac:dyDescent="0.2">
      <c r="A325" s="40"/>
      <c r="B325" s="113" t="s">
        <v>364</v>
      </c>
      <c r="C325" s="113" t="s">
        <v>51</v>
      </c>
      <c r="D325" s="133" t="s">
        <v>355</v>
      </c>
      <c r="E325" s="133" t="s">
        <v>365</v>
      </c>
      <c r="F325" s="134" t="s">
        <v>11</v>
      </c>
      <c r="G325" s="111">
        <f>G326</f>
        <v>2818.5</v>
      </c>
      <c r="H325" s="111">
        <v>-45.6</v>
      </c>
      <c r="I325" s="111">
        <f>I326</f>
        <v>2772.9</v>
      </c>
      <c r="J325" s="114">
        <f>J326</f>
        <v>0</v>
      </c>
      <c r="K325" s="111"/>
      <c r="L325" s="114">
        <f>L326</f>
        <v>0</v>
      </c>
      <c r="M325" s="111">
        <f>M326</f>
        <v>2818.5</v>
      </c>
      <c r="N325" s="111">
        <f>N326</f>
        <v>-45.6</v>
      </c>
      <c r="O325" s="111">
        <f>O326</f>
        <v>2772.9</v>
      </c>
      <c r="P325" s="97"/>
      <c r="Q325" s="97"/>
    </row>
    <row r="326" spans="1:17" ht="31.5" x14ac:dyDescent="0.2">
      <c r="A326" s="40"/>
      <c r="B326" s="113" t="s">
        <v>40</v>
      </c>
      <c r="C326" s="113" t="s">
        <v>51</v>
      </c>
      <c r="D326" s="133" t="s">
        <v>355</v>
      </c>
      <c r="E326" s="133" t="s">
        <v>365</v>
      </c>
      <c r="F326" s="134" t="s">
        <v>41</v>
      </c>
      <c r="G326" s="111">
        <v>2818.5</v>
      </c>
      <c r="H326" s="111">
        <v>-45.6</v>
      </c>
      <c r="I326" s="111">
        <f>2818.5+H326</f>
        <v>2772.9</v>
      </c>
      <c r="J326" s="115"/>
      <c r="K326" s="111"/>
      <c r="L326" s="115"/>
      <c r="M326" s="111">
        <f>SUM(G326)</f>
        <v>2818.5</v>
      </c>
      <c r="N326" s="111">
        <f>SUM(H326)</f>
        <v>-45.6</v>
      </c>
      <c r="O326" s="111">
        <f>SUM(I326)</f>
        <v>2772.9</v>
      </c>
      <c r="P326" s="97"/>
      <c r="Q326" s="97"/>
    </row>
    <row r="327" spans="1:17" ht="15.75" x14ac:dyDescent="0.2">
      <c r="A327" s="40"/>
      <c r="B327" s="113" t="s">
        <v>366</v>
      </c>
      <c r="C327" s="113" t="s">
        <v>51</v>
      </c>
      <c r="D327" s="133" t="s">
        <v>355</v>
      </c>
      <c r="E327" s="133" t="s">
        <v>367</v>
      </c>
      <c r="F327" s="134" t="s">
        <v>11</v>
      </c>
      <c r="G327" s="111">
        <f>G328</f>
        <v>2161.8000000000002</v>
      </c>
      <c r="H327" s="111">
        <f>H328</f>
        <v>1108.1999999999998</v>
      </c>
      <c r="I327" s="111">
        <f>I328</f>
        <v>3270</v>
      </c>
      <c r="J327" s="114">
        <f>J328</f>
        <v>0</v>
      </c>
      <c r="K327" s="111"/>
      <c r="L327" s="114">
        <f>L328</f>
        <v>0</v>
      </c>
      <c r="M327" s="111">
        <f>M328</f>
        <v>2161.8000000000002</v>
      </c>
      <c r="N327" s="111">
        <f>N328</f>
        <v>1108.1999999999998</v>
      </c>
      <c r="O327" s="111">
        <f>O328</f>
        <v>3270</v>
      </c>
      <c r="P327" s="97"/>
      <c r="Q327" s="97"/>
    </row>
    <row r="328" spans="1:17" ht="31.5" x14ac:dyDescent="0.2">
      <c r="A328" s="40"/>
      <c r="B328" s="113" t="s">
        <v>40</v>
      </c>
      <c r="C328" s="113" t="s">
        <v>51</v>
      </c>
      <c r="D328" s="133" t="s">
        <v>355</v>
      </c>
      <c r="E328" s="133" t="s">
        <v>367</v>
      </c>
      <c r="F328" s="134" t="s">
        <v>41</v>
      </c>
      <c r="G328" s="111">
        <v>2161.8000000000002</v>
      </c>
      <c r="H328" s="111">
        <f>500+180+45.6+425+457.6-45.6-500+45.6</f>
        <v>1108.1999999999998</v>
      </c>
      <c r="I328" s="111">
        <f>SUM(G328)+H328</f>
        <v>3270</v>
      </c>
      <c r="J328" s="115"/>
      <c r="K328" s="111"/>
      <c r="L328" s="115"/>
      <c r="M328" s="111">
        <f t="shared" ref="M328:O330" si="64">SUM(G328)</f>
        <v>2161.8000000000002</v>
      </c>
      <c r="N328" s="111">
        <f t="shared" si="64"/>
        <v>1108.1999999999998</v>
      </c>
      <c r="O328" s="111">
        <f t="shared" si="64"/>
        <v>3270</v>
      </c>
      <c r="P328" s="97"/>
      <c r="Q328" s="97"/>
    </row>
    <row r="329" spans="1:17" ht="31.5" x14ac:dyDescent="0.2">
      <c r="A329" s="40"/>
      <c r="B329" s="135" t="s">
        <v>368</v>
      </c>
      <c r="C329" s="113">
        <v>992</v>
      </c>
      <c r="D329" s="133" t="s">
        <v>355</v>
      </c>
      <c r="E329" s="136" t="s">
        <v>369</v>
      </c>
      <c r="F329" s="134"/>
      <c r="G329" s="111">
        <v>583.6</v>
      </c>
      <c r="H329" s="111"/>
      <c r="I329" s="111">
        <f>SUM(G329)+H329</f>
        <v>583.6</v>
      </c>
      <c r="J329" s="115"/>
      <c r="K329" s="111"/>
      <c r="L329" s="115"/>
      <c r="M329" s="111">
        <f t="shared" si="64"/>
        <v>583.6</v>
      </c>
      <c r="N329" s="111">
        <f t="shared" si="64"/>
        <v>0</v>
      </c>
      <c r="O329" s="111">
        <f t="shared" si="64"/>
        <v>583.6</v>
      </c>
      <c r="P329" s="97"/>
      <c r="Q329" s="97"/>
    </row>
    <row r="330" spans="1:17" ht="31.5" x14ac:dyDescent="0.2">
      <c r="A330" s="40"/>
      <c r="B330" s="113" t="s">
        <v>40</v>
      </c>
      <c r="C330" s="113">
        <v>992</v>
      </c>
      <c r="D330" s="133" t="s">
        <v>355</v>
      </c>
      <c r="E330" s="136" t="s">
        <v>369</v>
      </c>
      <c r="F330" s="134">
        <v>200</v>
      </c>
      <c r="G330" s="111">
        <v>583.6</v>
      </c>
      <c r="H330" s="111"/>
      <c r="I330" s="111">
        <f>SUM(G330)+H330</f>
        <v>583.6</v>
      </c>
      <c r="J330" s="115"/>
      <c r="K330" s="111"/>
      <c r="L330" s="115"/>
      <c r="M330" s="111">
        <f t="shared" si="64"/>
        <v>583.6</v>
      </c>
      <c r="N330" s="111">
        <f t="shared" si="64"/>
        <v>0</v>
      </c>
      <c r="O330" s="111">
        <f t="shared" si="64"/>
        <v>583.6</v>
      </c>
      <c r="P330" s="97"/>
      <c r="Q330" s="97"/>
    </row>
    <row r="331" spans="1:17" ht="31.5" x14ac:dyDescent="0.2">
      <c r="A331" s="40"/>
      <c r="B331" s="118" t="s">
        <v>585</v>
      </c>
      <c r="C331" s="118" t="s">
        <v>51</v>
      </c>
      <c r="D331" s="136" t="s">
        <v>355</v>
      </c>
      <c r="E331" s="136" t="s">
        <v>584</v>
      </c>
      <c r="F331" s="141"/>
      <c r="G331" s="111"/>
      <c r="H331" s="111">
        <f t="shared" ref="H331:O331" si="65">H332</f>
        <v>0</v>
      </c>
      <c r="I331" s="111">
        <f t="shared" si="65"/>
        <v>0</v>
      </c>
      <c r="J331" s="115">
        <f t="shared" si="65"/>
        <v>3070</v>
      </c>
      <c r="K331" s="111">
        <f t="shared" si="65"/>
        <v>0</v>
      </c>
      <c r="L331" s="115">
        <f t="shared" si="65"/>
        <v>3070</v>
      </c>
      <c r="M331" s="111">
        <f t="shared" si="65"/>
        <v>3070</v>
      </c>
      <c r="N331" s="111">
        <f t="shared" si="65"/>
        <v>0</v>
      </c>
      <c r="O331" s="111">
        <f t="shared" si="65"/>
        <v>3070</v>
      </c>
      <c r="P331" s="97"/>
      <c r="Q331" s="97"/>
    </row>
    <row r="332" spans="1:17" ht="31.5" x14ac:dyDescent="0.2">
      <c r="A332" s="40"/>
      <c r="B332" s="113" t="s">
        <v>40</v>
      </c>
      <c r="C332" s="118" t="s">
        <v>51</v>
      </c>
      <c r="D332" s="136" t="s">
        <v>355</v>
      </c>
      <c r="E332" s="136" t="s">
        <v>584</v>
      </c>
      <c r="F332" s="141" t="s">
        <v>41</v>
      </c>
      <c r="G332" s="111"/>
      <c r="H332" s="111"/>
      <c r="I332" s="111">
        <f>SUM(G332:H332)</f>
        <v>0</v>
      </c>
      <c r="J332" s="115">
        <v>3070</v>
      </c>
      <c r="K332" s="111"/>
      <c r="L332" s="115">
        <f>SUM(J332:K332)</f>
        <v>3070</v>
      </c>
      <c r="M332" s="111">
        <f>G332+J332</f>
        <v>3070</v>
      </c>
      <c r="N332" s="111">
        <f>H332+K332</f>
        <v>0</v>
      </c>
      <c r="O332" s="111">
        <f>I332+L332</f>
        <v>3070</v>
      </c>
      <c r="P332" s="97"/>
      <c r="Q332" s="97"/>
    </row>
    <row r="333" spans="1:17" ht="31.5" x14ac:dyDescent="0.2">
      <c r="A333" s="40"/>
      <c r="B333" s="113" t="s">
        <v>370</v>
      </c>
      <c r="C333" s="113" t="s">
        <v>51</v>
      </c>
      <c r="D333" s="133" t="s">
        <v>355</v>
      </c>
      <c r="E333" s="133" t="s">
        <v>371</v>
      </c>
      <c r="F333" s="134" t="s">
        <v>11</v>
      </c>
      <c r="G333" s="111">
        <f>G334</f>
        <v>4252.3999999999996</v>
      </c>
      <c r="H333" s="111">
        <f>SUM(H334)</f>
        <v>0</v>
      </c>
      <c r="I333" s="111">
        <f>I334</f>
        <v>4252.3999999999996</v>
      </c>
      <c r="J333" s="114">
        <f>J334</f>
        <v>0</v>
      </c>
      <c r="K333" s="111"/>
      <c r="L333" s="114">
        <f>L334</f>
        <v>0</v>
      </c>
      <c r="M333" s="111">
        <f>M334</f>
        <v>4252.3999999999996</v>
      </c>
      <c r="N333" s="111">
        <f>N334</f>
        <v>0</v>
      </c>
      <c r="O333" s="111">
        <f>O334</f>
        <v>4252.3999999999996</v>
      </c>
      <c r="P333" s="97"/>
      <c r="Q333" s="97"/>
    </row>
    <row r="334" spans="1:17" ht="31.5" x14ac:dyDescent="0.2">
      <c r="A334" s="40"/>
      <c r="B334" s="113" t="s">
        <v>40</v>
      </c>
      <c r="C334" s="113" t="s">
        <v>51</v>
      </c>
      <c r="D334" s="133" t="s">
        <v>355</v>
      </c>
      <c r="E334" s="133" t="s">
        <v>371</v>
      </c>
      <c r="F334" s="134" t="s">
        <v>41</v>
      </c>
      <c r="G334" s="111">
        <v>4252.3999999999996</v>
      </c>
      <c r="H334" s="111"/>
      <c r="I334" s="111">
        <f>H334+G334</f>
        <v>4252.3999999999996</v>
      </c>
      <c r="J334" s="115"/>
      <c r="K334" s="111"/>
      <c r="L334" s="115"/>
      <c r="M334" s="111">
        <f>SUM(G334)</f>
        <v>4252.3999999999996</v>
      </c>
      <c r="N334" s="111">
        <f>SUM(H334)</f>
        <v>0</v>
      </c>
      <c r="O334" s="111">
        <f>SUM(I334)</f>
        <v>4252.3999999999996</v>
      </c>
      <c r="P334" s="97"/>
      <c r="Q334" s="97"/>
    </row>
    <row r="335" spans="1:17" ht="47.25" x14ac:dyDescent="0.2">
      <c r="A335" s="40"/>
      <c r="B335" s="113" t="s">
        <v>372</v>
      </c>
      <c r="C335" s="113" t="s">
        <v>51</v>
      </c>
      <c r="D335" s="133" t="s">
        <v>355</v>
      </c>
      <c r="E335" s="133" t="s">
        <v>373</v>
      </c>
      <c r="F335" s="134" t="s">
        <v>11</v>
      </c>
      <c r="G335" s="111">
        <f>G336</f>
        <v>6311.2</v>
      </c>
      <c r="H335" s="111">
        <f>SUM(H336)</f>
        <v>829.7</v>
      </c>
      <c r="I335" s="111">
        <f>I336</f>
        <v>7140.9</v>
      </c>
      <c r="J335" s="114">
        <f>J336</f>
        <v>0</v>
      </c>
      <c r="K335" s="111">
        <f>SUM(K336)</f>
        <v>0</v>
      </c>
      <c r="L335" s="114">
        <f>L336</f>
        <v>0</v>
      </c>
      <c r="M335" s="111">
        <f>M336</f>
        <v>6311.2</v>
      </c>
      <c r="N335" s="111">
        <f>N336</f>
        <v>829.7</v>
      </c>
      <c r="O335" s="111">
        <f>SUM(M335+N335)</f>
        <v>7140.9</v>
      </c>
      <c r="P335" s="97"/>
      <c r="Q335" s="97"/>
    </row>
    <row r="336" spans="1:17" ht="35.25" customHeight="1" x14ac:dyDescent="0.2">
      <c r="A336" s="40"/>
      <c r="B336" s="113" t="s">
        <v>40</v>
      </c>
      <c r="C336" s="113" t="s">
        <v>51</v>
      </c>
      <c r="D336" s="133" t="s">
        <v>355</v>
      </c>
      <c r="E336" s="133" t="s">
        <v>373</v>
      </c>
      <c r="F336" s="134" t="s">
        <v>41</v>
      </c>
      <c r="G336" s="111">
        <v>6311.2</v>
      </c>
      <c r="H336" s="111">
        <f>329.7+500</f>
        <v>829.7</v>
      </c>
      <c r="I336" s="111">
        <f>SUM(G336)+H336</f>
        <v>7140.9</v>
      </c>
      <c r="J336" s="115">
        <v>0</v>
      </c>
      <c r="K336" s="111"/>
      <c r="L336" s="115">
        <f>SUM(K336)</f>
        <v>0</v>
      </c>
      <c r="M336" s="111">
        <f>SUM(G336)</f>
        <v>6311.2</v>
      </c>
      <c r="N336" s="111">
        <f>SUM(H336)</f>
        <v>829.7</v>
      </c>
      <c r="O336" s="111">
        <f>SUM(I336)</f>
        <v>7140.9</v>
      </c>
      <c r="P336" s="97"/>
      <c r="Q336" s="97"/>
    </row>
    <row r="337" spans="1:17" ht="15.75" hidden="1" x14ac:dyDescent="0.2">
      <c r="A337" s="40"/>
      <c r="B337" s="113"/>
      <c r="C337" s="113"/>
      <c r="D337" s="133"/>
      <c r="E337" s="133"/>
      <c r="F337" s="134"/>
      <c r="G337" s="111"/>
      <c r="H337" s="111"/>
      <c r="I337" s="111"/>
      <c r="J337" s="115"/>
      <c r="K337" s="111">
        <v>4251.8</v>
      </c>
      <c r="L337" s="121">
        <f>SUM(K337)</f>
        <v>4251.8</v>
      </c>
      <c r="M337" s="111"/>
      <c r="N337" s="111">
        <f t="shared" ref="N337:O340" si="66">SUM(K337)</f>
        <v>4251.8</v>
      </c>
      <c r="O337" s="111">
        <f t="shared" si="66"/>
        <v>4251.8</v>
      </c>
      <c r="P337" s="97"/>
      <c r="Q337" s="97"/>
    </row>
    <row r="338" spans="1:17" ht="15.75" hidden="1" x14ac:dyDescent="0.2">
      <c r="A338" s="40"/>
      <c r="B338" s="113"/>
      <c r="C338" s="113"/>
      <c r="D338" s="133"/>
      <c r="E338" s="133"/>
      <c r="F338" s="134">
        <v>200</v>
      </c>
      <c r="G338" s="111"/>
      <c r="H338" s="111"/>
      <c r="I338" s="111"/>
      <c r="J338" s="115"/>
      <c r="K338" s="111">
        <v>4251.8</v>
      </c>
      <c r="L338" s="121">
        <f>SUM(K338)</f>
        <v>4251.8</v>
      </c>
      <c r="M338" s="111"/>
      <c r="N338" s="111">
        <f t="shared" si="66"/>
        <v>4251.8</v>
      </c>
      <c r="O338" s="111">
        <f t="shared" si="66"/>
        <v>4251.8</v>
      </c>
      <c r="P338" s="97"/>
      <c r="Q338" s="97"/>
    </row>
    <row r="339" spans="1:17" ht="15.75" hidden="1" x14ac:dyDescent="0.2">
      <c r="A339" s="40"/>
      <c r="B339" s="113"/>
      <c r="C339" s="113"/>
      <c r="D339" s="133"/>
      <c r="E339" s="133"/>
      <c r="F339" s="134"/>
      <c r="G339" s="111"/>
      <c r="H339" s="111"/>
      <c r="I339" s="111"/>
      <c r="J339" s="115"/>
      <c r="K339" s="111">
        <v>5</v>
      </c>
      <c r="L339" s="121">
        <f>SUM(K339)</f>
        <v>5</v>
      </c>
      <c r="M339" s="111"/>
      <c r="N339" s="111">
        <f t="shared" si="66"/>
        <v>5</v>
      </c>
      <c r="O339" s="111">
        <f t="shared" si="66"/>
        <v>5</v>
      </c>
      <c r="P339" s="97"/>
      <c r="Q339" s="97"/>
    </row>
    <row r="340" spans="1:17" ht="15.75" hidden="1" x14ac:dyDescent="0.2">
      <c r="A340" s="40"/>
      <c r="B340" s="113"/>
      <c r="C340" s="113"/>
      <c r="D340" s="133"/>
      <c r="E340" s="133"/>
      <c r="F340" s="134">
        <v>200</v>
      </c>
      <c r="G340" s="111"/>
      <c r="H340" s="111"/>
      <c r="I340" s="111"/>
      <c r="J340" s="115"/>
      <c r="K340" s="111">
        <v>5</v>
      </c>
      <c r="L340" s="121">
        <f>SUM(K340)</f>
        <v>5</v>
      </c>
      <c r="M340" s="111"/>
      <c r="N340" s="111">
        <f t="shared" si="66"/>
        <v>5</v>
      </c>
      <c r="O340" s="111">
        <f t="shared" si="66"/>
        <v>5</v>
      </c>
      <c r="P340" s="97"/>
      <c r="Q340" s="97"/>
    </row>
    <row r="341" spans="1:17" ht="63" x14ac:dyDescent="0.2">
      <c r="A341" s="40"/>
      <c r="B341" s="135" t="s">
        <v>572</v>
      </c>
      <c r="C341" s="113">
        <v>992</v>
      </c>
      <c r="D341" s="133" t="s">
        <v>355</v>
      </c>
      <c r="E341" s="136" t="s">
        <v>573</v>
      </c>
      <c r="F341" s="134"/>
      <c r="G341" s="111">
        <v>2495.4</v>
      </c>
      <c r="H341" s="111">
        <f>SUM(H342)</f>
        <v>-2495.4</v>
      </c>
      <c r="I341" s="111">
        <f>2495.4+H341</f>
        <v>0</v>
      </c>
      <c r="J341" s="115">
        <v>5</v>
      </c>
      <c r="K341" s="111">
        <f>SUM(K342)</f>
        <v>2495.4</v>
      </c>
      <c r="L341" s="111">
        <f>SUM(L342)</f>
        <v>2500.4</v>
      </c>
      <c r="M341" s="111">
        <f>SUM(G341+J341)</f>
        <v>2500.4</v>
      </c>
      <c r="N341" s="111">
        <f t="shared" ref="N341:O344" si="67">SUM(K341)+H341</f>
        <v>0</v>
      </c>
      <c r="O341" s="111">
        <f t="shared" si="67"/>
        <v>2500.4</v>
      </c>
      <c r="P341" s="97"/>
      <c r="Q341" s="97"/>
    </row>
    <row r="342" spans="1:17" ht="31.5" x14ac:dyDescent="0.2">
      <c r="A342" s="40"/>
      <c r="B342" s="113" t="s">
        <v>40</v>
      </c>
      <c r="C342" s="113">
        <v>992</v>
      </c>
      <c r="D342" s="133" t="s">
        <v>355</v>
      </c>
      <c r="E342" s="136" t="s">
        <v>573</v>
      </c>
      <c r="F342" s="134">
        <v>200</v>
      </c>
      <c r="G342" s="111">
        <v>2495.4</v>
      </c>
      <c r="H342" s="111">
        <v>-2495.4</v>
      </c>
      <c r="I342" s="111">
        <f>2495.4+H342</f>
        <v>0</v>
      </c>
      <c r="J342" s="115">
        <v>5</v>
      </c>
      <c r="K342" s="111">
        <v>2495.4</v>
      </c>
      <c r="L342" s="121">
        <f>5+K342</f>
        <v>2500.4</v>
      </c>
      <c r="M342" s="111">
        <f>SUM(G342+J342)</f>
        <v>2500.4</v>
      </c>
      <c r="N342" s="111">
        <f t="shared" si="67"/>
        <v>0</v>
      </c>
      <c r="O342" s="111">
        <f t="shared" si="67"/>
        <v>2500.4</v>
      </c>
      <c r="P342" s="97"/>
      <c r="Q342" s="97"/>
    </row>
    <row r="343" spans="1:17" ht="31.5" x14ac:dyDescent="0.2">
      <c r="A343" s="40"/>
      <c r="B343" s="113" t="s">
        <v>575</v>
      </c>
      <c r="C343" s="113">
        <v>992</v>
      </c>
      <c r="D343" s="133" t="s">
        <v>355</v>
      </c>
      <c r="E343" s="136" t="s">
        <v>574</v>
      </c>
      <c r="F343" s="134"/>
      <c r="G343" s="111"/>
      <c r="H343" s="111"/>
      <c r="I343" s="111">
        <f>SUM(H343)</f>
        <v>0</v>
      </c>
      <c r="J343" s="115">
        <v>4251.8</v>
      </c>
      <c r="K343" s="111"/>
      <c r="L343" s="121">
        <f>SUM(J343)</f>
        <v>4251.8</v>
      </c>
      <c r="M343" s="111">
        <f>SUM(J343)</f>
        <v>4251.8</v>
      </c>
      <c r="N343" s="111">
        <f t="shared" si="67"/>
        <v>0</v>
      </c>
      <c r="O343" s="111">
        <f t="shared" si="67"/>
        <v>4251.8</v>
      </c>
      <c r="P343" s="97"/>
      <c r="Q343" s="97"/>
    </row>
    <row r="344" spans="1:17" ht="31.5" x14ac:dyDescent="0.2">
      <c r="A344" s="40"/>
      <c r="B344" s="113" t="s">
        <v>40</v>
      </c>
      <c r="C344" s="113">
        <v>992</v>
      </c>
      <c r="D344" s="133" t="s">
        <v>355</v>
      </c>
      <c r="E344" s="136" t="s">
        <v>574</v>
      </c>
      <c r="F344" s="134">
        <v>200</v>
      </c>
      <c r="G344" s="111"/>
      <c r="H344" s="111"/>
      <c r="I344" s="111">
        <f>SUM(H344)</f>
        <v>0</v>
      </c>
      <c r="J344" s="115">
        <v>4251.8</v>
      </c>
      <c r="K344" s="111"/>
      <c r="L344" s="121">
        <f>SUM(J344)</f>
        <v>4251.8</v>
      </c>
      <c r="M344" s="111">
        <f>SUM(J344)</f>
        <v>4251.8</v>
      </c>
      <c r="N344" s="111">
        <f t="shared" si="67"/>
        <v>0</v>
      </c>
      <c r="O344" s="111">
        <f t="shared" si="67"/>
        <v>4251.8</v>
      </c>
      <c r="P344" s="97"/>
      <c r="Q344" s="97"/>
    </row>
    <row r="345" spans="1:17" ht="148.5" customHeight="1" x14ac:dyDescent="0.2">
      <c r="A345" s="40"/>
      <c r="B345" s="135" t="s">
        <v>598</v>
      </c>
      <c r="C345" s="113">
        <v>992</v>
      </c>
      <c r="D345" s="136" t="s">
        <v>355</v>
      </c>
      <c r="E345" s="133" t="s">
        <v>550</v>
      </c>
      <c r="F345" s="134"/>
      <c r="G345" s="111">
        <f>SUM(G346)</f>
        <v>66.400000000000006</v>
      </c>
      <c r="H345" s="111">
        <f>SUM(H346)</f>
        <v>0</v>
      </c>
      <c r="I345" s="111">
        <f>SUM(G345)</f>
        <v>66.400000000000006</v>
      </c>
      <c r="J345" s="115">
        <f>SUM(J346)</f>
        <v>1260</v>
      </c>
      <c r="K345" s="111">
        <f>SUM(K346)</f>
        <v>0</v>
      </c>
      <c r="L345" s="111">
        <f>SUM(L346)</f>
        <v>1260</v>
      </c>
      <c r="M345" s="111">
        <f t="shared" ref="M345:O346" si="68">SUM(G345+J345)</f>
        <v>1326.4</v>
      </c>
      <c r="N345" s="111">
        <f t="shared" si="68"/>
        <v>0</v>
      </c>
      <c r="O345" s="111">
        <f t="shared" si="68"/>
        <v>1326.4</v>
      </c>
      <c r="P345" s="97"/>
      <c r="Q345" s="97"/>
    </row>
    <row r="346" spans="1:17" ht="31.5" x14ac:dyDescent="0.2">
      <c r="A346" s="40"/>
      <c r="B346" s="113" t="s">
        <v>40</v>
      </c>
      <c r="C346" s="113">
        <v>992</v>
      </c>
      <c r="D346" s="133" t="s">
        <v>355</v>
      </c>
      <c r="E346" s="133" t="s">
        <v>550</v>
      </c>
      <c r="F346" s="134">
        <v>200</v>
      </c>
      <c r="G346" s="111">
        <v>66.400000000000006</v>
      </c>
      <c r="H346" s="111">
        <f>SUM(H349)</f>
        <v>0</v>
      </c>
      <c r="I346" s="111">
        <f>SUM(G346)</f>
        <v>66.400000000000006</v>
      </c>
      <c r="J346" s="115">
        <v>1260</v>
      </c>
      <c r="K346" s="111"/>
      <c r="L346" s="115">
        <f>SUM(J346)</f>
        <v>1260</v>
      </c>
      <c r="M346" s="111">
        <f t="shared" si="68"/>
        <v>1326.4</v>
      </c>
      <c r="N346" s="111">
        <f t="shared" si="68"/>
        <v>0</v>
      </c>
      <c r="O346" s="111">
        <f t="shared" si="68"/>
        <v>1326.4</v>
      </c>
      <c r="P346" s="97"/>
      <c r="Q346" s="97"/>
    </row>
    <row r="347" spans="1:17" ht="15.75" x14ac:dyDescent="0.2">
      <c r="A347" s="40"/>
      <c r="B347" s="140" t="s">
        <v>247</v>
      </c>
      <c r="C347" s="113">
        <v>992</v>
      </c>
      <c r="D347" s="133" t="s">
        <v>355</v>
      </c>
      <c r="E347" s="136" t="s">
        <v>248</v>
      </c>
      <c r="F347" s="134"/>
      <c r="G347" s="111">
        <f>SUM(G350)</f>
        <v>2250</v>
      </c>
      <c r="H347" s="111">
        <f>SUM(H348)</f>
        <v>1100</v>
      </c>
      <c r="I347" s="111">
        <f>2250+H347</f>
        <v>3350</v>
      </c>
      <c r="J347" s="115"/>
      <c r="K347" s="111"/>
      <c r="L347" s="115"/>
      <c r="M347" s="111">
        <f t="shared" ref="M347:O348" si="69">SUM(G347)</f>
        <v>2250</v>
      </c>
      <c r="N347" s="111">
        <f t="shared" si="69"/>
        <v>1100</v>
      </c>
      <c r="O347" s="111">
        <f t="shared" si="69"/>
        <v>3350</v>
      </c>
      <c r="P347" s="97"/>
      <c r="Q347" s="97"/>
    </row>
    <row r="348" spans="1:17" ht="63" x14ac:dyDescent="0.2">
      <c r="A348" s="40"/>
      <c r="B348" s="140" t="s">
        <v>569</v>
      </c>
      <c r="C348" s="113">
        <v>992</v>
      </c>
      <c r="D348" s="133" t="s">
        <v>355</v>
      </c>
      <c r="E348" s="136" t="s">
        <v>567</v>
      </c>
      <c r="F348" s="134"/>
      <c r="G348" s="111">
        <f>SUM(G350)</f>
        <v>2250</v>
      </c>
      <c r="H348" s="111">
        <f>SUM(H350)</f>
        <v>1100</v>
      </c>
      <c r="I348" s="111">
        <f>2250+H348</f>
        <v>3350</v>
      </c>
      <c r="J348" s="115"/>
      <c r="K348" s="111"/>
      <c r="L348" s="115"/>
      <c r="M348" s="111">
        <f t="shared" si="69"/>
        <v>2250</v>
      </c>
      <c r="N348" s="111">
        <f t="shared" si="69"/>
        <v>1100</v>
      </c>
      <c r="O348" s="111">
        <f t="shared" si="69"/>
        <v>3350</v>
      </c>
      <c r="P348" s="97"/>
      <c r="Q348" s="97"/>
    </row>
    <row r="349" spans="1:17" ht="0.75" customHeight="1" x14ac:dyDescent="0.2">
      <c r="A349" s="40"/>
      <c r="B349" s="140"/>
      <c r="C349" s="113"/>
      <c r="D349" s="133"/>
      <c r="E349" s="136"/>
      <c r="F349" s="134"/>
      <c r="G349" s="111"/>
      <c r="H349" s="111"/>
      <c r="I349" s="111"/>
      <c r="J349" s="115"/>
      <c r="K349" s="111"/>
      <c r="L349" s="115"/>
      <c r="M349" s="111"/>
      <c r="N349" s="111"/>
      <c r="O349" s="111"/>
      <c r="P349" s="97"/>
      <c r="Q349" s="97"/>
    </row>
    <row r="350" spans="1:17" ht="47.25" x14ac:dyDescent="0.2">
      <c r="A350" s="40"/>
      <c r="B350" s="96" t="s">
        <v>570</v>
      </c>
      <c r="C350" s="113">
        <v>992</v>
      </c>
      <c r="D350" s="133" t="s">
        <v>355</v>
      </c>
      <c r="E350" s="136" t="s">
        <v>568</v>
      </c>
      <c r="F350" s="134"/>
      <c r="G350" s="111">
        <f>SUM(G351)</f>
        <v>2250</v>
      </c>
      <c r="H350" s="111">
        <f>SUM(H351)</f>
        <v>1100</v>
      </c>
      <c r="I350" s="111">
        <f>SUM(G350)+H350</f>
        <v>3350</v>
      </c>
      <c r="J350" s="115"/>
      <c r="K350" s="111"/>
      <c r="L350" s="115"/>
      <c r="M350" s="111">
        <f t="shared" ref="M350:O351" si="70">SUM(G350)</f>
        <v>2250</v>
      </c>
      <c r="N350" s="111">
        <f t="shared" si="70"/>
        <v>1100</v>
      </c>
      <c r="O350" s="111">
        <f t="shared" si="70"/>
        <v>3350</v>
      </c>
      <c r="P350" s="97"/>
      <c r="Q350" s="97"/>
    </row>
    <row r="351" spans="1:17" ht="27" customHeight="1" x14ac:dyDescent="0.2">
      <c r="A351" s="40"/>
      <c r="B351" s="113" t="s">
        <v>70</v>
      </c>
      <c r="C351" s="113">
        <v>992</v>
      </c>
      <c r="D351" s="133" t="s">
        <v>355</v>
      </c>
      <c r="E351" s="136" t="s">
        <v>568</v>
      </c>
      <c r="F351" s="134">
        <v>800</v>
      </c>
      <c r="G351" s="111">
        <v>2250</v>
      </c>
      <c r="H351" s="111">
        <f>909+191</f>
        <v>1100</v>
      </c>
      <c r="I351" s="111">
        <f>SUM(G351)+H351</f>
        <v>3350</v>
      </c>
      <c r="J351" s="115"/>
      <c r="K351" s="111"/>
      <c r="L351" s="115"/>
      <c r="M351" s="111">
        <f t="shared" si="70"/>
        <v>2250</v>
      </c>
      <c r="N351" s="111">
        <f t="shared" si="70"/>
        <v>1100</v>
      </c>
      <c r="O351" s="111">
        <f t="shared" si="70"/>
        <v>3350</v>
      </c>
      <c r="P351" s="97"/>
      <c r="Q351" s="97"/>
    </row>
    <row r="352" spans="1:17" ht="27" customHeight="1" x14ac:dyDescent="0.2">
      <c r="A352" s="40"/>
      <c r="B352" s="118" t="s">
        <v>218</v>
      </c>
      <c r="C352" s="118" t="s">
        <v>51</v>
      </c>
      <c r="D352" s="136" t="s">
        <v>355</v>
      </c>
      <c r="E352" s="136" t="s">
        <v>219</v>
      </c>
      <c r="F352" s="141"/>
      <c r="G352" s="114">
        <f>G353</f>
        <v>3478.2</v>
      </c>
      <c r="H352" s="114">
        <f t="shared" ref="H352:O352" si="71">H353</f>
        <v>144.80000000000001</v>
      </c>
      <c r="I352" s="114">
        <f t="shared" si="71"/>
        <v>3623</v>
      </c>
      <c r="J352" s="114">
        <f t="shared" si="71"/>
        <v>3300</v>
      </c>
      <c r="K352" s="114">
        <f t="shared" si="71"/>
        <v>0</v>
      </c>
      <c r="L352" s="114">
        <f t="shared" si="71"/>
        <v>3300</v>
      </c>
      <c r="M352" s="114">
        <f t="shared" si="71"/>
        <v>6778.2</v>
      </c>
      <c r="N352" s="114">
        <f t="shared" si="71"/>
        <v>144.80000000000001</v>
      </c>
      <c r="O352" s="114">
        <f t="shared" si="71"/>
        <v>6923</v>
      </c>
      <c r="P352" s="97"/>
      <c r="Q352" s="97"/>
    </row>
    <row r="353" spans="1:17" ht="15.75" x14ac:dyDescent="0.2">
      <c r="A353" s="40"/>
      <c r="B353" s="135" t="s">
        <v>374</v>
      </c>
      <c r="C353" s="113">
        <v>992</v>
      </c>
      <c r="D353" s="133" t="s">
        <v>355</v>
      </c>
      <c r="E353" s="136" t="s">
        <v>375</v>
      </c>
      <c r="F353" s="134"/>
      <c r="G353" s="111">
        <f t="shared" ref="G353:O355" si="72">G354</f>
        <v>3478.2</v>
      </c>
      <c r="H353" s="111">
        <f t="shared" si="72"/>
        <v>144.80000000000001</v>
      </c>
      <c r="I353" s="111">
        <f t="shared" si="72"/>
        <v>3623</v>
      </c>
      <c r="J353" s="115">
        <f t="shared" si="72"/>
        <v>3300</v>
      </c>
      <c r="K353" s="111">
        <f t="shared" si="72"/>
        <v>0</v>
      </c>
      <c r="L353" s="115">
        <f t="shared" si="72"/>
        <v>3300</v>
      </c>
      <c r="M353" s="111">
        <f t="shared" si="72"/>
        <v>6778.2</v>
      </c>
      <c r="N353" s="111">
        <f t="shared" si="72"/>
        <v>144.80000000000001</v>
      </c>
      <c r="O353" s="111">
        <f t="shared" si="72"/>
        <v>6923</v>
      </c>
      <c r="P353" s="97"/>
      <c r="Q353" s="97"/>
    </row>
    <row r="354" spans="1:17" ht="31.5" x14ac:dyDescent="0.2">
      <c r="A354" s="40"/>
      <c r="B354" s="135" t="s">
        <v>376</v>
      </c>
      <c r="C354" s="113">
        <v>992</v>
      </c>
      <c r="D354" s="133" t="s">
        <v>355</v>
      </c>
      <c r="E354" s="136" t="s">
        <v>377</v>
      </c>
      <c r="F354" s="134"/>
      <c r="G354" s="111">
        <f t="shared" ref="G354:M354" si="73">G355+G357</f>
        <v>3478.2</v>
      </c>
      <c r="H354" s="111">
        <f t="shared" si="73"/>
        <v>144.80000000000001</v>
      </c>
      <c r="I354" s="111">
        <f t="shared" si="73"/>
        <v>3623</v>
      </c>
      <c r="J354" s="115">
        <f t="shared" si="73"/>
        <v>3300</v>
      </c>
      <c r="K354" s="111">
        <f t="shared" si="73"/>
        <v>0</v>
      </c>
      <c r="L354" s="115">
        <f t="shared" si="73"/>
        <v>3300</v>
      </c>
      <c r="M354" s="111">
        <f t="shared" si="73"/>
        <v>6778.2</v>
      </c>
      <c r="N354" s="111">
        <f>SUM(H354)+K354</f>
        <v>144.80000000000001</v>
      </c>
      <c r="O354" s="111">
        <f>O355+O357</f>
        <v>6923</v>
      </c>
      <c r="P354" s="97"/>
      <c r="Q354" s="97"/>
    </row>
    <row r="355" spans="1:17" ht="15.75" x14ac:dyDescent="0.2">
      <c r="A355" s="40"/>
      <c r="B355" s="135" t="s">
        <v>378</v>
      </c>
      <c r="C355" s="113">
        <v>992</v>
      </c>
      <c r="D355" s="133" t="s">
        <v>355</v>
      </c>
      <c r="E355" s="136" t="s">
        <v>379</v>
      </c>
      <c r="F355" s="134"/>
      <c r="G355" s="111">
        <f t="shared" si="72"/>
        <v>1914.2</v>
      </c>
      <c r="H355" s="111">
        <f t="shared" si="72"/>
        <v>144.80000000000001</v>
      </c>
      <c r="I355" s="111">
        <f t="shared" si="72"/>
        <v>2059</v>
      </c>
      <c r="J355" s="115">
        <f t="shared" si="72"/>
        <v>0</v>
      </c>
      <c r="K355" s="111"/>
      <c r="L355" s="115">
        <f t="shared" si="72"/>
        <v>0</v>
      </c>
      <c r="M355" s="111">
        <f t="shared" si="72"/>
        <v>1914.2</v>
      </c>
      <c r="N355" s="111">
        <f t="shared" si="72"/>
        <v>144.80000000000001</v>
      </c>
      <c r="O355" s="111">
        <f t="shared" si="72"/>
        <v>2059</v>
      </c>
      <c r="P355" s="97"/>
      <c r="Q355" s="97"/>
    </row>
    <row r="356" spans="1:17" ht="31.5" x14ac:dyDescent="0.2">
      <c r="A356" s="40"/>
      <c r="B356" s="113" t="s">
        <v>40</v>
      </c>
      <c r="C356" s="113">
        <v>992</v>
      </c>
      <c r="D356" s="133" t="s">
        <v>355</v>
      </c>
      <c r="E356" s="136" t="s">
        <v>379</v>
      </c>
      <c r="F356" s="134">
        <v>200</v>
      </c>
      <c r="G356" s="111">
        <v>1914.2</v>
      </c>
      <c r="H356" s="111">
        <v>144.80000000000001</v>
      </c>
      <c r="I356" s="111">
        <f>SUM(G356)+H356</f>
        <v>2059</v>
      </c>
      <c r="J356" s="115">
        <v>0</v>
      </c>
      <c r="K356" s="111"/>
      <c r="L356" s="115">
        <f>SUM(K356)</f>
        <v>0</v>
      </c>
      <c r="M356" s="111">
        <f>SUM(G356)</f>
        <v>1914.2</v>
      </c>
      <c r="N356" s="111">
        <f>SUM(H356)+K356</f>
        <v>144.80000000000001</v>
      </c>
      <c r="O356" s="111">
        <f>SUM(I356)+L356</f>
        <v>2059</v>
      </c>
      <c r="P356" s="97"/>
      <c r="Q356" s="97"/>
    </row>
    <row r="357" spans="1:17" ht="47.25" x14ac:dyDescent="0.2">
      <c r="A357" s="40"/>
      <c r="B357" s="113" t="s">
        <v>372</v>
      </c>
      <c r="C357" s="113">
        <v>992</v>
      </c>
      <c r="D357" s="133" t="s">
        <v>355</v>
      </c>
      <c r="E357" s="136" t="s">
        <v>549</v>
      </c>
      <c r="F357" s="134"/>
      <c r="G357" s="111">
        <f>SUM(G358)</f>
        <v>1564</v>
      </c>
      <c r="H357" s="111">
        <f>SUM(H358)</f>
        <v>0</v>
      </c>
      <c r="I357" s="111">
        <f>SUM(G357)+H357</f>
        <v>1564</v>
      </c>
      <c r="J357" s="115">
        <f>SUM(J358)</f>
        <v>3300</v>
      </c>
      <c r="K357" s="111"/>
      <c r="L357" s="115">
        <v>3300</v>
      </c>
      <c r="M357" s="111">
        <f t="shared" ref="M357:O358" si="74">SUM(G357+J357)</f>
        <v>4864</v>
      </c>
      <c r="N357" s="111">
        <f t="shared" si="74"/>
        <v>0</v>
      </c>
      <c r="O357" s="111">
        <f t="shared" si="74"/>
        <v>4864</v>
      </c>
      <c r="P357" s="97"/>
      <c r="Q357" s="97"/>
    </row>
    <row r="358" spans="1:17" ht="31.5" x14ac:dyDescent="0.2">
      <c r="A358" s="40"/>
      <c r="B358" s="113" t="s">
        <v>40</v>
      </c>
      <c r="C358" s="113">
        <v>992</v>
      </c>
      <c r="D358" s="133" t="s">
        <v>355</v>
      </c>
      <c r="E358" s="136" t="s">
        <v>549</v>
      </c>
      <c r="F358" s="134">
        <v>200</v>
      </c>
      <c r="G358" s="111">
        <v>1564</v>
      </c>
      <c r="H358" s="111"/>
      <c r="I358" s="111">
        <f>SUM(G358)+H358</f>
        <v>1564</v>
      </c>
      <c r="J358" s="115">
        <v>3300</v>
      </c>
      <c r="K358" s="111"/>
      <c r="L358" s="115">
        <v>3300</v>
      </c>
      <c r="M358" s="111">
        <f t="shared" si="74"/>
        <v>4864</v>
      </c>
      <c r="N358" s="111">
        <f t="shared" si="74"/>
        <v>0</v>
      </c>
      <c r="O358" s="111">
        <f t="shared" si="74"/>
        <v>4864</v>
      </c>
      <c r="P358" s="97"/>
      <c r="Q358" s="97"/>
    </row>
    <row r="359" spans="1:17" ht="47.25" x14ac:dyDescent="0.2">
      <c r="A359" s="40"/>
      <c r="B359" s="113" t="s">
        <v>105</v>
      </c>
      <c r="C359" s="113" t="s">
        <v>51</v>
      </c>
      <c r="D359" s="133" t="s">
        <v>355</v>
      </c>
      <c r="E359" s="133" t="s">
        <v>106</v>
      </c>
      <c r="F359" s="134" t="s">
        <v>11</v>
      </c>
      <c r="G359" s="111">
        <f>G360</f>
        <v>300</v>
      </c>
      <c r="H359" s="111"/>
      <c r="I359" s="111">
        <f>I360</f>
        <v>300</v>
      </c>
      <c r="J359" s="114">
        <f t="shared" ref="G359:O362" si="75">J360</f>
        <v>600</v>
      </c>
      <c r="K359" s="111">
        <f>K360</f>
        <v>0</v>
      </c>
      <c r="L359" s="114">
        <f t="shared" si="75"/>
        <v>600</v>
      </c>
      <c r="M359" s="111">
        <f t="shared" si="75"/>
        <v>900</v>
      </c>
      <c r="N359" s="111">
        <f>SUM(K359)</f>
        <v>0</v>
      </c>
      <c r="O359" s="111">
        <f t="shared" si="75"/>
        <v>900</v>
      </c>
      <c r="P359" s="97"/>
      <c r="Q359" s="97"/>
    </row>
    <row r="360" spans="1:17" ht="31.5" x14ac:dyDescent="0.2">
      <c r="A360" s="40"/>
      <c r="B360" s="113" t="s">
        <v>107</v>
      </c>
      <c r="C360" s="113" t="s">
        <v>51</v>
      </c>
      <c r="D360" s="133" t="s">
        <v>355</v>
      </c>
      <c r="E360" s="133" t="s">
        <v>108</v>
      </c>
      <c r="F360" s="134" t="s">
        <v>11</v>
      </c>
      <c r="G360" s="111">
        <f t="shared" si="75"/>
        <v>300</v>
      </c>
      <c r="H360" s="111">
        <f t="shared" si="75"/>
        <v>0</v>
      </c>
      <c r="I360" s="111">
        <f t="shared" si="75"/>
        <v>300</v>
      </c>
      <c r="J360" s="114">
        <f t="shared" si="75"/>
        <v>600</v>
      </c>
      <c r="K360" s="111">
        <f>K361</f>
        <v>0</v>
      </c>
      <c r="L360" s="114">
        <f t="shared" si="75"/>
        <v>600</v>
      </c>
      <c r="M360" s="111">
        <f t="shared" si="75"/>
        <v>900</v>
      </c>
      <c r="N360" s="111">
        <f t="shared" si="75"/>
        <v>0</v>
      </c>
      <c r="O360" s="111">
        <f>N360+M360</f>
        <v>900</v>
      </c>
      <c r="P360" s="97"/>
      <c r="Q360" s="97"/>
    </row>
    <row r="361" spans="1:17" ht="31.5" x14ac:dyDescent="0.2">
      <c r="A361" s="40"/>
      <c r="B361" s="113" t="s">
        <v>109</v>
      </c>
      <c r="C361" s="113" t="s">
        <v>51</v>
      </c>
      <c r="D361" s="133" t="s">
        <v>355</v>
      </c>
      <c r="E361" s="133" t="s">
        <v>110</v>
      </c>
      <c r="F361" s="134" t="s">
        <v>11</v>
      </c>
      <c r="G361" s="111">
        <f t="shared" si="75"/>
        <v>300</v>
      </c>
      <c r="H361" s="111">
        <f t="shared" si="75"/>
        <v>0</v>
      </c>
      <c r="I361" s="111">
        <f t="shared" si="75"/>
        <v>300</v>
      </c>
      <c r="J361" s="114">
        <f>J362+J364</f>
        <v>600</v>
      </c>
      <c r="K361" s="111">
        <f>K362+K364</f>
        <v>0</v>
      </c>
      <c r="L361" s="111">
        <f>L362+L364</f>
        <v>600</v>
      </c>
      <c r="M361" s="111">
        <f>M362+J361</f>
        <v>900</v>
      </c>
      <c r="N361" s="111">
        <f>SUM(K361)</f>
        <v>0</v>
      </c>
      <c r="O361" s="111">
        <f>O362+L361</f>
        <v>900</v>
      </c>
      <c r="P361" s="97"/>
      <c r="Q361" s="97"/>
    </row>
    <row r="362" spans="1:17" ht="31.5" x14ac:dyDescent="0.2">
      <c r="A362" s="40"/>
      <c r="B362" s="113" t="s">
        <v>114</v>
      </c>
      <c r="C362" s="113" t="s">
        <v>51</v>
      </c>
      <c r="D362" s="133" t="s">
        <v>355</v>
      </c>
      <c r="E362" s="133" t="s">
        <v>115</v>
      </c>
      <c r="F362" s="134" t="s">
        <v>11</v>
      </c>
      <c r="G362" s="111">
        <f>G363</f>
        <v>300</v>
      </c>
      <c r="H362" s="111"/>
      <c r="I362" s="111">
        <f>I363</f>
        <v>300</v>
      </c>
      <c r="J362" s="114">
        <f t="shared" si="75"/>
        <v>0</v>
      </c>
      <c r="K362" s="111"/>
      <c r="L362" s="114">
        <f t="shared" si="75"/>
        <v>0</v>
      </c>
      <c r="M362" s="111">
        <f t="shared" si="75"/>
        <v>300</v>
      </c>
      <c r="N362" s="111">
        <f t="shared" si="75"/>
        <v>0</v>
      </c>
      <c r="O362" s="111">
        <f t="shared" si="75"/>
        <v>300</v>
      </c>
      <c r="P362" s="97"/>
      <c r="Q362" s="97"/>
    </row>
    <row r="363" spans="1:17" ht="31.5" x14ac:dyDescent="0.2">
      <c r="A363" s="40"/>
      <c r="B363" s="113" t="s">
        <v>40</v>
      </c>
      <c r="C363" s="113" t="s">
        <v>51</v>
      </c>
      <c r="D363" s="133" t="s">
        <v>355</v>
      </c>
      <c r="E363" s="133" t="s">
        <v>115</v>
      </c>
      <c r="F363" s="134" t="s">
        <v>41</v>
      </c>
      <c r="G363" s="111">
        <v>300</v>
      </c>
      <c r="H363" s="111"/>
      <c r="I363" s="111">
        <v>300</v>
      </c>
      <c r="J363" s="115">
        <v>0</v>
      </c>
      <c r="K363" s="111"/>
      <c r="L363" s="115">
        <v>0</v>
      </c>
      <c r="M363" s="111">
        <v>300</v>
      </c>
      <c r="N363" s="111"/>
      <c r="O363" s="111">
        <v>300</v>
      </c>
      <c r="P363" s="97"/>
      <c r="Q363" s="97"/>
    </row>
    <row r="364" spans="1:17" ht="47.25" x14ac:dyDescent="0.2">
      <c r="A364" s="40"/>
      <c r="B364" s="113" t="s">
        <v>566</v>
      </c>
      <c r="C364" s="113">
        <v>992</v>
      </c>
      <c r="D364" s="133" t="s">
        <v>355</v>
      </c>
      <c r="E364" s="133">
        <v>1010160390</v>
      </c>
      <c r="F364" s="134"/>
      <c r="G364" s="111"/>
      <c r="H364" s="111"/>
      <c r="I364" s="111"/>
      <c r="J364" s="115">
        <v>600</v>
      </c>
      <c r="K364" s="111">
        <f>SUM(K365)</f>
        <v>0</v>
      </c>
      <c r="L364" s="111">
        <f>SUM(L365)</f>
        <v>600</v>
      </c>
      <c r="M364" s="111">
        <f t="shared" ref="M364:O365" si="76">SUM(J364)</f>
        <v>600</v>
      </c>
      <c r="N364" s="111">
        <f t="shared" si="76"/>
        <v>0</v>
      </c>
      <c r="O364" s="111">
        <f t="shared" si="76"/>
        <v>600</v>
      </c>
      <c r="P364" s="97"/>
      <c r="Q364" s="97"/>
    </row>
    <row r="365" spans="1:17" ht="31.5" x14ac:dyDescent="0.2">
      <c r="A365" s="40"/>
      <c r="B365" s="113" t="s">
        <v>40</v>
      </c>
      <c r="C365" s="113">
        <v>992</v>
      </c>
      <c r="D365" s="133" t="s">
        <v>355</v>
      </c>
      <c r="E365" s="133">
        <v>1010160390</v>
      </c>
      <c r="F365" s="134">
        <v>200</v>
      </c>
      <c r="G365" s="111"/>
      <c r="H365" s="111"/>
      <c r="I365" s="111"/>
      <c r="J365" s="115">
        <v>600</v>
      </c>
      <c r="K365" s="111"/>
      <c r="L365" s="115">
        <f>SUM(J365)</f>
        <v>600</v>
      </c>
      <c r="M365" s="111">
        <f t="shared" si="76"/>
        <v>600</v>
      </c>
      <c r="N365" s="111">
        <f t="shared" si="76"/>
        <v>0</v>
      </c>
      <c r="O365" s="111">
        <f t="shared" si="76"/>
        <v>600</v>
      </c>
      <c r="P365" s="97"/>
      <c r="Q365" s="97"/>
    </row>
    <row r="366" spans="1:17" ht="63" x14ac:dyDescent="0.2">
      <c r="A366" s="40"/>
      <c r="B366" s="113" t="s">
        <v>380</v>
      </c>
      <c r="C366" s="113" t="s">
        <v>51</v>
      </c>
      <c r="D366" s="133" t="s">
        <v>355</v>
      </c>
      <c r="E366" s="133" t="s">
        <v>381</v>
      </c>
      <c r="F366" s="134" t="s">
        <v>11</v>
      </c>
      <c r="G366" s="111">
        <f t="shared" ref="G366:O366" si="77">G367</f>
        <v>1120.5999999999999</v>
      </c>
      <c r="H366" s="111">
        <f t="shared" si="77"/>
        <v>29.7</v>
      </c>
      <c r="I366" s="111">
        <f t="shared" si="77"/>
        <v>1150.3</v>
      </c>
      <c r="J366" s="114">
        <f t="shared" si="77"/>
        <v>0</v>
      </c>
      <c r="K366" s="111">
        <f t="shared" si="77"/>
        <v>0</v>
      </c>
      <c r="L366" s="114">
        <f t="shared" si="77"/>
        <v>0</v>
      </c>
      <c r="M366" s="111">
        <f t="shared" si="77"/>
        <v>1120.5999999999999</v>
      </c>
      <c r="N366" s="111">
        <f t="shared" si="77"/>
        <v>29.7</v>
      </c>
      <c r="O366" s="111">
        <f t="shared" si="77"/>
        <v>1150.3</v>
      </c>
      <c r="P366" s="97"/>
      <c r="Q366" s="97"/>
    </row>
    <row r="367" spans="1:17" ht="47.25" x14ac:dyDescent="0.2">
      <c r="A367" s="40"/>
      <c r="B367" s="113" t="s">
        <v>382</v>
      </c>
      <c r="C367" s="113" t="s">
        <v>51</v>
      </c>
      <c r="D367" s="133" t="s">
        <v>355</v>
      </c>
      <c r="E367" s="133" t="s">
        <v>383</v>
      </c>
      <c r="F367" s="134" t="s">
        <v>11</v>
      </c>
      <c r="G367" s="111">
        <f>G368+G371</f>
        <v>1120.5999999999999</v>
      </c>
      <c r="H367" s="111">
        <f>H368+H371</f>
        <v>29.7</v>
      </c>
      <c r="I367" s="111">
        <f>I368+I371</f>
        <v>1150.3</v>
      </c>
      <c r="J367" s="114">
        <f>J368</f>
        <v>0</v>
      </c>
      <c r="K367" s="111">
        <f>K368</f>
        <v>0</v>
      </c>
      <c r="L367" s="114">
        <f>L368</f>
        <v>0</v>
      </c>
      <c r="M367" s="111">
        <f>M368+M371</f>
        <v>1120.5999999999999</v>
      </c>
      <c r="N367" s="111">
        <f>N368+N371</f>
        <v>29.7</v>
      </c>
      <c r="O367" s="111">
        <f>O368+O371</f>
        <v>1150.3</v>
      </c>
      <c r="P367" s="97"/>
      <c r="Q367" s="97"/>
    </row>
    <row r="368" spans="1:17" ht="63" x14ac:dyDescent="0.2">
      <c r="A368" s="40"/>
      <c r="B368" s="113" t="s">
        <v>384</v>
      </c>
      <c r="C368" s="113" t="s">
        <v>51</v>
      </c>
      <c r="D368" s="133" t="s">
        <v>355</v>
      </c>
      <c r="E368" s="136" t="s">
        <v>545</v>
      </c>
      <c r="F368" s="134" t="s">
        <v>11</v>
      </c>
      <c r="G368" s="111">
        <f>G369+G370</f>
        <v>355.7</v>
      </c>
      <c r="H368" s="111">
        <f>H369+H370</f>
        <v>29.7</v>
      </c>
      <c r="I368" s="111">
        <f>I369+I370</f>
        <v>385.4</v>
      </c>
      <c r="J368" s="114">
        <f>J369</f>
        <v>0</v>
      </c>
      <c r="K368" s="111"/>
      <c r="L368" s="114">
        <f>L369</f>
        <v>0</v>
      </c>
      <c r="M368" s="111">
        <f>M369+M370</f>
        <v>355.7</v>
      </c>
      <c r="N368" s="111">
        <f>N369+N370</f>
        <v>29.7</v>
      </c>
      <c r="O368" s="111">
        <f>O369+O370</f>
        <v>385.4</v>
      </c>
      <c r="P368" s="97"/>
      <c r="Q368" s="97"/>
    </row>
    <row r="369" spans="1:17" ht="31.5" x14ac:dyDescent="0.2">
      <c r="A369" s="40"/>
      <c r="B369" s="113" t="s">
        <v>40</v>
      </c>
      <c r="C369" s="113" t="s">
        <v>51</v>
      </c>
      <c r="D369" s="133" t="s">
        <v>355</v>
      </c>
      <c r="E369" s="136" t="s">
        <v>545</v>
      </c>
      <c r="F369" s="134" t="s">
        <v>41</v>
      </c>
      <c r="G369" s="111">
        <v>155.69999999999999</v>
      </c>
      <c r="H369" s="117">
        <v>29.7</v>
      </c>
      <c r="I369" s="111">
        <f>SUM(G369:H369)</f>
        <v>185.39999999999998</v>
      </c>
      <c r="J369" s="115">
        <v>0</v>
      </c>
      <c r="K369" s="109"/>
      <c r="L369" s="115">
        <v>0</v>
      </c>
      <c r="M369" s="111">
        <f>SUM(G369)</f>
        <v>155.69999999999999</v>
      </c>
      <c r="N369" s="111">
        <f t="shared" ref="N369:O376" si="78">SUM(H369)</f>
        <v>29.7</v>
      </c>
      <c r="O369" s="111">
        <f>SUM(I369)</f>
        <v>185.39999999999998</v>
      </c>
      <c r="P369" s="97"/>
      <c r="Q369" s="97"/>
    </row>
    <row r="370" spans="1:17" ht="31.5" x14ac:dyDescent="0.2">
      <c r="A370" s="40"/>
      <c r="B370" s="113" t="s">
        <v>112</v>
      </c>
      <c r="C370" s="113">
        <v>992</v>
      </c>
      <c r="D370" s="133" t="s">
        <v>355</v>
      </c>
      <c r="E370" s="136" t="s">
        <v>545</v>
      </c>
      <c r="F370" s="134">
        <v>300</v>
      </c>
      <c r="G370" s="111">
        <v>200</v>
      </c>
      <c r="H370" s="117"/>
      <c r="I370" s="111">
        <f>SUM(G370)</f>
        <v>200</v>
      </c>
      <c r="J370" s="115"/>
      <c r="K370" s="109"/>
      <c r="L370" s="115"/>
      <c r="M370" s="111">
        <f>SUM(G370)</f>
        <v>200</v>
      </c>
      <c r="N370" s="111">
        <f>SUM(H370)</f>
        <v>0</v>
      </c>
      <c r="O370" s="111">
        <f>SUM(I370)</f>
        <v>200</v>
      </c>
      <c r="P370" s="97"/>
      <c r="Q370" s="97"/>
    </row>
    <row r="371" spans="1:17" ht="31.5" x14ac:dyDescent="0.2">
      <c r="A371" s="40"/>
      <c r="B371" s="113" t="s">
        <v>385</v>
      </c>
      <c r="C371" s="113">
        <v>992</v>
      </c>
      <c r="D371" s="133" t="s">
        <v>355</v>
      </c>
      <c r="E371" s="133">
        <v>1400124240</v>
      </c>
      <c r="F371" s="134"/>
      <c r="G371" s="111">
        <v>764.9</v>
      </c>
      <c r="H371" s="117"/>
      <c r="I371" s="111">
        <f>SUM(G371)+H371</f>
        <v>764.9</v>
      </c>
      <c r="J371" s="115"/>
      <c r="K371" s="109"/>
      <c r="L371" s="115"/>
      <c r="M371" s="111">
        <f>SUM(G371)</f>
        <v>764.9</v>
      </c>
      <c r="N371" s="111">
        <f t="shared" si="78"/>
        <v>0</v>
      </c>
      <c r="O371" s="111">
        <f t="shared" si="78"/>
        <v>764.9</v>
      </c>
      <c r="P371" s="97"/>
      <c r="Q371" s="97"/>
    </row>
    <row r="372" spans="1:17" ht="31.5" x14ac:dyDescent="0.2">
      <c r="A372" s="40"/>
      <c r="B372" s="113" t="s">
        <v>40</v>
      </c>
      <c r="C372" s="113">
        <v>992</v>
      </c>
      <c r="D372" s="133" t="s">
        <v>355</v>
      </c>
      <c r="E372" s="133">
        <v>1400124240</v>
      </c>
      <c r="F372" s="134">
        <v>200</v>
      </c>
      <c r="G372" s="111">
        <v>764.9</v>
      </c>
      <c r="H372" s="117"/>
      <c r="I372" s="111">
        <f>SUM(G372)+H372</f>
        <v>764.9</v>
      </c>
      <c r="J372" s="115"/>
      <c r="K372" s="109"/>
      <c r="L372" s="115"/>
      <c r="M372" s="111">
        <f>SUM(G372)</f>
        <v>764.9</v>
      </c>
      <c r="N372" s="111">
        <f t="shared" si="78"/>
        <v>0</v>
      </c>
      <c r="O372" s="111">
        <f t="shared" si="78"/>
        <v>764.9</v>
      </c>
      <c r="P372" s="97"/>
      <c r="Q372" s="97"/>
    </row>
    <row r="373" spans="1:17" ht="31.5" x14ac:dyDescent="0.2">
      <c r="A373" s="40"/>
      <c r="B373" s="113" t="s">
        <v>66</v>
      </c>
      <c r="C373" s="113">
        <v>992</v>
      </c>
      <c r="D373" s="133" t="s">
        <v>355</v>
      </c>
      <c r="E373" s="133">
        <v>5200000000</v>
      </c>
      <c r="F373" s="134"/>
      <c r="G373" s="111">
        <v>2838.5</v>
      </c>
      <c r="H373" s="117">
        <f>SUM(H375)</f>
        <v>0</v>
      </c>
      <c r="I373" s="111">
        <f t="shared" ref="I373:I376" si="79">SUM(G373)</f>
        <v>2838.5</v>
      </c>
      <c r="J373" s="115"/>
      <c r="K373" s="109"/>
      <c r="L373" s="115"/>
      <c r="M373" s="111">
        <v>2838.5</v>
      </c>
      <c r="N373" s="111">
        <f t="shared" si="78"/>
        <v>0</v>
      </c>
      <c r="O373" s="111">
        <f t="shared" si="78"/>
        <v>2838.5</v>
      </c>
      <c r="P373" s="97"/>
      <c r="Q373" s="97"/>
    </row>
    <row r="374" spans="1:17" ht="31.5" x14ac:dyDescent="0.2">
      <c r="A374" s="40"/>
      <c r="B374" s="113" t="s">
        <v>80</v>
      </c>
      <c r="C374" s="113">
        <v>992</v>
      </c>
      <c r="D374" s="133" t="s">
        <v>355</v>
      </c>
      <c r="E374" s="133">
        <v>5230000000</v>
      </c>
      <c r="F374" s="134"/>
      <c r="G374" s="111">
        <v>2838.5</v>
      </c>
      <c r="H374" s="117">
        <f>SUM(H376)</f>
        <v>0</v>
      </c>
      <c r="I374" s="111">
        <f t="shared" si="79"/>
        <v>2838.5</v>
      </c>
      <c r="J374" s="115"/>
      <c r="K374" s="109"/>
      <c r="L374" s="115"/>
      <c r="M374" s="111">
        <f>SUM(M376)</f>
        <v>2838.5</v>
      </c>
      <c r="N374" s="111">
        <f t="shared" si="78"/>
        <v>0</v>
      </c>
      <c r="O374" s="111">
        <f t="shared" si="78"/>
        <v>2838.5</v>
      </c>
      <c r="P374" s="97"/>
      <c r="Q374" s="97"/>
    </row>
    <row r="375" spans="1:17" ht="31.5" x14ac:dyDescent="0.2">
      <c r="A375" s="40"/>
      <c r="B375" s="113" t="s">
        <v>82</v>
      </c>
      <c r="C375" s="113">
        <v>992</v>
      </c>
      <c r="D375" s="133" t="s">
        <v>355</v>
      </c>
      <c r="E375" s="133">
        <v>5230010490</v>
      </c>
      <c r="F375" s="134"/>
      <c r="G375" s="111">
        <v>2838.5</v>
      </c>
      <c r="H375" s="117">
        <f>SUM(H376)</f>
        <v>0</v>
      </c>
      <c r="I375" s="111">
        <f t="shared" si="79"/>
        <v>2838.5</v>
      </c>
      <c r="J375" s="115"/>
      <c r="K375" s="109"/>
      <c r="L375" s="115"/>
      <c r="M375" s="111">
        <f>SUM(G375)</f>
        <v>2838.5</v>
      </c>
      <c r="N375" s="111">
        <f t="shared" si="78"/>
        <v>0</v>
      </c>
      <c r="O375" s="111">
        <f t="shared" si="78"/>
        <v>2838.5</v>
      </c>
      <c r="P375" s="97"/>
      <c r="Q375" s="97"/>
    </row>
    <row r="376" spans="1:17" ht="29.25" customHeight="1" x14ac:dyDescent="0.2">
      <c r="A376" s="40"/>
      <c r="B376" s="113" t="s">
        <v>40</v>
      </c>
      <c r="C376" s="113">
        <v>992</v>
      </c>
      <c r="D376" s="133" t="s">
        <v>355</v>
      </c>
      <c r="E376" s="133">
        <v>5230010490</v>
      </c>
      <c r="F376" s="134">
        <v>200</v>
      </c>
      <c r="G376" s="111">
        <v>2838.5</v>
      </c>
      <c r="H376" s="117"/>
      <c r="I376" s="111">
        <f t="shared" si="79"/>
        <v>2838.5</v>
      </c>
      <c r="J376" s="115"/>
      <c r="K376" s="109"/>
      <c r="L376" s="115"/>
      <c r="M376" s="111">
        <f>SUM(G376)</f>
        <v>2838.5</v>
      </c>
      <c r="N376" s="111">
        <f t="shared" si="78"/>
        <v>0</v>
      </c>
      <c r="O376" s="111">
        <f t="shared" si="78"/>
        <v>2838.5</v>
      </c>
      <c r="P376" s="97"/>
      <c r="Q376" s="97"/>
    </row>
    <row r="377" spans="1:17" ht="31.5" hidden="1" x14ac:dyDescent="0.2">
      <c r="A377" s="40"/>
      <c r="B377" s="113" t="s">
        <v>40</v>
      </c>
      <c r="C377" s="113"/>
      <c r="D377" s="133"/>
      <c r="E377" s="133"/>
      <c r="F377" s="134"/>
      <c r="G377" s="111"/>
      <c r="H377" s="109"/>
      <c r="I377" s="111"/>
      <c r="J377" s="115"/>
      <c r="K377" s="109"/>
      <c r="L377" s="115"/>
      <c r="M377" s="111"/>
      <c r="N377" s="111"/>
      <c r="O377" s="111"/>
      <c r="P377" s="97"/>
      <c r="Q377" s="97"/>
    </row>
    <row r="378" spans="1:17" ht="31.5" x14ac:dyDescent="0.2">
      <c r="A378" s="33" t="s">
        <v>386</v>
      </c>
      <c r="B378" s="110" t="s">
        <v>387</v>
      </c>
      <c r="C378" s="110" t="s">
        <v>51</v>
      </c>
      <c r="D378" s="131" t="s">
        <v>388</v>
      </c>
      <c r="E378" s="131" t="s">
        <v>11</v>
      </c>
      <c r="F378" s="132" t="s">
        <v>11</v>
      </c>
      <c r="G378" s="109">
        <f t="shared" ref="G378:O379" si="80">G379</f>
        <v>103932</v>
      </c>
      <c r="H378" s="111">
        <f t="shared" si="80"/>
        <v>3792.2</v>
      </c>
      <c r="I378" s="109">
        <f t="shared" si="80"/>
        <v>107724.2</v>
      </c>
      <c r="J378" s="112">
        <f t="shared" si="80"/>
        <v>0</v>
      </c>
      <c r="K378" s="111">
        <f t="shared" si="80"/>
        <v>0</v>
      </c>
      <c r="L378" s="112">
        <f t="shared" si="80"/>
        <v>0</v>
      </c>
      <c r="M378" s="109">
        <f t="shared" si="80"/>
        <v>103932</v>
      </c>
      <c r="N378" s="109">
        <f t="shared" si="80"/>
        <v>3792.2</v>
      </c>
      <c r="O378" s="109">
        <f t="shared" si="80"/>
        <v>107724.2</v>
      </c>
      <c r="P378" s="97"/>
      <c r="Q378" s="97"/>
    </row>
    <row r="379" spans="1:17" ht="31.5" x14ac:dyDescent="0.2">
      <c r="A379" s="40"/>
      <c r="B379" s="113" t="s">
        <v>245</v>
      </c>
      <c r="C379" s="113" t="s">
        <v>51</v>
      </c>
      <c r="D379" s="133" t="s">
        <v>388</v>
      </c>
      <c r="E379" s="133" t="s">
        <v>246</v>
      </c>
      <c r="F379" s="134" t="s">
        <v>11</v>
      </c>
      <c r="G379" s="111">
        <f t="shared" si="80"/>
        <v>103932</v>
      </c>
      <c r="H379" s="111">
        <f t="shared" si="80"/>
        <v>3792.2</v>
      </c>
      <c r="I379" s="111">
        <f t="shared" si="80"/>
        <v>107724.2</v>
      </c>
      <c r="J379" s="114">
        <f t="shared" si="80"/>
        <v>0</v>
      </c>
      <c r="K379" s="111">
        <f>K380+K383</f>
        <v>0</v>
      </c>
      <c r="L379" s="114">
        <f t="shared" si="80"/>
        <v>0</v>
      </c>
      <c r="M379" s="111">
        <f t="shared" si="80"/>
        <v>103932</v>
      </c>
      <c r="N379" s="111">
        <f t="shared" si="80"/>
        <v>3792.2</v>
      </c>
      <c r="O379" s="111">
        <f t="shared" si="80"/>
        <v>107724.2</v>
      </c>
      <c r="P379" s="97"/>
      <c r="Q379" s="97"/>
    </row>
    <row r="380" spans="1:17" ht="15.75" x14ac:dyDescent="0.2">
      <c r="A380" s="40"/>
      <c r="B380" s="113" t="s">
        <v>247</v>
      </c>
      <c r="C380" s="113" t="s">
        <v>51</v>
      </c>
      <c r="D380" s="133" t="s">
        <v>388</v>
      </c>
      <c r="E380" s="133" t="s">
        <v>248</v>
      </c>
      <c r="F380" s="134" t="s">
        <v>11</v>
      </c>
      <c r="G380" s="111">
        <f>G381+G384</f>
        <v>103932</v>
      </c>
      <c r="H380" s="111">
        <f>SUM(H384)+H381</f>
        <v>3792.2</v>
      </c>
      <c r="I380" s="111">
        <f>I381+I384</f>
        <v>107724.2</v>
      </c>
      <c r="J380" s="114">
        <f>J381+J384</f>
        <v>0</v>
      </c>
      <c r="K380" s="111">
        <f t="shared" ref="G380:O382" si="81">K381</f>
        <v>0</v>
      </c>
      <c r="L380" s="114">
        <f>L381+L384</f>
        <v>0</v>
      </c>
      <c r="M380" s="111">
        <f>M381+M384</f>
        <v>103932</v>
      </c>
      <c r="N380" s="111">
        <f>N381+N384</f>
        <v>3792.2</v>
      </c>
      <c r="O380" s="111">
        <f>O381+O384</f>
        <v>107724.2</v>
      </c>
      <c r="P380" s="97"/>
      <c r="Q380" s="97"/>
    </row>
    <row r="381" spans="1:17" ht="31.5" x14ac:dyDescent="0.2">
      <c r="A381" s="40"/>
      <c r="B381" s="113" t="s">
        <v>389</v>
      </c>
      <c r="C381" s="113" t="s">
        <v>51</v>
      </c>
      <c r="D381" s="133" t="s">
        <v>388</v>
      </c>
      <c r="E381" s="133" t="s">
        <v>390</v>
      </c>
      <c r="F381" s="134" t="s">
        <v>11</v>
      </c>
      <c r="G381" s="111">
        <f t="shared" si="81"/>
        <v>8699.1</v>
      </c>
      <c r="H381" s="111">
        <f t="shared" si="81"/>
        <v>0</v>
      </c>
      <c r="I381" s="111">
        <f t="shared" si="81"/>
        <v>8699.1</v>
      </c>
      <c r="J381" s="114">
        <f t="shared" si="81"/>
        <v>0</v>
      </c>
      <c r="K381" s="111">
        <f t="shared" si="81"/>
        <v>0</v>
      </c>
      <c r="L381" s="114">
        <f t="shared" si="81"/>
        <v>0</v>
      </c>
      <c r="M381" s="111">
        <f t="shared" si="81"/>
        <v>8699.1</v>
      </c>
      <c r="N381" s="111">
        <f t="shared" si="81"/>
        <v>0</v>
      </c>
      <c r="O381" s="111">
        <f t="shared" si="81"/>
        <v>8699.1</v>
      </c>
      <c r="P381" s="97"/>
      <c r="Q381" s="97"/>
    </row>
    <row r="382" spans="1:17" ht="31.5" x14ac:dyDescent="0.2">
      <c r="A382" s="40"/>
      <c r="B382" s="113" t="s">
        <v>134</v>
      </c>
      <c r="C382" s="113" t="s">
        <v>51</v>
      </c>
      <c r="D382" s="133" t="s">
        <v>388</v>
      </c>
      <c r="E382" s="133" t="s">
        <v>391</v>
      </c>
      <c r="F382" s="134" t="s">
        <v>11</v>
      </c>
      <c r="G382" s="111">
        <f t="shared" si="81"/>
        <v>8699.1</v>
      </c>
      <c r="H382" s="111"/>
      <c r="I382" s="111">
        <f t="shared" si="81"/>
        <v>8699.1</v>
      </c>
      <c r="J382" s="114">
        <f t="shared" si="81"/>
        <v>0</v>
      </c>
      <c r="K382" s="111"/>
      <c r="L382" s="114">
        <f t="shared" si="81"/>
        <v>0</v>
      </c>
      <c r="M382" s="111">
        <f t="shared" si="81"/>
        <v>8699.1</v>
      </c>
      <c r="N382" s="111">
        <f t="shared" si="81"/>
        <v>0</v>
      </c>
      <c r="O382" s="111">
        <f t="shared" si="81"/>
        <v>8699.1</v>
      </c>
      <c r="P382" s="97"/>
      <c r="Q382" s="97"/>
    </row>
    <row r="383" spans="1:17" ht="33.6" customHeight="1" x14ac:dyDescent="0.2">
      <c r="A383" s="40"/>
      <c r="B383" s="113" t="s">
        <v>95</v>
      </c>
      <c r="C383" s="113" t="s">
        <v>51</v>
      </c>
      <c r="D383" s="133" t="s">
        <v>388</v>
      </c>
      <c r="E383" s="133" t="s">
        <v>391</v>
      </c>
      <c r="F383" s="134" t="s">
        <v>96</v>
      </c>
      <c r="G383" s="111">
        <v>8699.1</v>
      </c>
      <c r="H383" s="111"/>
      <c r="I383" s="111">
        <f>SUM(G383)</f>
        <v>8699.1</v>
      </c>
      <c r="J383" s="115">
        <v>0</v>
      </c>
      <c r="K383" s="111"/>
      <c r="L383" s="115">
        <v>0</v>
      </c>
      <c r="M383" s="111">
        <f>SUM(G383)</f>
        <v>8699.1</v>
      </c>
      <c r="N383" s="111">
        <f>SUM(H383)</f>
        <v>0</v>
      </c>
      <c r="O383" s="111">
        <f>SUM(I383)</f>
        <v>8699.1</v>
      </c>
      <c r="P383" s="97"/>
      <c r="Q383" s="97"/>
    </row>
    <row r="384" spans="1:17" ht="47.25" x14ac:dyDescent="0.2">
      <c r="A384" s="40"/>
      <c r="B384" s="113" t="s">
        <v>249</v>
      </c>
      <c r="C384" s="113" t="s">
        <v>51</v>
      </c>
      <c r="D384" s="133" t="s">
        <v>388</v>
      </c>
      <c r="E384" s="133" t="s">
        <v>250</v>
      </c>
      <c r="F384" s="134" t="s">
        <v>11</v>
      </c>
      <c r="G384" s="111">
        <f>G385+G387+G389</f>
        <v>95232.9</v>
      </c>
      <c r="H384" s="111">
        <f>H385+H389+H387</f>
        <v>3792.2</v>
      </c>
      <c r="I384" s="111">
        <f>I385+I389+I387</f>
        <v>99025.099999999991</v>
      </c>
      <c r="J384" s="114">
        <f t="shared" ref="G384:O385" si="82">J385</f>
        <v>0</v>
      </c>
      <c r="K384" s="111">
        <f t="shared" si="82"/>
        <v>0</v>
      </c>
      <c r="L384" s="114">
        <f t="shared" si="82"/>
        <v>0</v>
      </c>
      <c r="M384" s="111">
        <f>M385+M387+M389</f>
        <v>95232.9</v>
      </c>
      <c r="N384" s="111">
        <f>N385+N389+N387</f>
        <v>3792.2</v>
      </c>
      <c r="O384" s="111">
        <f>O385+O389+O387</f>
        <v>99025.099999999991</v>
      </c>
      <c r="P384" s="97"/>
      <c r="Q384" s="97"/>
    </row>
    <row r="385" spans="1:17" ht="31.5" x14ac:dyDescent="0.2">
      <c r="A385" s="40"/>
      <c r="B385" s="113" t="s">
        <v>134</v>
      </c>
      <c r="C385" s="113" t="s">
        <v>51</v>
      </c>
      <c r="D385" s="133" t="s">
        <v>388</v>
      </c>
      <c r="E385" s="133" t="s">
        <v>251</v>
      </c>
      <c r="F385" s="134" t="s">
        <v>11</v>
      </c>
      <c r="G385" s="111">
        <f t="shared" si="82"/>
        <v>93312.9</v>
      </c>
      <c r="H385" s="111">
        <f t="shared" si="82"/>
        <v>3792.2</v>
      </c>
      <c r="I385" s="111">
        <f t="shared" si="82"/>
        <v>97105.099999999991</v>
      </c>
      <c r="J385" s="114">
        <f t="shared" si="82"/>
        <v>0</v>
      </c>
      <c r="K385" s="111"/>
      <c r="L385" s="114">
        <f t="shared" si="82"/>
        <v>0</v>
      </c>
      <c r="M385" s="111">
        <f t="shared" si="82"/>
        <v>93312.9</v>
      </c>
      <c r="N385" s="111">
        <f t="shared" si="82"/>
        <v>3792.2</v>
      </c>
      <c r="O385" s="111">
        <f t="shared" si="82"/>
        <v>97105.099999999991</v>
      </c>
      <c r="P385" s="97"/>
      <c r="Q385" s="97"/>
    </row>
    <row r="386" spans="1:17" ht="33.6" customHeight="1" x14ac:dyDescent="0.2">
      <c r="A386" s="40"/>
      <c r="B386" s="113" t="s">
        <v>95</v>
      </c>
      <c r="C386" s="113" t="s">
        <v>51</v>
      </c>
      <c r="D386" s="133" t="s">
        <v>388</v>
      </c>
      <c r="E386" s="133" t="s">
        <v>251</v>
      </c>
      <c r="F386" s="134" t="s">
        <v>96</v>
      </c>
      <c r="G386" s="111">
        <v>93312.9</v>
      </c>
      <c r="H386" s="111">
        <f>2292.2+1500</f>
        <v>3792.2</v>
      </c>
      <c r="I386" s="111">
        <f>SUM(G386)+H386</f>
        <v>97105.099999999991</v>
      </c>
      <c r="J386" s="115">
        <v>0</v>
      </c>
      <c r="K386" s="106"/>
      <c r="L386" s="115">
        <v>0</v>
      </c>
      <c r="M386" s="111">
        <f>SUM(G386)</f>
        <v>93312.9</v>
      </c>
      <c r="N386" s="111">
        <f>SUM(H386)</f>
        <v>3792.2</v>
      </c>
      <c r="O386" s="111">
        <f>SUM(M386)+N386</f>
        <v>97105.099999999991</v>
      </c>
      <c r="P386" s="97"/>
      <c r="Q386" s="97"/>
    </row>
    <row r="387" spans="1:17" ht="33.6" customHeight="1" x14ac:dyDescent="0.2">
      <c r="A387" s="40"/>
      <c r="B387" s="145" t="s">
        <v>392</v>
      </c>
      <c r="C387" s="113">
        <v>992</v>
      </c>
      <c r="D387" s="133" t="s">
        <v>388</v>
      </c>
      <c r="E387" s="136" t="s">
        <v>393</v>
      </c>
      <c r="F387" s="134"/>
      <c r="G387" s="111">
        <f>SUM(G388)</f>
        <v>779</v>
      </c>
      <c r="H387" s="111"/>
      <c r="I387" s="111">
        <f>SUM(G387)</f>
        <v>779</v>
      </c>
      <c r="J387" s="115"/>
      <c r="K387" s="106"/>
      <c r="L387" s="115"/>
      <c r="M387" s="111">
        <f>SUM(G387)</f>
        <v>779</v>
      </c>
      <c r="N387" s="111">
        <f t="shared" ref="N387:O390" si="83">SUM(H387)</f>
        <v>0</v>
      </c>
      <c r="O387" s="111">
        <f t="shared" si="83"/>
        <v>779</v>
      </c>
      <c r="P387" s="97"/>
      <c r="Q387" s="97"/>
    </row>
    <row r="388" spans="1:17" ht="33.6" customHeight="1" x14ac:dyDescent="0.2">
      <c r="A388" s="40"/>
      <c r="B388" s="113" t="s">
        <v>95</v>
      </c>
      <c r="C388" s="113">
        <v>992</v>
      </c>
      <c r="D388" s="133" t="s">
        <v>388</v>
      </c>
      <c r="E388" s="136" t="s">
        <v>393</v>
      </c>
      <c r="F388" s="134">
        <v>600</v>
      </c>
      <c r="G388" s="111">
        <v>779</v>
      </c>
      <c r="H388" s="111"/>
      <c r="I388" s="111">
        <f>SUM(G388)</f>
        <v>779</v>
      </c>
      <c r="J388" s="115"/>
      <c r="K388" s="106"/>
      <c r="L388" s="115"/>
      <c r="M388" s="111">
        <f>SUM(G388)</f>
        <v>779</v>
      </c>
      <c r="N388" s="111">
        <f t="shared" si="83"/>
        <v>0</v>
      </c>
      <c r="O388" s="111">
        <f t="shared" si="83"/>
        <v>779</v>
      </c>
      <c r="P388" s="97"/>
      <c r="Q388" s="97"/>
    </row>
    <row r="389" spans="1:17" ht="51" customHeight="1" x14ac:dyDescent="0.2">
      <c r="A389" s="40"/>
      <c r="B389" s="113" t="s">
        <v>283</v>
      </c>
      <c r="C389" s="113">
        <v>992</v>
      </c>
      <c r="D389" s="133" t="s">
        <v>388</v>
      </c>
      <c r="E389" s="136" t="s">
        <v>284</v>
      </c>
      <c r="F389" s="134"/>
      <c r="G389" s="111">
        <f>SUM(G390)</f>
        <v>1141</v>
      </c>
      <c r="H389" s="111">
        <f>SUM(H390)</f>
        <v>0</v>
      </c>
      <c r="I389" s="111">
        <f>SUM(G389)</f>
        <v>1141</v>
      </c>
      <c r="J389" s="115"/>
      <c r="K389" s="106"/>
      <c r="L389" s="115"/>
      <c r="M389" s="111">
        <f>SUM(G389)</f>
        <v>1141</v>
      </c>
      <c r="N389" s="111">
        <f t="shared" si="83"/>
        <v>0</v>
      </c>
      <c r="O389" s="111">
        <f t="shared" si="83"/>
        <v>1141</v>
      </c>
      <c r="P389" s="97"/>
      <c r="Q389" s="97"/>
    </row>
    <row r="390" spans="1:17" ht="33.6" customHeight="1" x14ac:dyDescent="0.2">
      <c r="A390" s="40"/>
      <c r="B390" s="113" t="s">
        <v>95</v>
      </c>
      <c r="C390" s="113">
        <v>992</v>
      </c>
      <c r="D390" s="133" t="s">
        <v>388</v>
      </c>
      <c r="E390" s="136" t="s">
        <v>284</v>
      </c>
      <c r="F390" s="134">
        <v>600</v>
      </c>
      <c r="G390" s="111">
        <v>1141</v>
      </c>
      <c r="H390" s="111"/>
      <c r="I390" s="111">
        <f>SUM(G390)</f>
        <v>1141</v>
      </c>
      <c r="J390" s="115"/>
      <c r="K390" s="106"/>
      <c r="L390" s="115"/>
      <c r="M390" s="111">
        <f>SUM(G390)</f>
        <v>1141</v>
      </c>
      <c r="N390" s="111">
        <f t="shared" si="83"/>
        <v>0</v>
      </c>
      <c r="O390" s="111">
        <f t="shared" si="83"/>
        <v>1141</v>
      </c>
      <c r="P390" s="97"/>
      <c r="Q390" s="97"/>
    </row>
    <row r="391" spans="1:17" ht="15.75" x14ac:dyDescent="0.2">
      <c r="A391" s="20" t="s">
        <v>394</v>
      </c>
      <c r="B391" s="107" t="s">
        <v>395</v>
      </c>
      <c r="C391" s="107" t="s">
        <v>51</v>
      </c>
      <c r="D391" s="129" t="s">
        <v>396</v>
      </c>
      <c r="E391" s="129" t="s">
        <v>11</v>
      </c>
      <c r="F391" s="130" t="s">
        <v>11</v>
      </c>
      <c r="G391" s="106">
        <f>G392</f>
        <v>14920.400000000001</v>
      </c>
      <c r="H391" s="109">
        <f>H392</f>
        <v>496.4</v>
      </c>
      <c r="I391" s="106">
        <f>I392</f>
        <v>15416.800000000003</v>
      </c>
      <c r="J391" s="108">
        <f>J392</f>
        <v>844.2</v>
      </c>
      <c r="K391" s="109">
        <f>K392+K406</f>
        <v>0</v>
      </c>
      <c r="L391" s="108">
        <f>L392</f>
        <v>844.2</v>
      </c>
      <c r="M391" s="106">
        <f>M392</f>
        <v>15476.400000000001</v>
      </c>
      <c r="N391" s="106">
        <f>N392</f>
        <v>496.4</v>
      </c>
      <c r="O391" s="106">
        <f>O392</f>
        <v>15972.800000000003</v>
      </c>
      <c r="P391" s="97"/>
      <c r="Q391" s="97"/>
    </row>
    <row r="392" spans="1:17" ht="15.75" x14ac:dyDescent="0.2">
      <c r="A392" s="33" t="s">
        <v>397</v>
      </c>
      <c r="B392" s="110" t="s">
        <v>398</v>
      </c>
      <c r="C392" s="110" t="s">
        <v>51</v>
      </c>
      <c r="D392" s="131" t="s">
        <v>399</v>
      </c>
      <c r="E392" s="131" t="s">
        <v>11</v>
      </c>
      <c r="F392" s="132" t="s">
        <v>11</v>
      </c>
      <c r="G392" s="109">
        <f>G393+G409</f>
        <v>14920.400000000001</v>
      </c>
      <c r="H392" s="111">
        <f>H393+H398</f>
        <v>496.4</v>
      </c>
      <c r="I392" s="109">
        <f>I393+I409</f>
        <v>15416.800000000003</v>
      </c>
      <c r="J392" s="112">
        <f>J393+J409</f>
        <v>844.2</v>
      </c>
      <c r="K392" s="111">
        <f>K393+K399</f>
        <v>0</v>
      </c>
      <c r="L392" s="112">
        <f>L393+L409</f>
        <v>844.2</v>
      </c>
      <c r="M392" s="109">
        <f>M393+M409</f>
        <v>15476.400000000001</v>
      </c>
      <c r="N392" s="109">
        <f>N393+N409</f>
        <v>496.4</v>
      </c>
      <c r="O392" s="109">
        <f>O393+O409</f>
        <v>15972.800000000003</v>
      </c>
      <c r="P392" s="97"/>
      <c r="Q392" s="97"/>
    </row>
    <row r="393" spans="1:17" ht="31.5" x14ac:dyDescent="0.2">
      <c r="A393" s="40"/>
      <c r="B393" s="113" t="s">
        <v>400</v>
      </c>
      <c r="C393" s="113" t="s">
        <v>51</v>
      </c>
      <c r="D393" s="133" t="s">
        <v>399</v>
      </c>
      <c r="E393" s="133" t="s">
        <v>401</v>
      </c>
      <c r="F393" s="134" t="s">
        <v>11</v>
      </c>
      <c r="G393" s="111">
        <f>G394+G400</f>
        <v>14840.400000000001</v>
      </c>
      <c r="H393" s="111">
        <f>H394+H400</f>
        <v>496.4</v>
      </c>
      <c r="I393" s="111">
        <f>I394+I400</f>
        <v>15336.800000000003</v>
      </c>
      <c r="J393" s="111">
        <f>J394+J396+J407</f>
        <v>844.2</v>
      </c>
      <c r="K393" s="111">
        <f>K394+K400+K407</f>
        <v>0</v>
      </c>
      <c r="L393" s="111">
        <f>L394+L396+L407</f>
        <v>844.2</v>
      </c>
      <c r="M393" s="111">
        <f>M394+M400</f>
        <v>15396.400000000001</v>
      </c>
      <c r="N393" s="111">
        <f>N394+N400</f>
        <v>496.4</v>
      </c>
      <c r="O393" s="111">
        <f>O394+O400</f>
        <v>15892.800000000003</v>
      </c>
      <c r="P393" s="97"/>
      <c r="Q393" s="97"/>
    </row>
    <row r="394" spans="1:17" ht="47.25" x14ac:dyDescent="0.2">
      <c r="A394" s="40"/>
      <c r="B394" s="113" t="s">
        <v>402</v>
      </c>
      <c r="C394" s="113" t="s">
        <v>51</v>
      </c>
      <c r="D394" s="133" t="s">
        <v>399</v>
      </c>
      <c r="E394" s="133" t="s">
        <v>403</v>
      </c>
      <c r="F394" s="134" t="s">
        <v>11</v>
      </c>
      <c r="G394" s="111">
        <f>G395+G398</f>
        <v>2346.5</v>
      </c>
      <c r="H394" s="111">
        <f>H395</f>
        <v>301.3</v>
      </c>
      <c r="I394" s="111">
        <f>I395+I398</f>
        <v>2647.8</v>
      </c>
      <c r="J394" s="114">
        <f>J395+J398</f>
        <v>400</v>
      </c>
      <c r="K394" s="111">
        <f>K395</f>
        <v>0</v>
      </c>
      <c r="L394" s="114">
        <f>L395+L398</f>
        <v>400</v>
      </c>
      <c r="M394" s="111">
        <f>M395+M398</f>
        <v>2746.5</v>
      </c>
      <c r="N394" s="111">
        <f>N395+N398</f>
        <v>301.3</v>
      </c>
      <c r="O394" s="111">
        <f>O395+O398</f>
        <v>3047.8</v>
      </c>
      <c r="P394" s="97"/>
      <c r="Q394" s="97"/>
    </row>
    <row r="395" spans="1:17" ht="47.25" x14ac:dyDescent="0.2">
      <c r="A395" s="40"/>
      <c r="B395" s="113" t="s">
        <v>404</v>
      </c>
      <c r="C395" s="113" t="s">
        <v>51</v>
      </c>
      <c r="D395" s="133" t="s">
        <v>399</v>
      </c>
      <c r="E395" s="133" t="s">
        <v>405</v>
      </c>
      <c r="F395" s="134" t="s">
        <v>11</v>
      </c>
      <c r="G395" s="111">
        <f>G396+G397</f>
        <v>1571</v>
      </c>
      <c r="H395" s="111">
        <f>SUM(H396:H397)</f>
        <v>301.3</v>
      </c>
      <c r="I395" s="111">
        <f>I396+I397</f>
        <v>1872.3</v>
      </c>
      <c r="J395" s="114">
        <f>J396+J397</f>
        <v>400</v>
      </c>
      <c r="K395" s="111">
        <f>SUM(K396:K397)</f>
        <v>0</v>
      </c>
      <c r="L395" s="114">
        <f>L396+L397</f>
        <v>400</v>
      </c>
      <c r="M395" s="111">
        <f>M396+M397</f>
        <v>1971</v>
      </c>
      <c r="N395" s="111">
        <f>H395+K395</f>
        <v>301.3</v>
      </c>
      <c r="O395" s="111">
        <f>O396+O397</f>
        <v>2272.3000000000002</v>
      </c>
      <c r="P395" s="97"/>
      <c r="Q395" s="97"/>
    </row>
    <row r="396" spans="1:17" ht="78.75" x14ac:dyDescent="0.2">
      <c r="A396" s="40"/>
      <c r="B396" s="113" t="s">
        <v>61</v>
      </c>
      <c r="C396" s="113" t="s">
        <v>51</v>
      </c>
      <c r="D396" s="133" t="s">
        <v>399</v>
      </c>
      <c r="E396" s="133" t="s">
        <v>405</v>
      </c>
      <c r="F396" s="134" t="s">
        <v>62</v>
      </c>
      <c r="G396" s="111">
        <v>1500</v>
      </c>
      <c r="H396" s="111">
        <v>301.3</v>
      </c>
      <c r="I396" s="111">
        <f>SUM(G396:H396)</f>
        <v>1801.3</v>
      </c>
      <c r="J396" s="115">
        <v>288.2</v>
      </c>
      <c r="K396" s="111"/>
      <c r="L396" s="115">
        <f>SUM(J396:K396)</f>
        <v>288.2</v>
      </c>
      <c r="M396" s="111">
        <f>G396+J396</f>
        <v>1788.2</v>
      </c>
      <c r="N396" s="111">
        <f>H396+K396</f>
        <v>301.3</v>
      </c>
      <c r="O396" s="111">
        <f>SUM(M396:N396)</f>
        <v>2089.5</v>
      </c>
      <c r="P396" s="97"/>
      <c r="Q396" s="97"/>
    </row>
    <row r="397" spans="1:17" ht="31.5" x14ac:dyDescent="0.2">
      <c r="A397" s="40"/>
      <c r="B397" s="113" t="s">
        <v>408</v>
      </c>
      <c r="C397" s="113" t="s">
        <v>51</v>
      </c>
      <c r="D397" s="133" t="s">
        <v>399</v>
      </c>
      <c r="E397" s="133" t="s">
        <v>405</v>
      </c>
      <c r="F397" s="134">
        <v>200</v>
      </c>
      <c r="G397" s="111">
        <v>71</v>
      </c>
      <c r="H397" s="111"/>
      <c r="I397" s="111">
        <f>SUM(G397:H397)</f>
        <v>71</v>
      </c>
      <c r="J397" s="115">
        <v>111.8</v>
      </c>
      <c r="K397" s="111"/>
      <c r="L397" s="115">
        <f>SUM(J397:K397)</f>
        <v>111.8</v>
      </c>
      <c r="M397" s="111">
        <f>G397+J397</f>
        <v>182.8</v>
      </c>
      <c r="N397" s="111">
        <f>H397+K397</f>
        <v>0</v>
      </c>
      <c r="O397" s="111">
        <f>SUM(M397:N397)</f>
        <v>182.8</v>
      </c>
      <c r="P397" s="97"/>
      <c r="Q397" s="97"/>
    </row>
    <row r="398" spans="1:17" ht="47.25" x14ac:dyDescent="0.2">
      <c r="A398" s="40"/>
      <c r="B398" s="113" t="s">
        <v>406</v>
      </c>
      <c r="C398" s="113" t="s">
        <v>51</v>
      </c>
      <c r="D398" s="133" t="s">
        <v>399</v>
      </c>
      <c r="E398" s="133" t="s">
        <v>407</v>
      </c>
      <c r="F398" s="134" t="s">
        <v>11</v>
      </c>
      <c r="G398" s="111">
        <f>G399</f>
        <v>775.5</v>
      </c>
      <c r="H398" s="111"/>
      <c r="I398" s="111">
        <f>I399</f>
        <v>775.5</v>
      </c>
      <c r="J398" s="114">
        <f>J399</f>
        <v>0</v>
      </c>
      <c r="K398" s="111"/>
      <c r="L398" s="114">
        <f>L399</f>
        <v>0</v>
      </c>
      <c r="M398" s="111">
        <f>M399</f>
        <v>775.5</v>
      </c>
      <c r="N398" s="111">
        <f>N399</f>
        <v>0</v>
      </c>
      <c r="O398" s="111">
        <f>O399</f>
        <v>775.5</v>
      </c>
      <c r="P398" s="97"/>
      <c r="Q398" s="97"/>
    </row>
    <row r="399" spans="1:17" ht="31.5" x14ac:dyDescent="0.2">
      <c r="A399" s="40"/>
      <c r="B399" s="113" t="s">
        <v>408</v>
      </c>
      <c r="C399" s="113" t="s">
        <v>51</v>
      </c>
      <c r="D399" s="133" t="s">
        <v>399</v>
      </c>
      <c r="E399" s="133" t="s">
        <v>407</v>
      </c>
      <c r="F399" s="134" t="s">
        <v>41</v>
      </c>
      <c r="G399" s="111">
        <v>775.5</v>
      </c>
      <c r="H399" s="111"/>
      <c r="I399" s="111">
        <f>SUM(G399)</f>
        <v>775.5</v>
      </c>
      <c r="J399" s="115">
        <v>0</v>
      </c>
      <c r="K399" s="111"/>
      <c r="L399" s="115">
        <v>0</v>
      </c>
      <c r="M399" s="111">
        <f>SUM(G399)</f>
        <v>775.5</v>
      </c>
      <c r="N399" s="111">
        <f>SUM(H399)</f>
        <v>0</v>
      </c>
      <c r="O399" s="111">
        <f>SUM(I399)</f>
        <v>775.5</v>
      </c>
      <c r="P399" s="97"/>
      <c r="Q399" s="97"/>
    </row>
    <row r="400" spans="1:17" ht="49.15" customHeight="1" x14ac:dyDescent="0.2">
      <c r="A400" s="40"/>
      <c r="B400" s="113" t="s">
        <v>409</v>
      </c>
      <c r="C400" s="113" t="s">
        <v>51</v>
      </c>
      <c r="D400" s="133" t="s">
        <v>399</v>
      </c>
      <c r="E400" s="133" t="s">
        <v>410</v>
      </c>
      <c r="F400" s="134" t="s">
        <v>11</v>
      </c>
      <c r="G400" s="111">
        <f>G401+G405</f>
        <v>12493.900000000001</v>
      </c>
      <c r="H400" s="111">
        <f>H401</f>
        <v>195.1</v>
      </c>
      <c r="I400" s="111">
        <f>I401+I405</f>
        <v>12689.000000000002</v>
      </c>
      <c r="J400" s="114">
        <f>J401+J405+J407</f>
        <v>156</v>
      </c>
      <c r="K400" s="111">
        <f>K401+K402+K407</f>
        <v>0</v>
      </c>
      <c r="L400" s="114">
        <f>L401+L405+L407</f>
        <v>156</v>
      </c>
      <c r="M400" s="111">
        <f>M401+M405+M407</f>
        <v>12649.900000000001</v>
      </c>
      <c r="N400" s="111">
        <f>N401+N405</f>
        <v>195.1</v>
      </c>
      <c r="O400" s="111">
        <f>O401+O405+O407</f>
        <v>12845.000000000002</v>
      </c>
      <c r="P400" s="97"/>
      <c r="Q400" s="97"/>
    </row>
    <row r="401" spans="1:17" ht="31.5" x14ac:dyDescent="0.2">
      <c r="A401" s="40"/>
      <c r="B401" s="113" t="s">
        <v>134</v>
      </c>
      <c r="C401" s="113" t="s">
        <v>51</v>
      </c>
      <c r="D401" s="133" t="s">
        <v>399</v>
      </c>
      <c r="E401" s="133" t="s">
        <v>411</v>
      </c>
      <c r="F401" s="134" t="s">
        <v>11</v>
      </c>
      <c r="G401" s="111">
        <f>G402+G403+G404</f>
        <v>11688.800000000001</v>
      </c>
      <c r="H401" s="111">
        <f>H402+H403+H404</f>
        <v>195.1</v>
      </c>
      <c r="I401" s="111">
        <f>I402+I403+I404</f>
        <v>11883.900000000001</v>
      </c>
      <c r="J401" s="114">
        <f>J402+J403+J404</f>
        <v>0</v>
      </c>
      <c r="K401" s="111">
        <f>SUM(K403)</f>
        <v>0</v>
      </c>
      <c r="L401" s="114">
        <f>L402+L403+L404</f>
        <v>0</v>
      </c>
      <c r="M401" s="111">
        <f>M402+M403+M404</f>
        <v>11688.800000000001</v>
      </c>
      <c r="N401" s="111">
        <f>N402+N403+N404</f>
        <v>195.1</v>
      </c>
      <c r="O401" s="111">
        <f>O402+O403+O404</f>
        <v>11883.900000000001</v>
      </c>
      <c r="P401" s="97"/>
      <c r="Q401" s="97"/>
    </row>
    <row r="402" spans="1:17" ht="78.75" x14ac:dyDescent="0.2">
      <c r="A402" s="40"/>
      <c r="B402" s="113" t="s">
        <v>61</v>
      </c>
      <c r="C402" s="113" t="s">
        <v>51</v>
      </c>
      <c r="D402" s="133" t="s">
        <v>399</v>
      </c>
      <c r="E402" s="133" t="s">
        <v>411</v>
      </c>
      <c r="F402" s="134" t="s">
        <v>62</v>
      </c>
      <c r="G402" s="111">
        <v>8949.5</v>
      </c>
      <c r="H402" s="111"/>
      <c r="I402" s="111">
        <f>SUM(G402)+H402</f>
        <v>8949.5</v>
      </c>
      <c r="J402" s="115">
        <v>0</v>
      </c>
      <c r="K402" s="111"/>
      <c r="L402" s="115">
        <v>0</v>
      </c>
      <c r="M402" s="111">
        <f>SUM(G402)</f>
        <v>8949.5</v>
      </c>
      <c r="N402" s="111">
        <f>SUM(H402)</f>
        <v>0</v>
      </c>
      <c r="O402" s="111">
        <f>SUM(I402)</f>
        <v>8949.5</v>
      </c>
      <c r="P402" s="97"/>
      <c r="Q402" s="97"/>
    </row>
    <row r="403" spans="1:17" ht="31.5" x14ac:dyDescent="0.2">
      <c r="A403" s="40"/>
      <c r="B403" s="113" t="s">
        <v>40</v>
      </c>
      <c r="C403" s="113" t="s">
        <v>51</v>
      </c>
      <c r="D403" s="133" t="s">
        <v>399</v>
      </c>
      <c r="E403" s="133" t="s">
        <v>411</v>
      </c>
      <c r="F403" s="134" t="s">
        <v>41</v>
      </c>
      <c r="G403" s="111">
        <v>2735.6</v>
      </c>
      <c r="H403" s="111">
        <v>195.1</v>
      </c>
      <c r="I403" s="111">
        <f>SUM(G403)+H403</f>
        <v>2930.7</v>
      </c>
      <c r="J403" s="115">
        <v>0</v>
      </c>
      <c r="K403" s="111"/>
      <c r="L403" s="114">
        <f>K403</f>
        <v>0</v>
      </c>
      <c r="M403" s="111">
        <f>SUM(G403)</f>
        <v>2735.6</v>
      </c>
      <c r="N403" s="111">
        <f>SUM(H403+K403)</f>
        <v>195.1</v>
      </c>
      <c r="O403" s="111">
        <f>SUM(I403)</f>
        <v>2930.7</v>
      </c>
      <c r="P403" s="97"/>
      <c r="Q403" s="97"/>
    </row>
    <row r="404" spans="1:17" ht="15.75" x14ac:dyDescent="0.2">
      <c r="A404" s="40"/>
      <c r="B404" s="113" t="s">
        <v>338</v>
      </c>
      <c r="C404" s="113" t="s">
        <v>51</v>
      </c>
      <c r="D404" s="133" t="s">
        <v>399</v>
      </c>
      <c r="E404" s="133" t="s">
        <v>411</v>
      </c>
      <c r="F404" s="134" t="s">
        <v>71</v>
      </c>
      <c r="G404" s="111">
        <v>3.7</v>
      </c>
      <c r="H404" s="111"/>
      <c r="I404" s="111">
        <v>3.7</v>
      </c>
      <c r="J404" s="115">
        <v>0</v>
      </c>
      <c r="K404" s="111"/>
      <c r="L404" s="115">
        <v>0</v>
      </c>
      <c r="M404" s="111">
        <v>3.7</v>
      </c>
      <c r="N404" s="111"/>
      <c r="O404" s="111">
        <v>3.7</v>
      </c>
      <c r="P404" s="97"/>
      <c r="Q404" s="97"/>
    </row>
    <row r="405" spans="1:17" ht="31.5" x14ac:dyDescent="0.2">
      <c r="A405" s="40"/>
      <c r="B405" s="113" t="s">
        <v>412</v>
      </c>
      <c r="C405" s="113" t="s">
        <v>51</v>
      </c>
      <c r="D405" s="133" t="s">
        <v>399</v>
      </c>
      <c r="E405" s="133" t="s">
        <v>413</v>
      </c>
      <c r="F405" s="134" t="s">
        <v>11</v>
      </c>
      <c r="G405" s="111">
        <f>G406</f>
        <v>805.1</v>
      </c>
      <c r="H405" s="111"/>
      <c r="I405" s="111">
        <f>I406</f>
        <v>805.1</v>
      </c>
      <c r="J405" s="114">
        <f>J406</f>
        <v>0</v>
      </c>
      <c r="K405" s="111"/>
      <c r="L405" s="114">
        <f>L406</f>
        <v>0</v>
      </c>
      <c r="M405" s="111">
        <f>M406</f>
        <v>805.1</v>
      </c>
      <c r="N405" s="111">
        <f>N406</f>
        <v>0</v>
      </c>
      <c r="O405" s="111">
        <f>O406</f>
        <v>805.1</v>
      </c>
      <c r="P405" s="97"/>
      <c r="Q405" s="97"/>
    </row>
    <row r="406" spans="1:17" ht="31.5" x14ac:dyDescent="0.2">
      <c r="A406" s="40"/>
      <c r="B406" s="113" t="s">
        <v>40</v>
      </c>
      <c r="C406" s="113" t="s">
        <v>51</v>
      </c>
      <c r="D406" s="133" t="s">
        <v>399</v>
      </c>
      <c r="E406" s="133" t="s">
        <v>413</v>
      </c>
      <c r="F406" s="134" t="s">
        <v>41</v>
      </c>
      <c r="G406" s="111">
        <v>805.1</v>
      </c>
      <c r="H406" s="111"/>
      <c r="I406" s="111">
        <f>SUM(G406)+H406</f>
        <v>805.1</v>
      </c>
      <c r="J406" s="115">
        <v>0</v>
      </c>
      <c r="K406" s="111"/>
      <c r="L406" s="115">
        <v>0</v>
      </c>
      <c r="M406" s="111">
        <f>SUM(G406)</f>
        <v>805.1</v>
      </c>
      <c r="N406" s="111">
        <f>SUM(H406)</f>
        <v>0</v>
      </c>
      <c r="O406" s="111">
        <f>SUM(M406)+N406</f>
        <v>805.1</v>
      </c>
      <c r="P406" s="97"/>
      <c r="Q406" s="97"/>
    </row>
    <row r="407" spans="1:17" ht="40.9" customHeight="1" x14ac:dyDescent="0.2">
      <c r="A407" s="40"/>
      <c r="B407" s="96" t="s">
        <v>414</v>
      </c>
      <c r="C407" s="113">
        <v>992</v>
      </c>
      <c r="D407" s="133" t="s">
        <v>399</v>
      </c>
      <c r="E407" s="136" t="s">
        <v>415</v>
      </c>
      <c r="F407" s="134"/>
      <c r="G407" s="111"/>
      <c r="H407" s="111"/>
      <c r="I407" s="111"/>
      <c r="J407" s="115">
        <v>156</v>
      </c>
      <c r="K407" s="111"/>
      <c r="L407" s="115">
        <f>SUM(L408)</f>
        <v>156</v>
      </c>
      <c r="M407" s="111">
        <f t="shared" ref="M407:O408" si="84">SUM(J407)</f>
        <v>156</v>
      </c>
      <c r="N407" s="111">
        <f t="shared" si="84"/>
        <v>0</v>
      </c>
      <c r="O407" s="111">
        <f t="shared" si="84"/>
        <v>156</v>
      </c>
      <c r="P407" s="97"/>
      <c r="Q407" s="97"/>
    </row>
    <row r="408" spans="1:17" ht="31.5" x14ac:dyDescent="0.2">
      <c r="A408" s="40"/>
      <c r="B408" s="113" t="s">
        <v>40</v>
      </c>
      <c r="C408" s="113">
        <v>992</v>
      </c>
      <c r="D408" s="133" t="s">
        <v>399</v>
      </c>
      <c r="E408" s="136" t="s">
        <v>415</v>
      </c>
      <c r="F408" s="134">
        <v>200</v>
      </c>
      <c r="G408" s="111"/>
      <c r="H408" s="111"/>
      <c r="I408" s="111"/>
      <c r="J408" s="115">
        <v>156</v>
      </c>
      <c r="K408" s="111"/>
      <c r="L408" s="115">
        <f>SUM(J408)</f>
        <v>156</v>
      </c>
      <c r="M408" s="111">
        <f t="shared" si="84"/>
        <v>156</v>
      </c>
      <c r="N408" s="111">
        <f t="shared" si="84"/>
        <v>0</v>
      </c>
      <c r="O408" s="111">
        <f t="shared" si="84"/>
        <v>156</v>
      </c>
      <c r="P408" s="97"/>
      <c r="Q408" s="97"/>
    </row>
    <row r="409" spans="1:17" ht="31.5" x14ac:dyDescent="0.2">
      <c r="A409" s="40"/>
      <c r="B409" s="113" t="s">
        <v>87</v>
      </c>
      <c r="C409" s="113" t="s">
        <v>51</v>
      </c>
      <c r="D409" s="133" t="s">
        <v>399</v>
      </c>
      <c r="E409" s="133" t="s">
        <v>88</v>
      </c>
      <c r="F409" s="134" t="s">
        <v>11</v>
      </c>
      <c r="G409" s="111">
        <f t="shared" ref="G409:O412" si="85">G410</f>
        <v>80</v>
      </c>
      <c r="H409" s="111">
        <f t="shared" si="85"/>
        <v>0</v>
      </c>
      <c r="I409" s="111">
        <f t="shared" si="85"/>
        <v>80</v>
      </c>
      <c r="J409" s="114">
        <f t="shared" si="85"/>
        <v>0</v>
      </c>
      <c r="K409" s="111">
        <f>K410</f>
        <v>0</v>
      </c>
      <c r="L409" s="114">
        <f t="shared" si="85"/>
        <v>0</v>
      </c>
      <c r="M409" s="111">
        <f t="shared" si="85"/>
        <v>80</v>
      </c>
      <c r="N409" s="111">
        <f t="shared" si="85"/>
        <v>0</v>
      </c>
      <c r="O409" s="111">
        <f t="shared" si="85"/>
        <v>80</v>
      </c>
      <c r="P409" s="97"/>
      <c r="Q409" s="97"/>
    </row>
    <row r="410" spans="1:17" ht="33" customHeight="1" x14ac:dyDescent="0.2">
      <c r="A410" s="40"/>
      <c r="B410" s="113" t="s">
        <v>89</v>
      </c>
      <c r="C410" s="113" t="s">
        <v>51</v>
      </c>
      <c r="D410" s="133" t="s">
        <v>399</v>
      </c>
      <c r="E410" s="133" t="s">
        <v>90</v>
      </c>
      <c r="F410" s="134" t="s">
        <v>11</v>
      </c>
      <c r="G410" s="111">
        <f t="shared" si="85"/>
        <v>80</v>
      </c>
      <c r="H410" s="111">
        <f t="shared" si="85"/>
        <v>0</v>
      </c>
      <c r="I410" s="111">
        <f t="shared" si="85"/>
        <v>80</v>
      </c>
      <c r="J410" s="114">
        <f t="shared" si="85"/>
        <v>0</v>
      </c>
      <c r="K410" s="111">
        <f>K411</f>
        <v>0</v>
      </c>
      <c r="L410" s="114">
        <f t="shared" si="85"/>
        <v>0</v>
      </c>
      <c r="M410" s="111">
        <f t="shared" si="85"/>
        <v>80</v>
      </c>
      <c r="N410" s="111">
        <f t="shared" si="85"/>
        <v>0</v>
      </c>
      <c r="O410" s="111">
        <f t="shared" si="85"/>
        <v>80</v>
      </c>
      <c r="P410" s="97"/>
      <c r="Q410" s="97"/>
    </row>
    <row r="411" spans="1:17" ht="40.9" customHeight="1" x14ac:dyDescent="0.2">
      <c r="A411" s="40"/>
      <c r="B411" s="113" t="s">
        <v>91</v>
      </c>
      <c r="C411" s="113" t="s">
        <v>51</v>
      </c>
      <c r="D411" s="133" t="s">
        <v>399</v>
      </c>
      <c r="E411" s="133" t="s">
        <v>92</v>
      </c>
      <c r="F411" s="134" t="s">
        <v>11</v>
      </c>
      <c r="G411" s="111">
        <f t="shared" si="85"/>
        <v>80</v>
      </c>
      <c r="H411" s="111">
        <f t="shared" si="85"/>
        <v>0</v>
      </c>
      <c r="I411" s="111">
        <f t="shared" si="85"/>
        <v>80</v>
      </c>
      <c r="J411" s="114">
        <f t="shared" si="85"/>
        <v>0</v>
      </c>
      <c r="K411" s="111">
        <f>K412</f>
        <v>0</v>
      </c>
      <c r="L411" s="114">
        <f t="shared" si="85"/>
        <v>0</v>
      </c>
      <c r="M411" s="111">
        <f t="shared" si="85"/>
        <v>80</v>
      </c>
      <c r="N411" s="111">
        <f t="shared" si="85"/>
        <v>0</v>
      </c>
      <c r="O411" s="111">
        <f t="shared" si="85"/>
        <v>80</v>
      </c>
      <c r="P411" s="97"/>
      <c r="Q411" s="97"/>
    </row>
    <row r="412" spans="1:17" ht="47.25" x14ac:dyDescent="0.2">
      <c r="A412" s="40"/>
      <c r="B412" s="113" t="s">
        <v>93</v>
      </c>
      <c r="C412" s="113" t="s">
        <v>51</v>
      </c>
      <c r="D412" s="133" t="s">
        <v>399</v>
      </c>
      <c r="E412" s="133" t="s">
        <v>94</v>
      </c>
      <c r="F412" s="134" t="s">
        <v>11</v>
      </c>
      <c r="G412" s="111">
        <f>G413</f>
        <v>80</v>
      </c>
      <c r="H412" s="111"/>
      <c r="I412" s="111">
        <f>I413</f>
        <v>80</v>
      </c>
      <c r="J412" s="114">
        <f t="shared" si="85"/>
        <v>0</v>
      </c>
      <c r="K412" s="111"/>
      <c r="L412" s="114">
        <f t="shared" si="85"/>
        <v>0</v>
      </c>
      <c r="M412" s="111">
        <f t="shared" si="85"/>
        <v>80</v>
      </c>
      <c r="N412" s="111">
        <f t="shared" si="85"/>
        <v>0</v>
      </c>
      <c r="O412" s="111">
        <f t="shared" si="85"/>
        <v>80</v>
      </c>
      <c r="P412" s="97"/>
      <c r="Q412" s="97"/>
    </row>
    <row r="413" spans="1:17" ht="30.6" customHeight="1" x14ac:dyDescent="0.2">
      <c r="A413" s="40"/>
      <c r="B413" s="113" t="s">
        <v>95</v>
      </c>
      <c r="C413" s="113" t="s">
        <v>51</v>
      </c>
      <c r="D413" s="133" t="s">
        <v>399</v>
      </c>
      <c r="E413" s="133" t="s">
        <v>94</v>
      </c>
      <c r="F413" s="134" t="s">
        <v>96</v>
      </c>
      <c r="G413" s="111">
        <v>80</v>
      </c>
      <c r="H413" s="106"/>
      <c r="I413" s="111">
        <v>80</v>
      </c>
      <c r="J413" s="115">
        <v>0</v>
      </c>
      <c r="K413" s="106"/>
      <c r="L413" s="115">
        <v>0</v>
      </c>
      <c r="M413" s="111">
        <v>80</v>
      </c>
      <c r="N413" s="111"/>
      <c r="O413" s="111">
        <v>80</v>
      </c>
      <c r="P413" s="97"/>
      <c r="Q413" s="97"/>
    </row>
    <row r="414" spans="1:17" ht="15.75" x14ac:dyDescent="0.2">
      <c r="A414" s="20" t="s">
        <v>416</v>
      </c>
      <c r="B414" s="107" t="s">
        <v>417</v>
      </c>
      <c r="C414" s="107" t="s">
        <v>51</v>
      </c>
      <c r="D414" s="129" t="s">
        <v>418</v>
      </c>
      <c r="E414" s="129" t="s">
        <v>11</v>
      </c>
      <c r="F414" s="130" t="s">
        <v>11</v>
      </c>
      <c r="G414" s="106">
        <f>G415+G421+G427+G433</f>
        <v>71129.8</v>
      </c>
      <c r="H414" s="109">
        <f>H415+H421+H427</f>
        <v>-1046</v>
      </c>
      <c r="I414" s="106">
        <f>I415+I421+I427+I433</f>
        <v>70083.8</v>
      </c>
      <c r="J414" s="108">
        <f>J415+J421+J427+J433</f>
        <v>3074.2</v>
      </c>
      <c r="K414" s="109">
        <f>K415</f>
        <v>0</v>
      </c>
      <c r="L414" s="108">
        <f>L415+L421+L427+L433</f>
        <v>3074.2</v>
      </c>
      <c r="M414" s="106">
        <f>M415+M421+M427+M433</f>
        <v>74204</v>
      </c>
      <c r="N414" s="106">
        <f>N415+N421+N427+N433</f>
        <v>-1046</v>
      </c>
      <c r="O414" s="106">
        <f>O415+O421+O427+O433</f>
        <v>73158</v>
      </c>
      <c r="P414" s="97"/>
      <c r="Q414" s="97"/>
    </row>
    <row r="415" spans="1:17" ht="15.75" x14ac:dyDescent="0.2">
      <c r="A415" s="33" t="s">
        <v>419</v>
      </c>
      <c r="B415" s="110" t="s">
        <v>420</v>
      </c>
      <c r="C415" s="110" t="s">
        <v>51</v>
      </c>
      <c r="D415" s="131" t="s">
        <v>421</v>
      </c>
      <c r="E415" s="131" t="s">
        <v>11</v>
      </c>
      <c r="F415" s="132" t="s">
        <v>11</v>
      </c>
      <c r="G415" s="109">
        <f t="shared" ref="G415:O419" si="86">G416</f>
        <v>4133.6000000000004</v>
      </c>
      <c r="H415" s="111">
        <f t="shared" si="86"/>
        <v>0</v>
      </c>
      <c r="I415" s="109">
        <f t="shared" si="86"/>
        <v>4133.6000000000004</v>
      </c>
      <c r="J415" s="112">
        <f t="shared" si="86"/>
        <v>0</v>
      </c>
      <c r="K415" s="111">
        <f>K416</f>
        <v>0</v>
      </c>
      <c r="L415" s="112">
        <f t="shared" si="86"/>
        <v>0</v>
      </c>
      <c r="M415" s="109">
        <f t="shared" si="86"/>
        <v>4133.6000000000004</v>
      </c>
      <c r="N415" s="109">
        <f t="shared" si="86"/>
        <v>0</v>
      </c>
      <c r="O415" s="109">
        <f t="shared" si="86"/>
        <v>4133.6000000000004</v>
      </c>
      <c r="P415" s="97"/>
      <c r="Q415" s="97"/>
    </row>
    <row r="416" spans="1:17" ht="31.5" x14ac:dyDescent="0.2">
      <c r="A416" s="40"/>
      <c r="B416" s="113" t="s">
        <v>87</v>
      </c>
      <c r="C416" s="113" t="s">
        <v>51</v>
      </c>
      <c r="D416" s="133" t="s">
        <v>421</v>
      </c>
      <c r="E416" s="133" t="s">
        <v>88</v>
      </c>
      <c r="F416" s="134" t="s">
        <v>11</v>
      </c>
      <c r="G416" s="111">
        <f t="shared" si="86"/>
        <v>4133.6000000000004</v>
      </c>
      <c r="H416" s="111">
        <f t="shared" si="86"/>
        <v>0</v>
      </c>
      <c r="I416" s="111">
        <f t="shared" si="86"/>
        <v>4133.6000000000004</v>
      </c>
      <c r="J416" s="114">
        <f t="shared" si="86"/>
        <v>0</v>
      </c>
      <c r="K416" s="111">
        <f>K417</f>
        <v>0</v>
      </c>
      <c r="L416" s="114">
        <f t="shared" si="86"/>
        <v>0</v>
      </c>
      <c r="M416" s="111">
        <f t="shared" si="86"/>
        <v>4133.6000000000004</v>
      </c>
      <c r="N416" s="111">
        <f t="shared" si="86"/>
        <v>0</v>
      </c>
      <c r="O416" s="111">
        <f t="shared" si="86"/>
        <v>4133.6000000000004</v>
      </c>
      <c r="P416" s="97"/>
      <c r="Q416" s="97"/>
    </row>
    <row r="417" spans="1:17" ht="31.5" x14ac:dyDescent="0.2">
      <c r="A417" s="40"/>
      <c r="B417" s="113" t="s">
        <v>422</v>
      </c>
      <c r="C417" s="113" t="s">
        <v>51</v>
      </c>
      <c r="D417" s="133" t="s">
        <v>421</v>
      </c>
      <c r="E417" s="133" t="s">
        <v>423</v>
      </c>
      <c r="F417" s="134" t="s">
        <v>11</v>
      </c>
      <c r="G417" s="111">
        <f t="shared" si="86"/>
        <v>4133.6000000000004</v>
      </c>
      <c r="H417" s="111">
        <f t="shared" si="86"/>
        <v>0</v>
      </c>
      <c r="I417" s="111">
        <f t="shared" si="86"/>
        <v>4133.6000000000004</v>
      </c>
      <c r="J417" s="114">
        <f t="shared" si="86"/>
        <v>0</v>
      </c>
      <c r="K417" s="111">
        <f>K418</f>
        <v>0</v>
      </c>
      <c r="L417" s="114">
        <f t="shared" si="86"/>
        <v>0</v>
      </c>
      <c r="M417" s="111">
        <f t="shared" si="86"/>
        <v>4133.6000000000004</v>
      </c>
      <c r="N417" s="111">
        <f t="shared" si="86"/>
        <v>0</v>
      </c>
      <c r="O417" s="111">
        <f t="shared" si="86"/>
        <v>4133.6000000000004</v>
      </c>
      <c r="P417" s="97"/>
      <c r="Q417" s="97"/>
    </row>
    <row r="418" spans="1:17" ht="47.25" x14ac:dyDescent="0.2">
      <c r="A418" s="40"/>
      <c r="B418" s="113" t="s">
        <v>424</v>
      </c>
      <c r="C418" s="113" t="s">
        <v>51</v>
      </c>
      <c r="D418" s="133" t="s">
        <v>421</v>
      </c>
      <c r="E418" s="133" t="s">
        <v>425</v>
      </c>
      <c r="F418" s="134" t="s">
        <v>11</v>
      </c>
      <c r="G418" s="111">
        <f t="shared" si="86"/>
        <v>4133.6000000000004</v>
      </c>
      <c r="H418" s="111">
        <f t="shared" si="86"/>
        <v>0</v>
      </c>
      <c r="I418" s="111">
        <f t="shared" si="86"/>
        <v>4133.6000000000004</v>
      </c>
      <c r="J418" s="114">
        <f t="shared" si="86"/>
        <v>0</v>
      </c>
      <c r="K418" s="111">
        <f>K419</f>
        <v>0</v>
      </c>
      <c r="L418" s="114">
        <f t="shared" si="86"/>
        <v>0</v>
      </c>
      <c r="M418" s="111">
        <f t="shared" si="86"/>
        <v>4133.6000000000004</v>
      </c>
      <c r="N418" s="111">
        <f t="shared" si="86"/>
        <v>0</v>
      </c>
      <c r="O418" s="111">
        <f t="shared" si="86"/>
        <v>4133.6000000000004</v>
      </c>
      <c r="P418" s="97"/>
      <c r="Q418" s="97"/>
    </row>
    <row r="419" spans="1:17" ht="33" customHeight="1" x14ac:dyDescent="0.2">
      <c r="A419" s="40"/>
      <c r="B419" s="113" t="s">
        <v>426</v>
      </c>
      <c r="C419" s="113" t="s">
        <v>51</v>
      </c>
      <c r="D419" s="133" t="s">
        <v>421</v>
      </c>
      <c r="E419" s="133" t="s">
        <v>427</v>
      </c>
      <c r="F419" s="134" t="s">
        <v>11</v>
      </c>
      <c r="G419" s="111">
        <f>G420</f>
        <v>4133.6000000000004</v>
      </c>
      <c r="H419" s="111">
        <f>H420</f>
        <v>0</v>
      </c>
      <c r="I419" s="111">
        <f>I420</f>
        <v>4133.6000000000004</v>
      </c>
      <c r="J419" s="114">
        <f t="shared" si="86"/>
        <v>0</v>
      </c>
      <c r="K419" s="111"/>
      <c r="L419" s="114">
        <f t="shared" si="86"/>
        <v>0</v>
      </c>
      <c r="M419" s="111">
        <f t="shared" si="86"/>
        <v>4133.6000000000004</v>
      </c>
      <c r="N419" s="111">
        <f t="shared" si="86"/>
        <v>0</v>
      </c>
      <c r="O419" s="111">
        <f t="shared" si="86"/>
        <v>4133.6000000000004</v>
      </c>
      <c r="P419" s="97"/>
      <c r="Q419" s="97"/>
    </row>
    <row r="420" spans="1:17" ht="31.5" x14ac:dyDescent="0.2">
      <c r="A420" s="40"/>
      <c r="B420" s="113" t="s">
        <v>112</v>
      </c>
      <c r="C420" s="113" t="s">
        <v>51</v>
      </c>
      <c r="D420" s="133" t="s">
        <v>421</v>
      </c>
      <c r="E420" s="133" t="s">
        <v>427</v>
      </c>
      <c r="F420" s="134" t="s">
        <v>113</v>
      </c>
      <c r="G420" s="111">
        <v>4133.6000000000004</v>
      </c>
      <c r="H420" s="111"/>
      <c r="I420" s="111">
        <f>SUM(G420:H420)</f>
        <v>4133.6000000000004</v>
      </c>
      <c r="J420" s="115">
        <v>0</v>
      </c>
      <c r="K420" s="109"/>
      <c r="L420" s="115">
        <v>0</v>
      </c>
      <c r="M420" s="111">
        <f>SUM(G420)</f>
        <v>4133.6000000000004</v>
      </c>
      <c r="N420" s="111">
        <f>H420+K420</f>
        <v>0</v>
      </c>
      <c r="O420" s="111">
        <f>SUM(M420:N420)</f>
        <v>4133.6000000000004</v>
      </c>
      <c r="P420" s="97"/>
      <c r="Q420" s="97"/>
    </row>
    <row r="421" spans="1:17" ht="15.75" x14ac:dyDescent="0.2">
      <c r="A421" s="33" t="s">
        <v>428</v>
      </c>
      <c r="B421" s="110" t="s">
        <v>429</v>
      </c>
      <c r="C421" s="110" t="s">
        <v>51</v>
      </c>
      <c r="D421" s="131" t="s">
        <v>430</v>
      </c>
      <c r="E421" s="131" t="s">
        <v>11</v>
      </c>
      <c r="F421" s="132" t="s">
        <v>11</v>
      </c>
      <c r="G421" s="109">
        <f t="shared" ref="G421:O425" si="87">G422</f>
        <v>63946</v>
      </c>
      <c r="H421" s="111">
        <f t="shared" si="87"/>
        <v>0</v>
      </c>
      <c r="I421" s="109">
        <f t="shared" si="87"/>
        <v>63946</v>
      </c>
      <c r="J421" s="112">
        <f t="shared" si="87"/>
        <v>0</v>
      </c>
      <c r="K421" s="111">
        <f>K422</f>
        <v>0</v>
      </c>
      <c r="L421" s="112">
        <f t="shared" si="87"/>
        <v>0</v>
      </c>
      <c r="M421" s="109">
        <f t="shared" si="87"/>
        <v>63946</v>
      </c>
      <c r="N421" s="109">
        <f t="shared" si="87"/>
        <v>0</v>
      </c>
      <c r="O421" s="109">
        <f t="shared" si="87"/>
        <v>63946</v>
      </c>
      <c r="P421" s="97"/>
      <c r="Q421" s="97"/>
    </row>
    <row r="422" spans="1:17" ht="31.5" x14ac:dyDescent="0.2">
      <c r="A422" s="40"/>
      <c r="B422" s="113" t="s">
        <v>87</v>
      </c>
      <c r="C422" s="113" t="s">
        <v>51</v>
      </c>
      <c r="D422" s="133" t="s">
        <v>430</v>
      </c>
      <c r="E422" s="133" t="s">
        <v>88</v>
      </c>
      <c r="F422" s="134" t="s">
        <v>11</v>
      </c>
      <c r="G422" s="111">
        <f t="shared" si="87"/>
        <v>63946</v>
      </c>
      <c r="H422" s="111">
        <f t="shared" si="87"/>
        <v>0</v>
      </c>
      <c r="I422" s="111">
        <f t="shared" si="87"/>
        <v>63946</v>
      </c>
      <c r="J422" s="114">
        <f t="shared" si="87"/>
        <v>0</v>
      </c>
      <c r="K422" s="111">
        <f>K423</f>
        <v>0</v>
      </c>
      <c r="L422" s="114">
        <f t="shared" si="87"/>
        <v>0</v>
      </c>
      <c r="M422" s="111">
        <f t="shared" si="87"/>
        <v>63946</v>
      </c>
      <c r="N422" s="111">
        <f t="shared" si="87"/>
        <v>0</v>
      </c>
      <c r="O422" s="111">
        <f t="shared" si="87"/>
        <v>63946</v>
      </c>
      <c r="P422" s="97"/>
      <c r="Q422" s="97"/>
    </row>
    <row r="423" spans="1:17" ht="31.5" x14ac:dyDescent="0.2">
      <c r="A423" s="40"/>
      <c r="B423" s="113" t="s">
        <v>422</v>
      </c>
      <c r="C423" s="113" t="s">
        <v>51</v>
      </c>
      <c r="D423" s="133" t="s">
        <v>430</v>
      </c>
      <c r="E423" s="133" t="s">
        <v>423</v>
      </c>
      <c r="F423" s="134" t="s">
        <v>11</v>
      </c>
      <c r="G423" s="111">
        <f t="shared" si="87"/>
        <v>63946</v>
      </c>
      <c r="H423" s="111">
        <f t="shared" si="87"/>
        <v>0</v>
      </c>
      <c r="I423" s="111">
        <f t="shared" si="87"/>
        <v>63946</v>
      </c>
      <c r="J423" s="114">
        <f t="shared" si="87"/>
        <v>0</v>
      </c>
      <c r="K423" s="111">
        <f>K424</f>
        <v>0</v>
      </c>
      <c r="L423" s="114">
        <f t="shared" si="87"/>
        <v>0</v>
      </c>
      <c r="M423" s="111">
        <f t="shared" si="87"/>
        <v>63946</v>
      </c>
      <c r="N423" s="111">
        <f t="shared" si="87"/>
        <v>0</v>
      </c>
      <c r="O423" s="111">
        <f t="shared" si="87"/>
        <v>63946</v>
      </c>
      <c r="P423" s="97"/>
      <c r="Q423" s="97"/>
    </row>
    <row r="424" spans="1:17" ht="31.5" x14ac:dyDescent="0.2">
      <c r="A424" s="40"/>
      <c r="B424" s="113" t="s">
        <v>431</v>
      </c>
      <c r="C424" s="113" t="s">
        <v>51</v>
      </c>
      <c r="D424" s="133" t="s">
        <v>430</v>
      </c>
      <c r="E424" s="133" t="s">
        <v>432</v>
      </c>
      <c r="F424" s="134" t="s">
        <v>11</v>
      </c>
      <c r="G424" s="111">
        <f t="shared" si="87"/>
        <v>63946</v>
      </c>
      <c r="H424" s="111">
        <f t="shared" si="87"/>
        <v>0</v>
      </c>
      <c r="I424" s="111">
        <f t="shared" si="87"/>
        <v>63946</v>
      </c>
      <c r="J424" s="114">
        <f t="shared" si="87"/>
        <v>0</v>
      </c>
      <c r="K424" s="111">
        <f>K425</f>
        <v>0</v>
      </c>
      <c r="L424" s="114">
        <f t="shared" si="87"/>
        <v>0</v>
      </c>
      <c r="M424" s="111">
        <f t="shared" si="87"/>
        <v>63946</v>
      </c>
      <c r="N424" s="111">
        <f t="shared" si="87"/>
        <v>0</v>
      </c>
      <c r="O424" s="111">
        <f t="shared" si="87"/>
        <v>63946</v>
      </c>
      <c r="P424" s="97"/>
      <c r="Q424" s="97"/>
    </row>
    <row r="425" spans="1:17" ht="21" customHeight="1" x14ac:dyDescent="0.2">
      <c r="A425" s="40"/>
      <c r="B425" s="113" t="s">
        <v>433</v>
      </c>
      <c r="C425" s="113" t="s">
        <v>51</v>
      </c>
      <c r="D425" s="133" t="s">
        <v>430</v>
      </c>
      <c r="E425" s="133" t="s">
        <v>434</v>
      </c>
      <c r="F425" s="134" t="s">
        <v>11</v>
      </c>
      <c r="G425" s="111">
        <f>G426</f>
        <v>63946</v>
      </c>
      <c r="H425" s="109"/>
      <c r="I425" s="111">
        <f>I426</f>
        <v>63946</v>
      </c>
      <c r="J425" s="114">
        <f t="shared" si="87"/>
        <v>0</v>
      </c>
      <c r="K425" s="111"/>
      <c r="L425" s="114">
        <f t="shared" si="87"/>
        <v>0</v>
      </c>
      <c r="M425" s="111">
        <f t="shared" si="87"/>
        <v>63946</v>
      </c>
      <c r="N425" s="111">
        <f t="shared" si="87"/>
        <v>0</v>
      </c>
      <c r="O425" s="111">
        <f t="shared" si="87"/>
        <v>63946</v>
      </c>
      <c r="P425" s="97"/>
      <c r="Q425" s="97"/>
    </row>
    <row r="426" spans="1:17" ht="31.5" x14ac:dyDescent="0.2">
      <c r="A426" s="40"/>
      <c r="B426" s="113" t="s">
        <v>112</v>
      </c>
      <c r="C426" s="113" t="s">
        <v>51</v>
      </c>
      <c r="D426" s="133" t="s">
        <v>430</v>
      </c>
      <c r="E426" s="133" t="s">
        <v>434</v>
      </c>
      <c r="F426" s="134" t="s">
        <v>113</v>
      </c>
      <c r="G426" s="111">
        <v>63946</v>
      </c>
      <c r="H426" s="109"/>
      <c r="I426" s="111">
        <f>SUM(G426)+H426</f>
        <v>63946</v>
      </c>
      <c r="J426" s="115">
        <v>0</v>
      </c>
      <c r="K426" s="109"/>
      <c r="L426" s="115">
        <v>0</v>
      </c>
      <c r="M426" s="111">
        <f>SUM(G426)</f>
        <v>63946</v>
      </c>
      <c r="N426" s="111">
        <f>SUM(H426)</f>
        <v>0</v>
      </c>
      <c r="O426" s="111">
        <f>SUM(M426)+N426</f>
        <v>63946</v>
      </c>
      <c r="P426" s="97"/>
      <c r="Q426" s="97"/>
    </row>
    <row r="427" spans="1:17" ht="15.75" x14ac:dyDescent="0.2">
      <c r="A427" s="33" t="s">
        <v>435</v>
      </c>
      <c r="B427" s="110" t="s">
        <v>436</v>
      </c>
      <c r="C427" s="110" t="s">
        <v>51</v>
      </c>
      <c r="D427" s="131" t="s">
        <v>437</v>
      </c>
      <c r="E427" s="131" t="s">
        <v>11</v>
      </c>
      <c r="F427" s="132" t="s">
        <v>11</v>
      </c>
      <c r="G427" s="109">
        <f t="shared" ref="G427:O431" si="88">G428</f>
        <v>2930.2</v>
      </c>
      <c r="H427" s="111">
        <f t="shared" si="88"/>
        <v>-1046</v>
      </c>
      <c r="I427" s="109">
        <f t="shared" si="88"/>
        <v>1884.1999999999998</v>
      </c>
      <c r="J427" s="112">
        <f t="shared" si="88"/>
        <v>3074.2</v>
      </c>
      <c r="K427" s="111">
        <f>K428</f>
        <v>0</v>
      </c>
      <c r="L427" s="112">
        <f t="shared" si="88"/>
        <v>3074.2</v>
      </c>
      <c r="M427" s="109">
        <f t="shared" si="88"/>
        <v>6004.4</v>
      </c>
      <c r="N427" s="109">
        <f t="shared" si="88"/>
        <v>-1046</v>
      </c>
      <c r="O427" s="109">
        <f t="shared" si="88"/>
        <v>4958.3999999999996</v>
      </c>
      <c r="P427" s="97"/>
      <c r="Q427" s="97"/>
    </row>
    <row r="428" spans="1:17" ht="31.5" x14ac:dyDescent="0.2">
      <c r="A428" s="40"/>
      <c r="B428" s="113" t="s">
        <v>245</v>
      </c>
      <c r="C428" s="113" t="s">
        <v>51</v>
      </c>
      <c r="D428" s="133" t="s">
        <v>437</v>
      </c>
      <c r="E428" s="133" t="s">
        <v>246</v>
      </c>
      <c r="F428" s="134" t="s">
        <v>11</v>
      </c>
      <c r="G428" s="111">
        <f t="shared" si="88"/>
        <v>2930.2</v>
      </c>
      <c r="H428" s="111">
        <f t="shared" si="88"/>
        <v>-1046</v>
      </c>
      <c r="I428" s="111">
        <f t="shared" si="88"/>
        <v>1884.1999999999998</v>
      </c>
      <c r="J428" s="114">
        <f t="shared" si="88"/>
        <v>3074.2</v>
      </c>
      <c r="K428" s="111">
        <f>K429</f>
        <v>0</v>
      </c>
      <c r="L428" s="114">
        <f t="shared" si="88"/>
        <v>3074.2</v>
      </c>
      <c r="M428" s="111">
        <f t="shared" si="88"/>
        <v>6004.4</v>
      </c>
      <c r="N428" s="111">
        <f t="shared" si="88"/>
        <v>-1046</v>
      </c>
      <c r="O428" s="111">
        <f t="shared" si="88"/>
        <v>4958.3999999999996</v>
      </c>
      <c r="P428" s="97"/>
      <c r="Q428" s="97"/>
    </row>
    <row r="429" spans="1:17" ht="31.5" x14ac:dyDescent="0.2">
      <c r="A429" s="40"/>
      <c r="B429" s="113" t="s">
        <v>438</v>
      </c>
      <c r="C429" s="113" t="s">
        <v>51</v>
      </c>
      <c r="D429" s="133" t="s">
        <v>437</v>
      </c>
      <c r="E429" s="133" t="s">
        <v>439</v>
      </c>
      <c r="F429" s="134" t="s">
        <v>11</v>
      </c>
      <c r="G429" s="111">
        <f t="shared" si="88"/>
        <v>2930.2</v>
      </c>
      <c r="H429" s="111">
        <f t="shared" si="88"/>
        <v>-1046</v>
      </c>
      <c r="I429" s="111">
        <f t="shared" si="88"/>
        <v>1884.1999999999998</v>
      </c>
      <c r="J429" s="114">
        <f t="shared" si="88"/>
        <v>3074.2</v>
      </c>
      <c r="K429" s="111">
        <f>K430</f>
        <v>0</v>
      </c>
      <c r="L429" s="114">
        <f t="shared" si="88"/>
        <v>3074.2</v>
      </c>
      <c r="M429" s="111">
        <f t="shared" si="88"/>
        <v>6004.4</v>
      </c>
      <c r="N429" s="111">
        <f t="shared" si="88"/>
        <v>-1046</v>
      </c>
      <c r="O429" s="111">
        <f t="shared" si="88"/>
        <v>4958.3999999999996</v>
      </c>
      <c r="P429" s="97"/>
      <c r="Q429" s="97"/>
    </row>
    <row r="430" spans="1:17" ht="47.25" x14ac:dyDescent="0.2">
      <c r="A430" s="40"/>
      <c r="B430" s="113" t="s">
        <v>599</v>
      </c>
      <c r="C430" s="113" t="s">
        <v>51</v>
      </c>
      <c r="D430" s="133" t="s">
        <v>437</v>
      </c>
      <c r="E430" s="133" t="s">
        <v>441</v>
      </c>
      <c r="F430" s="134" t="s">
        <v>11</v>
      </c>
      <c r="G430" s="111">
        <f t="shared" si="88"/>
        <v>2930.2</v>
      </c>
      <c r="H430" s="111">
        <f t="shared" si="88"/>
        <v>-1046</v>
      </c>
      <c r="I430" s="111">
        <f t="shared" si="88"/>
        <v>1884.1999999999998</v>
      </c>
      <c r="J430" s="114">
        <f t="shared" si="88"/>
        <v>3074.2</v>
      </c>
      <c r="K430" s="111">
        <f>K431</f>
        <v>0</v>
      </c>
      <c r="L430" s="114">
        <f t="shared" si="88"/>
        <v>3074.2</v>
      </c>
      <c r="M430" s="111">
        <f t="shared" si="88"/>
        <v>6004.4</v>
      </c>
      <c r="N430" s="111">
        <f t="shared" si="88"/>
        <v>-1046</v>
      </c>
      <c r="O430" s="111">
        <f t="shared" si="88"/>
        <v>4958.3999999999996</v>
      </c>
      <c r="P430" s="97"/>
      <c r="Q430" s="97"/>
    </row>
    <row r="431" spans="1:17" ht="31.5" x14ac:dyDescent="0.2">
      <c r="A431" s="40"/>
      <c r="B431" s="113" t="s">
        <v>442</v>
      </c>
      <c r="C431" s="113" t="s">
        <v>51</v>
      </c>
      <c r="D431" s="133" t="s">
        <v>437</v>
      </c>
      <c r="E431" s="133" t="s">
        <v>443</v>
      </c>
      <c r="F431" s="134" t="s">
        <v>11</v>
      </c>
      <c r="G431" s="111">
        <f>G432</f>
        <v>2930.2</v>
      </c>
      <c r="H431" s="109">
        <v>-1046</v>
      </c>
      <c r="I431" s="111">
        <f>I432</f>
        <v>1884.1999999999998</v>
      </c>
      <c r="J431" s="114">
        <f t="shared" si="88"/>
        <v>3074.2</v>
      </c>
      <c r="K431" s="111"/>
      <c r="L431" s="114">
        <f t="shared" si="88"/>
        <v>3074.2</v>
      </c>
      <c r="M431" s="111">
        <f t="shared" si="88"/>
        <v>6004.4</v>
      </c>
      <c r="N431" s="111">
        <f t="shared" si="88"/>
        <v>-1046</v>
      </c>
      <c r="O431" s="111">
        <f t="shared" si="88"/>
        <v>4958.3999999999996</v>
      </c>
      <c r="P431" s="97"/>
      <c r="Q431" s="97"/>
    </row>
    <row r="432" spans="1:17" ht="31.5" x14ac:dyDescent="0.2">
      <c r="A432" s="40"/>
      <c r="B432" s="113" t="s">
        <v>112</v>
      </c>
      <c r="C432" s="113" t="s">
        <v>51</v>
      </c>
      <c r="D432" s="133" t="s">
        <v>437</v>
      </c>
      <c r="E432" s="133" t="s">
        <v>443</v>
      </c>
      <c r="F432" s="134" t="s">
        <v>113</v>
      </c>
      <c r="G432" s="111">
        <v>2930.2</v>
      </c>
      <c r="H432" s="109">
        <v>-1046</v>
      </c>
      <c r="I432" s="111">
        <f>2930.2+H432</f>
        <v>1884.1999999999998</v>
      </c>
      <c r="J432" s="115">
        <v>3074.2</v>
      </c>
      <c r="K432" s="109"/>
      <c r="L432" s="115">
        <v>3074.2</v>
      </c>
      <c r="M432" s="111">
        <f>2930.2+J432</f>
        <v>6004.4</v>
      </c>
      <c r="N432" s="111">
        <f>SUM(H432)</f>
        <v>-1046</v>
      </c>
      <c r="O432" s="111">
        <f>2930.2+L432+N432</f>
        <v>4958.3999999999996</v>
      </c>
      <c r="P432" s="97"/>
      <c r="Q432" s="97"/>
    </row>
    <row r="433" spans="1:17" ht="15.75" x14ac:dyDescent="0.2">
      <c r="A433" s="33" t="s">
        <v>444</v>
      </c>
      <c r="B433" s="110" t="s">
        <v>445</v>
      </c>
      <c r="C433" s="110" t="s">
        <v>51</v>
      </c>
      <c r="D433" s="131" t="s">
        <v>446</v>
      </c>
      <c r="E433" s="131" t="s">
        <v>11</v>
      </c>
      <c r="F433" s="132" t="s">
        <v>11</v>
      </c>
      <c r="G433" s="109">
        <f t="shared" ref="G433:O437" si="89">G434</f>
        <v>120</v>
      </c>
      <c r="H433" s="111">
        <f t="shared" si="89"/>
        <v>0</v>
      </c>
      <c r="I433" s="109">
        <f t="shared" si="89"/>
        <v>120</v>
      </c>
      <c r="J433" s="112">
        <f t="shared" si="89"/>
        <v>0</v>
      </c>
      <c r="K433" s="111">
        <f>K434</f>
        <v>0</v>
      </c>
      <c r="L433" s="112">
        <f t="shared" si="89"/>
        <v>0</v>
      </c>
      <c r="M433" s="109">
        <f t="shared" si="89"/>
        <v>120</v>
      </c>
      <c r="N433" s="109">
        <f t="shared" si="89"/>
        <v>0</v>
      </c>
      <c r="O433" s="109">
        <f t="shared" si="89"/>
        <v>120</v>
      </c>
      <c r="P433" s="97"/>
      <c r="Q433" s="97"/>
    </row>
    <row r="434" spans="1:17" ht="31.5" x14ac:dyDescent="0.2">
      <c r="A434" s="40"/>
      <c r="B434" s="113" t="s">
        <v>87</v>
      </c>
      <c r="C434" s="113" t="s">
        <v>51</v>
      </c>
      <c r="D434" s="133" t="s">
        <v>446</v>
      </c>
      <c r="E434" s="133" t="s">
        <v>88</v>
      </c>
      <c r="F434" s="134" t="s">
        <v>11</v>
      </c>
      <c r="G434" s="111">
        <f t="shared" si="89"/>
        <v>120</v>
      </c>
      <c r="H434" s="111">
        <f t="shared" si="89"/>
        <v>0</v>
      </c>
      <c r="I434" s="111">
        <f t="shared" si="89"/>
        <v>120</v>
      </c>
      <c r="J434" s="114">
        <f t="shared" si="89"/>
        <v>0</v>
      </c>
      <c r="K434" s="111">
        <f>K435</f>
        <v>0</v>
      </c>
      <c r="L434" s="114">
        <f t="shared" si="89"/>
        <v>0</v>
      </c>
      <c r="M434" s="111">
        <f t="shared" si="89"/>
        <v>120</v>
      </c>
      <c r="N434" s="111">
        <f t="shared" si="89"/>
        <v>0</v>
      </c>
      <c r="O434" s="111">
        <f t="shared" si="89"/>
        <v>120</v>
      </c>
      <c r="P434" s="97"/>
      <c r="Q434" s="97"/>
    </row>
    <row r="435" spans="1:17" ht="47.25" x14ac:dyDescent="0.2">
      <c r="A435" s="40"/>
      <c r="B435" s="113" t="s">
        <v>89</v>
      </c>
      <c r="C435" s="113" t="s">
        <v>51</v>
      </c>
      <c r="D435" s="133" t="s">
        <v>446</v>
      </c>
      <c r="E435" s="133" t="s">
        <v>90</v>
      </c>
      <c r="F435" s="134" t="s">
        <v>11</v>
      </c>
      <c r="G435" s="111">
        <f t="shared" si="89"/>
        <v>120</v>
      </c>
      <c r="H435" s="111">
        <f t="shared" si="89"/>
        <v>0</v>
      </c>
      <c r="I435" s="111">
        <f t="shared" si="89"/>
        <v>120</v>
      </c>
      <c r="J435" s="114">
        <f t="shared" si="89"/>
        <v>0</v>
      </c>
      <c r="K435" s="111">
        <f>K436</f>
        <v>0</v>
      </c>
      <c r="L435" s="114">
        <f t="shared" si="89"/>
        <v>0</v>
      </c>
      <c r="M435" s="111">
        <f t="shared" si="89"/>
        <v>120</v>
      </c>
      <c r="N435" s="111">
        <f t="shared" si="89"/>
        <v>0</v>
      </c>
      <c r="O435" s="111">
        <f t="shared" si="89"/>
        <v>120</v>
      </c>
      <c r="P435" s="97"/>
      <c r="Q435" s="97"/>
    </row>
    <row r="436" spans="1:17" ht="36" customHeight="1" x14ac:dyDescent="0.2">
      <c r="A436" s="40"/>
      <c r="B436" s="113" t="s">
        <v>91</v>
      </c>
      <c r="C436" s="113" t="s">
        <v>51</v>
      </c>
      <c r="D436" s="133" t="s">
        <v>446</v>
      </c>
      <c r="E436" s="133" t="s">
        <v>92</v>
      </c>
      <c r="F436" s="134" t="s">
        <v>11</v>
      </c>
      <c r="G436" s="111">
        <f t="shared" si="89"/>
        <v>120</v>
      </c>
      <c r="H436" s="111">
        <f t="shared" si="89"/>
        <v>0</v>
      </c>
      <c r="I436" s="111">
        <f t="shared" si="89"/>
        <v>120</v>
      </c>
      <c r="J436" s="114">
        <f t="shared" si="89"/>
        <v>0</v>
      </c>
      <c r="K436" s="111">
        <f>K437</f>
        <v>0</v>
      </c>
      <c r="L436" s="114">
        <f t="shared" si="89"/>
        <v>0</v>
      </c>
      <c r="M436" s="111">
        <f t="shared" si="89"/>
        <v>120</v>
      </c>
      <c r="N436" s="111">
        <f t="shared" si="89"/>
        <v>0</v>
      </c>
      <c r="O436" s="111">
        <f t="shared" si="89"/>
        <v>120</v>
      </c>
      <c r="P436" s="97"/>
      <c r="Q436" s="97"/>
    </row>
    <row r="437" spans="1:17" ht="47.25" x14ac:dyDescent="0.2">
      <c r="A437" s="40"/>
      <c r="B437" s="113" t="s">
        <v>93</v>
      </c>
      <c r="C437" s="113" t="s">
        <v>51</v>
      </c>
      <c r="D437" s="133" t="s">
        <v>446</v>
      </c>
      <c r="E437" s="133" t="s">
        <v>94</v>
      </c>
      <c r="F437" s="134" t="s">
        <v>11</v>
      </c>
      <c r="G437" s="111">
        <f>G438</f>
        <v>120</v>
      </c>
      <c r="H437" s="111"/>
      <c r="I437" s="111">
        <f>I438</f>
        <v>120</v>
      </c>
      <c r="J437" s="114">
        <f t="shared" si="89"/>
        <v>0</v>
      </c>
      <c r="K437" s="111"/>
      <c r="L437" s="114">
        <f t="shared" si="89"/>
        <v>0</v>
      </c>
      <c r="M437" s="111">
        <f t="shared" si="89"/>
        <v>120</v>
      </c>
      <c r="N437" s="111">
        <f t="shared" si="89"/>
        <v>0</v>
      </c>
      <c r="O437" s="111">
        <f t="shared" si="89"/>
        <v>120</v>
      </c>
      <c r="P437" s="97"/>
      <c r="Q437" s="97"/>
    </row>
    <row r="438" spans="1:17" ht="33.6" customHeight="1" x14ac:dyDescent="0.2">
      <c r="A438" s="40"/>
      <c r="B438" s="113" t="s">
        <v>95</v>
      </c>
      <c r="C438" s="113" t="s">
        <v>51</v>
      </c>
      <c r="D438" s="133" t="s">
        <v>446</v>
      </c>
      <c r="E438" s="133" t="s">
        <v>94</v>
      </c>
      <c r="F438" s="134" t="s">
        <v>96</v>
      </c>
      <c r="G438" s="111">
        <v>120</v>
      </c>
      <c r="H438" s="106"/>
      <c r="I438" s="111">
        <v>120</v>
      </c>
      <c r="J438" s="115">
        <v>0</v>
      </c>
      <c r="K438" s="106"/>
      <c r="L438" s="115">
        <v>0</v>
      </c>
      <c r="M438" s="111">
        <v>120</v>
      </c>
      <c r="N438" s="111"/>
      <c r="O438" s="111">
        <v>120</v>
      </c>
      <c r="P438" s="97"/>
      <c r="Q438" s="97"/>
    </row>
    <row r="439" spans="1:17" ht="15.75" x14ac:dyDescent="0.2">
      <c r="A439" s="20" t="s">
        <v>447</v>
      </c>
      <c r="B439" s="107" t="s">
        <v>448</v>
      </c>
      <c r="C439" s="107" t="s">
        <v>51</v>
      </c>
      <c r="D439" s="129" t="s">
        <v>449</v>
      </c>
      <c r="E439" s="129" t="s">
        <v>11</v>
      </c>
      <c r="F439" s="130" t="s">
        <v>11</v>
      </c>
      <c r="G439" s="106">
        <f>G440</f>
        <v>1863.8</v>
      </c>
      <c r="H439" s="109">
        <f>H440+H445</f>
        <v>0</v>
      </c>
      <c r="I439" s="106">
        <f>I440</f>
        <v>1863.8</v>
      </c>
      <c r="J439" s="108">
        <f>J440</f>
        <v>0</v>
      </c>
      <c r="K439" s="109">
        <f>K440+K445</f>
        <v>0</v>
      </c>
      <c r="L439" s="108">
        <f>L440</f>
        <v>0</v>
      </c>
      <c r="M439" s="106">
        <f>M440</f>
        <v>1863.8</v>
      </c>
      <c r="N439" s="106">
        <f>N440</f>
        <v>0</v>
      </c>
      <c r="O439" s="106">
        <f>O440</f>
        <v>1863.8</v>
      </c>
      <c r="P439" s="97"/>
      <c r="Q439" s="97"/>
    </row>
    <row r="440" spans="1:17" ht="15.75" x14ac:dyDescent="0.2">
      <c r="A440" s="33" t="s">
        <v>450</v>
      </c>
      <c r="B440" s="110" t="s">
        <v>451</v>
      </c>
      <c r="C440" s="110" t="s">
        <v>51</v>
      </c>
      <c r="D440" s="131" t="s">
        <v>452</v>
      </c>
      <c r="E440" s="131" t="s">
        <v>11</v>
      </c>
      <c r="F440" s="132" t="s">
        <v>11</v>
      </c>
      <c r="G440" s="109">
        <f>G441+G446</f>
        <v>1863.8</v>
      </c>
      <c r="H440" s="111">
        <f t="shared" ref="G440:O442" si="90">H441</f>
        <v>0</v>
      </c>
      <c r="I440" s="109">
        <f>I441+I446</f>
        <v>1863.8</v>
      </c>
      <c r="J440" s="112">
        <f>J441+J446</f>
        <v>0</v>
      </c>
      <c r="K440" s="111">
        <f t="shared" si="90"/>
        <v>0</v>
      </c>
      <c r="L440" s="112">
        <f>L441+L446</f>
        <v>0</v>
      </c>
      <c r="M440" s="109">
        <f>M441+M446</f>
        <v>1863.8</v>
      </c>
      <c r="N440" s="109">
        <f>N441+N446</f>
        <v>0</v>
      </c>
      <c r="O440" s="109">
        <f>O441+O446</f>
        <v>1863.8</v>
      </c>
      <c r="P440" s="97"/>
      <c r="Q440" s="97"/>
    </row>
    <row r="441" spans="1:17" ht="31.5" x14ac:dyDescent="0.2">
      <c r="A441" s="40"/>
      <c r="B441" s="113" t="s">
        <v>453</v>
      </c>
      <c r="C441" s="113" t="s">
        <v>51</v>
      </c>
      <c r="D441" s="133" t="s">
        <v>452</v>
      </c>
      <c r="E441" s="133" t="s">
        <v>454</v>
      </c>
      <c r="F441" s="134" t="s">
        <v>11</v>
      </c>
      <c r="G441" s="111">
        <f t="shared" si="90"/>
        <v>1813.8</v>
      </c>
      <c r="H441" s="111">
        <f t="shared" si="90"/>
        <v>0</v>
      </c>
      <c r="I441" s="111">
        <f t="shared" si="90"/>
        <v>1813.8</v>
      </c>
      <c r="J441" s="114">
        <f t="shared" si="90"/>
        <v>0</v>
      </c>
      <c r="K441" s="111">
        <f t="shared" si="90"/>
        <v>0</v>
      </c>
      <c r="L441" s="114">
        <f t="shared" si="90"/>
        <v>0</v>
      </c>
      <c r="M441" s="111">
        <f t="shared" si="90"/>
        <v>1813.8</v>
      </c>
      <c r="N441" s="111">
        <f t="shared" si="90"/>
        <v>0</v>
      </c>
      <c r="O441" s="111">
        <f t="shared" si="90"/>
        <v>1813.8</v>
      </c>
      <c r="P441" s="97"/>
      <c r="Q441" s="97"/>
    </row>
    <row r="442" spans="1:17" ht="63" x14ac:dyDescent="0.2">
      <c r="A442" s="40"/>
      <c r="B442" s="113" t="s">
        <v>455</v>
      </c>
      <c r="C442" s="113" t="s">
        <v>51</v>
      </c>
      <c r="D442" s="133" t="s">
        <v>452</v>
      </c>
      <c r="E442" s="133" t="s">
        <v>456</v>
      </c>
      <c r="F442" s="134" t="s">
        <v>11</v>
      </c>
      <c r="G442" s="111">
        <f t="shared" si="90"/>
        <v>1813.8</v>
      </c>
      <c r="H442" s="111">
        <f>H443+H444</f>
        <v>0</v>
      </c>
      <c r="I442" s="111">
        <f t="shared" si="90"/>
        <v>1813.8</v>
      </c>
      <c r="J442" s="114">
        <f t="shared" si="90"/>
        <v>0</v>
      </c>
      <c r="K442" s="111">
        <f>K443+K444</f>
        <v>0</v>
      </c>
      <c r="L442" s="114">
        <f t="shared" si="90"/>
        <v>0</v>
      </c>
      <c r="M442" s="111">
        <f t="shared" si="90"/>
        <v>1813.8</v>
      </c>
      <c r="N442" s="111">
        <f t="shared" si="90"/>
        <v>0</v>
      </c>
      <c r="O442" s="111">
        <f t="shared" si="90"/>
        <v>1813.8</v>
      </c>
      <c r="P442" s="97"/>
      <c r="Q442" s="97"/>
    </row>
    <row r="443" spans="1:17" ht="47.25" x14ac:dyDescent="0.2">
      <c r="A443" s="40"/>
      <c r="B443" s="113" t="s">
        <v>457</v>
      </c>
      <c r="C443" s="113" t="s">
        <v>51</v>
      </c>
      <c r="D443" s="133" t="s">
        <v>452</v>
      </c>
      <c r="E443" s="133" t="s">
        <v>458</v>
      </c>
      <c r="F443" s="134" t="s">
        <v>11</v>
      </c>
      <c r="G443" s="111">
        <f>G444+G445</f>
        <v>1813.8</v>
      </c>
      <c r="H443" s="111"/>
      <c r="I443" s="111">
        <f>I444+I445</f>
        <v>1813.8</v>
      </c>
      <c r="J443" s="114">
        <f>J444+J445</f>
        <v>0</v>
      </c>
      <c r="K443" s="111"/>
      <c r="L443" s="114">
        <f>L444+L445</f>
        <v>0</v>
      </c>
      <c r="M443" s="111">
        <f>M444+M445</f>
        <v>1813.8</v>
      </c>
      <c r="N443" s="111">
        <f>N444+N445</f>
        <v>0</v>
      </c>
      <c r="O443" s="111">
        <f>O444+O445</f>
        <v>1813.8</v>
      </c>
      <c r="P443" s="97"/>
      <c r="Q443" s="97"/>
    </row>
    <row r="444" spans="1:17" ht="31.5" x14ac:dyDescent="0.2">
      <c r="A444" s="40"/>
      <c r="B444" s="113" t="s">
        <v>40</v>
      </c>
      <c r="C444" s="113" t="s">
        <v>51</v>
      </c>
      <c r="D444" s="133" t="s">
        <v>452</v>
      </c>
      <c r="E444" s="133" t="s">
        <v>458</v>
      </c>
      <c r="F444" s="134" t="s">
        <v>41</v>
      </c>
      <c r="G444" s="111">
        <v>300</v>
      </c>
      <c r="H444" s="111"/>
      <c r="I444" s="111">
        <v>300</v>
      </c>
      <c r="J444" s="115">
        <v>0</v>
      </c>
      <c r="K444" s="111"/>
      <c r="L444" s="115">
        <v>0</v>
      </c>
      <c r="M444" s="111">
        <v>300</v>
      </c>
      <c r="N444" s="111"/>
      <c r="O444" s="111">
        <v>300</v>
      </c>
      <c r="P444" s="97"/>
      <c r="Q444" s="97"/>
    </row>
    <row r="445" spans="1:17" ht="31.5" x14ac:dyDescent="0.2">
      <c r="A445" s="40"/>
      <c r="B445" s="113" t="s">
        <v>112</v>
      </c>
      <c r="C445" s="113" t="s">
        <v>51</v>
      </c>
      <c r="D445" s="133" t="s">
        <v>452</v>
      </c>
      <c r="E445" s="133" t="s">
        <v>458</v>
      </c>
      <c r="F445" s="134" t="s">
        <v>113</v>
      </c>
      <c r="G445" s="111">
        <v>1513.8</v>
      </c>
      <c r="H445" s="111"/>
      <c r="I445" s="111">
        <v>1513.8</v>
      </c>
      <c r="J445" s="115">
        <v>0</v>
      </c>
      <c r="K445" s="111"/>
      <c r="L445" s="115">
        <v>0</v>
      </c>
      <c r="M445" s="111">
        <v>1513.8</v>
      </c>
      <c r="N445" s="111"/>
      <c r="O445" s="111">
        <v>1513.8</v>
      </c>
      <c r="P445" s="97"/>
      <c r="Q445" s="97"/>
    </row>
    <row r="446" spans="1:17" ht="15.75" x14ac:dyDescent="0.2">
      <c r="A446" s="40"/>
      <c r="B446" s="113" t="s">
        <v>459</v>
      </c>
      <c r="C446" s="113" t="s">
        <v>51</v>
      </c>
      <c r="D446" s="133" t="s">
        <v>452</v>
      </c>
      <c r="E446" s="133" t="s">
        <v>460</v>
      </c>
      <c r="F446" s="134" t="s">
        <v>11</v>
      </c>
      <c r="G446" s="111">
        <f t="shared" ref="G446:O448" si="91">G447</f>
        <v>50</v>
      </c>
      <c r="H446" s="111">
        <f t="shared" si="91"/>
        <v>0</v>
      </c>
      <c r="I446" s="111">
        <f t="shared" si="91"/>
        <v>50</v>
      </c>
      <c r="J446" s="114">
        <f t="shared" si="91"/>
        <v>0</v>
      </c>
      <c r="K446" s="111">
        <f>K447</f>
        <v>0</v>
      </c>
      <c r="L446" s="114">
        <f t="shared" si="91"/>
        <v>0</v>
      </c>
      <c r="M446" s="111">
        <f t="shared" si="91"/>
        <v>50</v>
      </c>
      <c r="N446" s="111">
        <f t="shared" si="91"/>
        <v>0</v>
      </c>
      <c r="O446" s="111">
        <f t="shared" si="91"/>
        <v>50</v>
      </c>
      <c r="P446" s="97"/>
      <c r="Q446" s="97"/>
    </row>
    <row r="447" spans="1:17" ht="39.6" customHeight="1" x14ac:dyDescent="0.2">
      <c r="A447" s="40"/>
      <c r="B447" s="113" t="s">
        <v>461</v>
      </c>
      <c r="C447" s="113" t="s">
        <v>51</v>
      </c>
      <c r="D447" s="133" t="s">
        <v>452</v>
      </c>
      <c r="E447" s="133" t="s">
        <v>462</v>
      </c>
      <c r="F447" s="134" t="s">
        <v>11</v>
      </c>
      <c r="G447" s="111">
        <f t="shared" si="91"/>
        <v>50</v>
      </c>
      <c r="H447" s="111">
        <f t="shared" si="91"/>
        <v>0</v>
      </c>
      <c r="I447" s="111">
        <f t="shared" si="91"/>
        <v>50</v>
      </c>
      <c r="J447" s="114">
        <f t="shared" si="91"/>
        <v>0</v>
      </c>
      <c r="K447" s="111">
        <f>K448</f>
        <v>0</v>
      </c>
      <c r="L447" s="114">
        <f t="shared" si="91"/>
        <v>0</v>
      </c>
      <c r="M447" s="111">
        <f t="shared" si="91"/>
        <v>50</v>
      </c>
      <c r="N447" s="111">
        <f t="shared" si="91"/>
        <v>0</v>
      </c>
      <c r="O447" s="111">
        <f t="shared" si="91"/>
        <v>50</v>
      </c>
      <c r="P447" s="97"/>
      <c r="Q447" s="97"/>
    </row>
    <row r="448" spans="1:17" ht="31.5" x14ac:dyDescent="0.2">
      <c r="A448" s="40"/>
      <c r="B448" s="113" t="s">
        <v>463</v>
      </c>
      <c r="C448" s="113" t="s">
        <v>51</v>
      </c>
      <c r="D448" s="133" t="s">
        <v>452</v>
      </c>
      <c r="E448" s="133" t="s">
        <v>464</v>
      </c>
      <c r="F448" s="134" t="s">
        <v>11</v>
      </c>
      <c r="G448" s="111">
        <f>G449</f>
        <v>50</v>
      </c>
      <c r="H448" s="111"/>
      <c r="I448" s="111">
        <f>I449</f>
        <v>50</v>
      </c>
      <c r="J448" s="114">
        <f t="shared" si="91"/>
        <v>0</v>
      </c>
      <c r="K448" s="111"/>
      <c r="L448" s="114">
        <f t="shared" si="91"/>
        <v>0</v>
      </c>
      <c r="M448" s="111">
        <f t="shared" si="91"/>
        <v>50</v>
      </c>
      <c r="N448" s="111">
        <f t="shared" si="91"/>
        <v>0</v>
      </c>
      <c r="O448" s="111">
        <f t="shared" si="91"/>
        <v>50</v>
      </c>
      <c r="P448" s="97"/>
      <c r="Q448" s="97"/>
    </row>
    <row r="449" spans="1:17" ht="31.5" x14ac:dyDescent="0.2">
      <c r="A449" s="40"/>
      <c r="B449" s="113" t="s">
        <v>40</v>
      </c>
      <c r="C449" s="113" t="s">
        <v>51</v>
      </c>
      <c r="D449" s="133" t="s">
        <v>452</v>
      </c>
      <c r="E449" s="133" t="s">
        <v>464</v>
      </c>
      <c r="F449" s="134" t="s">
        <v>41</v>
      </c>
      <c r="G449" s="111">
        <v>50</v>
      </c>
      <c r="H449" s="106"/>
      <c r="I449" s="111">
        <v>50</v>
      </c>
      <c r="J449" s="115"/>
      <c r="K449" s="106">
        <f t="shared" ref="G449:O455" si="92">K450</f>
        <v>0</v>
      </c>
      <c r="L449" s="115"/>
      <c r="M449" s="111">
        <v>50</v>
      </c>
      <c r="N449" s="111"/>
      <c r="O449" s="111">
        <v>50</v>
      </c>
      <c r="P449" s="97"/>
      <c r="Q449" s="97"/>
    </row>
    <row r="450" spans="1:17" ht="31.5" x14ac:dyDescent="0.2">
      <c r="A450" s="20" t="s">
        <v>465</v>
      </c>
      <c r="B450" s="107" t="s">
        <v>466</v>
      </c>
      <c r="C450" s="107" t="s">
        <v>51</v>
      </c>
      <c r="D450" s="129" t="s">
        <v>467</v>
      </c>
      <c r="E450" s="129" t="s">
        <v>11</v>
      </c>
      <c r="F450" s="130" t="s">
        <v>11</v>
      </c>
      <c r="G450" s="106">
        <f t="shared" si="92"/>
        <v>10.5</v>
      </c>
      <c r="H450" s="109">
        <f t="shared" si="92"/>
        <v>0</v>
      </c>
      <c r="I450" s="106">
        <f t="shared" si="92"/>
        <v>10.5</v>
      </c>
      <c r="J450" s="108">
        <f t="shared" si="92"/>
        <v>0</v>
      </c>
      <c r="K450" s="109">
        <f t="shared" si="92"/>
        <v>0</v>
      </c>
      <c r="L450" s="108">
        <f t="shared" si="92"/>
        <v>0</v>
      </c>
      <c r="M450" s="106">
        <f t="shared" si="92"/>
        <v>10.5</v>
      </c>
      <c r="N450" s="106">
        <f t="shared" si="92"/>
        <v>0</v>
      </c>
      <c r="O450" s="106">
        <f t="shared" si="92"/>
        <v>10.5</v>
      </c>
      <c r="P450" s="97"/>
      <c r="Q450" s="97"/>
    </row>
    <row r="451" spans="1:17" ht="31.5" x14ac:dyDescent="0.2">
      <c r="A451" s="33" t="s">
        <v>468</v>
      </c>
      <c r="B451" s="110" t="s">
        <v>469</v>
      </c>
      <c r="C451" s="110" t="s">
        <v>51</v>
      </c>
      <c r="D451" s="131" t="s">
        <v>470</v>
      </c>
      <c r="E451" s="131" t="s">
        <v>11</v>
      </c>
      <c r="F451" s="132" t="s">
        <v>11</v>
      </c>
      <c r="G451" s="109">
        <f t="shared" si="92"/>
        <v>10.5</v>
      </c>
      <c r="H451" s="111">
        <f t="shared" si="92"/>
        <v>0</v>
      </c>
      <c r="I451" s="109">
        <f t="shared" si="92"/>
        <v>10.5</v>
      </c>
      <c r="J451" s="112">
        <f t="shared" si="92"/>
        <v>0</v>
      </c>
      <c r="K451" s="111">
        <f t="shared" si="92"/>
        <v>0</v>
      </c>
      <c r="L451" s="112">
        <f t="shared" si="92"/>
        <v>0</v>
      </c>
      <c r="M451" s="109">
        <f t="shared" si="92"/>
        <v>10.5</v>
      </c>
      <c r="N451" s="109">
        <f t="shared" si="92"/>
        <v>0</v>
      </c>
      <c r="O451" s="109">
        <f t="shared" si="92"/>
        <v>10.5</v>
      </c>
      <c r="P451" s="97"/>
      <c r="Q451" s="97"/>
    </row>
    <row r="452" spans="1:17" ht="31.5" x14ac:dyDescent="0.2">
      <c r="A452" s="40"/>
      <c r="B452" s="113" t="s">
        <v>128</v>
      </c>
      <c r="C452" s="113" t="s">
        <v>51</v>
      </c>
      <c r="D452" s="133" t="s">
        <v>470</v>
      </c>
      <c r="E452" s="133" t="s">
        <v>129</v>
      </c>
      <c r="F452" s="134" t="s">
        <v>11</v>
      </c>
      <c r="G452" s="111">
        <f t="shared" si="92"/>
        <v>10.5</v>
      </c>
      <c r="H452" s="111">
        <f t="shared" si="92"/>
        <v>0</v>
      </c>
      <c r="I452" s="111">
        <f t="shared" si="92"/>
        <v>10.5</v>
      </c>
      <c r="J452" s="114">
        <f t="shared" si="92"/>
        <v>0</v>
      </c>
      <c r="K452" s="111">
        <f t="shared" si="92"/>
        <v>0</v>
      </c>
      <c r="L452" s="114">
        <f t="shared" si="92"/>
        <v>0</v>
      </c>
      <c r="M452" s="111">
        <f t="shared" si="92"/>
        <v>10.5</v>
      </c>
      <c r="N452" s="111">
        <f t="shared" si="92"/>
        <v>0</v>
      </c>
      <c r="O452" s="111">
        <f t="shared" si="92"/>
        <v>10.5</v>
      </c>
      <c r="P452" s="97"/>
      <c r="Q452" s="97"/>
    </row>
    <row r="453" spans="1:17" ht="15.75" x14ac:dyDescent="0.2">
      <c r="A453" s="40"/>
      <c r="B453" s="113" t="s">
        <v>141</v>
      </c>
      <c r="C453" s="113" t="s">
        <v>51</v>
      </c>
      <c r="D453" s="133" t="s">
        <v>470</v>
      </c>
      <c r="E453" s="133" t="s">
        <v>142</v>
      </c>
      <c r="F453" s="134" t="s">
        <v>11</v>
      </c>
      <c r="G453" s="111">
        <f t="shared" si="92"/>
        <v>10.5</v>
      </c>
      <c r="H453" s="111">
        <f t="shared" si="92"/>
        <v>0</v>
      </c>
      <c r="I453" s="111">
        <f t="shared" si="92"/>
        <v>10.5</v>
      </c>
      <c r="J453" s="114">
        <f t="shared" si="92"/>
        <v>0</v>
      </c>
      <c r="K453" s="111">
        <f t="shared" si="92"/>
        <v>0</v>
      </c>
      <c r="L453" s="114">
        <f t="shared" si="92"/>
        <v>0</v>
      </c>
      <c r="M453" s="111">
        <f t="shared" si="92"/>
        <v>10.5</v>
      </c>
      <c r="N453" s="111">
        <f t="shared" si="92"/>
        <v>0</v>
      </c>
      <c r="O453" s="111">
        <f t="shared" si="92"/>
        <v>10.5</v>
      </c>
      <c r="P453" s="97"/>
      <c r="Q453" s="97"/>
    </row>
    <row r="454" spans="1:17" ht="24" customHeight="1" x14ac:dyDescent="0.2">
      <c r="A454" s="40"/>
      <c r="B454" s="113" t="s">
        <v>143</v>
      </c>
      <c r="C454" s="113" t="s">
        <v>51</v>
      </c>
      <c r="D454" s="133" t="s">
        <v>470</v>
      </c>
      <c r="E454" s="133" t="s">
        <v>144</v>
      </c>
      <c r="F454" s="134" t="s">
        <v>11</v>
      </c>
      <c r="G454" s="111">
        <f t="shared" si="92"/>
        <v>10.5</v>
      </c>
      <c r="H454" s="111">
        <f>SUM(H455)</f>
        <v>0</v>
      </c>
      <c r="I454" s="111">
        <f t="shared" si="92"/>
        <v>10.5</v>
      </c>
      <c r="J454" s="114">
        <f t="shared" si="92"/>
        <v>0</v>
      </c>
      <c r="K454" s="111">
        <f t="shared" si="92"/>
        <v>0</v>
      </c>
      <c r="L454" s="114">
        <f t="shared" si="92"/>
        <v>0</v>
      </c>
      <c r="M454" s="111">
        <f t="shared" si="92"/>
        <v>10.5</v>
      </c>
      <c r="N454" s="111">
        <f t="shared" si="92"/>
        <v>0</v>
      </c>
      <c r="O454" s="111">
        <f t="shared" si="92"/>
        <v>10.5</v>
      </c>
      <c r="P454" s="97"/>
      <c r="Q454" s="97"/>
    </row>
    <row r="455" spans="1:17" ht="15.75" x14ac:dyDescent="0.2">
      <c r="A455" s="40"/>
      <c r="B455" s="113" t="s">
        <v>471</v>
      </c>
      <c r="C455" s="113" t="s">
        <v>51</v>
      </c>
      <c r="D455" s="133" t="s">
        <v>470</v>
      </c>
      <c r="E455" s="133" t="s">
        <v>472</v>
      </c>
      <c r="F455" s="134" t="s">
        <v>11</v>
      </c>
      <c r="G455" s="111">
        <f t="shared" si="92"/>
        <v>10.5</v>
      </c>
      <c r="H455" s="111">
        <f t="shared" si="92"/>
        <v>0</v>
      </c>
      <c r="I455" s="111">
        <f t="shared" si="92"/>
        <v>10.5</v>
      </c>
      <c r="J455" s="114">
        <f t="shared" si="92"/>
        <v>0</v>
      </c>
      <c r="K455" s="111"/>
      <c r="L455" s="114">
        <f t="shared" si="92"/>
        <v>0</v>
      </c>
      <c r="M455" s="111">
        <f t="shared" si="92"/>
        <v>10.5</v>
      </c>
      <c r="N455" s="111">
        <f t="shared" si="92"/>
        <v>0</v>
      </c>
      <c r="O455" s="111">
        <f t="shared" si="92"/>
        <v>10.5</v>
      </c>
      <c r="P455" s="97"/>
      <c r="Q455" s="97"/>
    </row>
    <row r="456" spans="1:17" ht="31.5" x14ac:dyDescent="0.2">
      <c r="A456" s="40"/>
      <c r="B456" s="113" t="s">
        <v>473</v>
      </c>
      <c r="C456" s="113" t="s">
        <v>51</v>
      </c>
      <c r="D456" s="133" t="s">
        <v>470</v>
      </c>
      <c r="E456" s="133" t="s">
        <v>472</v>
      </c>
      <c r="F456" s="134" t="s">
        <v>474</v>
      </c>
      <c r="G456" s="111">
        <v>10.5</v>
      </c>
      <c r="H456" s="106"/>
      <c r="I456" s="111">
        <v>10.5</v>
      </c>
      <c r="J456" s="115">
        <v>0</v>
      </c>
      <c r="K456" s="106"/>
      <c r="L456" s="115">
        <v>0</v>
      </c>
      <c r="M456" s="111">
        <f>SUM(G456)</f>
        <v>10.5</v>
      </c>
      <c r="N456" s="111">
        <f>SUM(H456)</f>
        <v>0</v>
      </c>
      <c r="O456" s="111">
        <f>SUM(I456)</f>
        <v>10.5</v>
      </c>
      <c r="P456" s="97"/>
      <c r="Q456" s="97"/>
    </row>
    <row r="457" spans="1:17" ht="31.5" x14ac:dyDescent="0.2">
      <c r="A457" s="20" t="s">
        <v>475</v>
      </c>
      <c r="B457" s="107" t="s">
        <v>476</v>
      </c>
      <c r="C457" s="107" t="s">
        <v>477</v>
      </c>
      <c r="D457" s="129" t="s">
        <v>11</v>
      </c>
      <c r="E457" s="129" t="s">
        <v>11</v>
      </c>
      <c r="F457" s="130" t="s">
        <v>11</v>
      </c>
      <c r="G457" s="106">
        <f>G458</f>
        <v>139559.9</v>
      </c>
      <c r="H457" s="106">
        <f>H458+H488+H498</f>
        <v>1910.3999999999999</v>
      </c>
      <c r="I457" s="106">
        <f>I458</f>
        <v>141470.30000000002</v>
      </c>
      <c r="J457" s="108">
        <f>J458</f>
        <v>22124.1</v>
      </c>
      <c r="K457" s="109">
        <f>K458+K488+K500</f>
        <v>0</v>
      </c>
      <c r="L457" s="108">
        <f>L458</f>
        <v>22124.1</v>
      </c>
      <c r="M457" s="106">
        <f>M458</f>
        <v>161684</v>
      </c>
      <c r="N457" s="106">
        <f>N458</f>
        <v>1910.3999999999999</v>
      </c>
      <c r="O457" s="106">
        <f>O458</f>
        <v>163594.40000000002</v>
      </c>
      <c r="P457" s="97"/>
      <c r="Q457" s="98"/>
    </row>
    <row r="458" spans="1:17" ht="15.75" x14ac:dyDescent="0.2">
      <c r="A458" s="20" t="s">
        <v>478</v>
      </c>
      <c r="B458" s="107" t="s">
        <v>479</v>
      </c>
      <c r="C458" s="107" t="s">
        <v>477</v>
      </c>
      <c r="D458" s="129" t="s">
        <v>480</v>
      </c>
      <c r="E458" s="129" t="s">
        <v>11</v>
      </c>
      <c r="F458" s="130" t="s">
        <v>11</v>
      </c>
      <c r="G458" s="106">
        <f>G459+G493+G501</f>
        <v>139559.9</v>
      </c>
      <c r="H458" s="109">
        <f>H459+H501</f>
        <v>1910.3999999999999</v>
      </c>
      <c r="I458" s="106">
        <f>I459+I493+I501</f>
        <v>141470.30000000002</v>
      </c>
      <c r="J458" s="108">
        <f>J459+J493+J501</f>
        <v>22124.1</v>
      </c>
      <c r="K458" s="109">
        <f>K459+K493+K501</f>
        <v>0</v>
      </c>
      <c r="L458" s="108">
        <f>L459+L493+L501</f>
        <v>22124.1</v>
      </c>
      <c r="M458" s="106">
        <f>SUM(G458+J458)</f>
        <v>161684</v>
      </c>
      <c r="N458" s="106">
        <f>N459+N493+N501</f>
        <v>1910.3999999999999</v>
      </c>
      <c r="O458" s="106">
        <f>SUM(I458+L458)</f>
        <v>163594.40000000002</v>
      </c>
      <c r="P458" s="97"/>
      <c r="Q458" s="98"/>
    </row>
    <row r="459" spans="1:17" ht="15.75" x14ac:dyDescent="0.2">
      <c r="A459" s="33" t="s">
        <v>481</v>
      </c>
      <c r="B459" s="110" t="s">
        <v>482</v>
      </c>
      <c r="C459" s="110" t="s">
        <v>477</v>
      </c>
      <c r="D459" s="131" t="s">
        <v>483</v>
      </c>
      <c r="E459" s="131" t="s">
        <v>11</v>
      </c>
      <c r="F459" s="132" t="s">
        <v>11</v>
      </c>
      <c r="G459" s="109">
        <f>G460</f>
        <v>110686.5</v>
      </c>
      <c r="H459" s="111">
        <f>H460+H468+H489</f>
        <v>1692.9999999999998</v>
      </c>
      <c r="I459" s="109">
        <f>I460+I489</f>
        <v>112379.50000000001</v>
      </c>
      <c r="J459" s="112">
        <f>J460</f>
        <v>21450.3</v>
      </c>
      <c r="K459" s="111">
        <f>K460+K468</f>
        <v>0</v>
      </c>
      <c r="L459" s="112">
        <f>L460</f>
        <v>21450.3</v>
      </c>
      <c r="M459" s="109">
        <f>M460</f>
        <v>132136.79999999999</v>
      </c>
      <c r="N459" s="109">
        <f>N460+N489</f>
        <v>1692.9999999999998</v>
      </c>
      <c r="O459" s="109">
        <f>O460+O489</f>
        <v>133829.80000000002</v>
      </c>
      <c r="P459" s="97"/>
      <c r="Q459" s="97"/>
    </row>
    <row r="460" spans="1:17" ht="31.5" x14ac:dyDescent="0.2">
      <c r="A460" s="40"/>
      <c r="B460" s="113" t="s">
        <v>484</v>
      </c>
      <c r="C460" s="113" t="s">
        <v>477</v>
      </c>
      <c r="D460" s="133" t="s">
        <v>483</v>
      </c>
      <c r="E460" s="133" t="s">
        <v>485</v>
      </c>
      <c r="F460" s="134" t="s">
        <v>11</v>
      </c>
      <c r="G460" s="111">
        <f>G461+G469</f>
        <v>110686.5</v>
      </c>
      <c r="H460" s="111">
        <f>H461+H469</f>
        <v>1692.9999999999998</v>
      </c>
      <c r="I460" s="111">
        <f>I461+I469</f>
        <v>112379.50000000001</v>
      </c>
      <c r="J460" s="114">
        <f>J461+J469</f>
        <v>21450.3</v>
      </c>
      <c r="K460" s="111">
        <f>K461+K469</f>
        <v>0</v>
      </c>
      <c r="L460" s="114">
        <f>L461+L469</f>
        <v>21450.3</v>
      </c>
      <c r="M460" s="111">
        <f>M461+M469</f>
        <v>132136.79999999999</v>
      </c>
      <c r="N460" s="111">
        <f>N461+N469</f>
        <v>1692.9999999999998</v>
      </c>
      <c r="O460" s="111">
        <f>O461+O469</f>
        <v>133829.80000000002</v>
      </c>
      <c r="P460" s="97"/>
      <c r="Q460" s="97"/>
    </row>
    <row r="461" spans="1:17" ht="15.75" x14ac:dyDescent="0.2">
      <c r="A461" s="40"/>
      <c r="B461" s="113" t="s">
        <v>486</v>
      </c>
      <c r="C461" s="113" t="s">
        <v>477</v>
      </c>
      <c r="D461" s="133" t="s">
        <v>483</v>
      </c>
      <c r="E461" s="133" t="s">
        <v>487</v>
      </c>
      <c r="F461" s="134" t="s">
        <v>11</v>
      </c>
      <c r="G461" s="111">
        <f>G462</f>
        <v>6334.3</v>
      </c>
      <c r="H461" s="111">
        <f>H462</f>
        <v>1025.5999999999999</v>
      </c>
      <c r="I461" s="111">
        <f>I462</f>
        <v>7359.9</v>
      </c>
      <c r="J461" s="114">
        <f>J462</f>
        <v>0</v>
      </c>
      <c r="K461" s="111">
        <f>K462+K464+K466</f>
        <v>0</v>
      </c>
      <c r="L461" s="114">
        <f>L462</f>
        <v>0</v>
      </c>
      <c r="M461" s="111">
        <f>M462</f>
        <v>6334.3</v>
      </c>
      <c r="N461" s="111">
        <f>N462</f>
        <v>1025.5999999999999</v>
      </c>
      <c r="O461" s="111">
        <f>O462</f>
        <v>7359.9</v>
      </c>
      <c r="P461" s="97"/>
      <c r="Q461" s="97"/>
    </row>
    <row r="462" spans="1:17" ht="15.75" x14ac:dyDescent="0.2">
      <c r="A462" s="40"/>
      <c r="B462" s="113" t="s">
        <v>488</v>
      </c>
      <c r="C462" s="113" t="s">
        <v>477</v>
      </c>
      <c r="D462" s="133" t="s">
        <v>483</v>
      </c>
      <c r="E462" s="133" t="s">
        <v>489</v>
      </c>
      <c r="F462" s="134" t="s">
        <v>11</v>
      </c>
      <c r="G462" s="111">
        <f>G463+G465+G467</f>
        <v>6334.3</v>
      </c>
      <c r="H462" s="111">
        <f>H463+H465</f>
        <v>1025.5999999999999</v>
      </c>
      <c r="I462" s="111">
        <f>SUM(G462+H462)</f>
        <v>7359.9</v>
      </c>
      <c r="J462" s="114">
        <f>J463+J465+J467</f>
        <v>0</v>
      </c>
      <c r="K462" s="111">
        <f>K463</f>
        <v>0</v>
      </c>
      <c r="L462" s="114">
        <f>L463+L465+L467</f>
        <v>0</v>
      </c>
      <c r="M462" s="111">
        <f>M463+M465+M467</f>
        <v>6334.3</v>
      </c>
      <c r="N462" s="111">
        <f>N463+N465</f>
        <v>1025.5999999999999</v>
      </c>
      <c r="O462" s="111">
        <f>SUM(M462+N462)</f>
        <v>7359.9</v>
      </c>
      <c r="P462" s="97"/>
      <c r="Q462" s="97"/>
    </row>
    <row r="463" spans="1:17" ht="15.75" x14ac:dyDescent="0.2">
      <c r="A463" s="40"/>
      <c r="B463" s="113" t="s">
        <v>490</v>
      </c>
      <c r="C463" s="113" t="s">
        <v>477</v>
      </c>
      <c r="D463" s="133" t="s">
        <v>483</v>
      </c>
      <c r="E463" s="133" t="s">
        <v>491</v>
      </c>
      <c r="F463" s="134" t="s">
        <v>11</v>
      </c>
      <c r="G463" s="111">
        <f>G464</f>
        <v>6034.3</v>
      </c>
      <c r="H463" s="111">
        <f>H464</f>
        <v>425.6</v>
      </c>
      <c r="I463" s="111">
        <f>I464</f>
        <v>6459.9000000000005</v>
      </c>
      <c r="J463" s="114">
        <f>J464</f>
        <v>0</v>
      </c>
      <c r="K463" s="111"/>
      <c r="L463" s="114">
        <f>L464</f>
        <v>0</v>
      </c>
      <c r="M463" s="111">
        <f>M464</f>
        <v>6034.3</v>
      </c>
      <c r="N463" s="111">
        <f>N464</f>
        <v>425.6</v>
      </c>
      <c r="O463" s="111">
        <f>O464</f>
        <v>6459.9000000000005</v>
      </c>
      <c r="P463" s="97"/>
      <c r="Q463" s="97"/>
    </row>
    <row r="464" spans="1:17" ht="31.5" x14ac:dyDescent="0.2">
      <c r="A464" s="40"/>
      <c r="B464" s="113" t="s">
        <v>40</v>
      </c>
      <c r="C464" s="113" t="s">
        <v>477</v>
      </c>
      <c r="D464" s="133" t="s">
        <v>483</v>
      </c>
      <c r="E464" s="133" t="s">
        <v>491</v>
      </c>
      <c r="F464" s="134" t="s">
        <v>41</v>
      </c>
      <c r="G464" s="111">
        <v>6034.3</v>
      </c>
      <c r="H464" s="111">
        <f>74.4+425.5-74.4+0.1</f>
        <v>425.6</v>
      </c>
      <c r="I464" s="111">
        <f>SUM(G464+H464)</f>
        <v>6459.9000000000005</v>
      </c>
      <c r="J464" s="115">
        <v>0</v>
      </c>
      <c r="K464" s="111"/>
      <c r="L464" s="115">
        <v>0</v>
      </c>
      <c r="M464" s="111">
        <f>SUM(G464)</f>
        <v>6034.3</v>
      </c>
      <c r="N464" s="111">
        <f>SUM(H464)</f>
        <v>425.6</v>
      </c>
      <c r="O464" s="111">
        <f>SUM(M464+N464)</f>
        <v>6459.9000000000005</v>
      </c>
      <c r="P464" s="97"/>
      <c r="Q464" s="97"/>
    </row>
    <row r="465" spans="1:17" ht="15.75" x14ac:dyDescent="0.2">
      <c r="A465" s="40"/>
      <c r="B465" s="113" t="s">
        <v>492</v>
      </c>
      <c r="C465" s="113" t="s">
        <v>477</v>
      </c>
      <c r="D465" s="133" t="s">
        <v>483</v>
      </c>
      <c r="E465" s="133" t="s">
        <v>493</v>
      </c>
      <c r="F465" s="134" t="s">
        <v>11</v>
      </c>
      <c r="G465" s="111">
        <f>G466</f>
        <v>300</v>
      </c>
      <c r="H465" s="111">
        <v>600</v>
      </c>
      <c r="I465" s="111">
        <f>I466</f>
        <v>900</v>
      </c>
      <c r="J465" s="114">
        <f>J466</f>
        <v>0</v>
      </c>
      <c r="K465" s="111"/>
      <c r="L465" s="114">
        <f>L466</f>
        <v>0</v>
      </c>
      <c r="M465" s="111">
        <f>M466</f>
        <v>300</v>
      </c>
      <c r="N465" s="111">
        <f>N466</f>
        <v>600</v>
      </c>
      <c r="O465" s="111">
        <f>O466</f>
        <v>900</v>
      </c>
      <c r="P465" s="97"/>
      <c r="Q465" s="97"/>
    </row>
    <row r="466" spans="1:17" ht="26.25" customHeight="1" x14ac:dyDescent="0.2">
      <c r="A466" s="40"/>
      <c r="B466" s="113" t="s">
        <v>40</v>
      </c>
      <c r="C466" s="113" t="s">
        <v>477</v>
      </c>
      <c r="D466" s="133" t="s">
        <v>483</v>
      </c>
      <c r="E466" s="133" t="s">
        <v>493</v>
      </c>
      <c r="F466" s="134" t="s">
        <v>41</v>
      </c>
      <c r="G466" s="111">
        <f>300000/1000</f>
        <v>300</v>
      </c>
      <c r="H466" s="111">
        <v>600</v>
      </c>
      <c r="I466" s="111">
        <f>300000/1000+H466</f>
        <v>900</v>
      </c>
      <c r="J466" s="115">
        <v>0</v>
      </c>
      <c r="K466" s="111"/>
      <c r="L466" s="115">
        <v>0</v>
      </c>
      <c r="M466" s="111">
        <f>300000/1000</f>
        <v>300</v>
      </c>
      <c r="N466" s="111">
        <f>SUM(H466)</f>
        <v>600</v>
      </c>
      <c r="O466" s="111">
        <f>300000/1000+N466</f>
        <v>900</v>
      </c>
      <c r="P466" s="97"/>
      <c r="Q466" s="97"/>
    </row>
    <row r="467" spans="1:17" ht="15.75" hidden="1" x14ac:dyDescent="0.2">
      <c r="A467" s="40"/>
      <c r="B467" s="113" t="s">
        <v>378</v>
      </c>
      <c r="C467" s="113" t="s">
        <v>477</v>
      </c>
      <c r="D467" s="133" t="s">
        <v>483</v>
      </c>
      <c r="E467" s="133" t="s">
        <v>494</v>
      </c>
      <c r="F467" s="134" t="s">
        <v>11</v>
      </c>
      <c r="G467" s="111">
        <f>G468</f>
        <v>0</v>
      </c>
      <c r="H467" s="111"/>
      <c r="I467" s="111">
        <f>I468</f>
        <v>0</v>
      </c>
      <c r="J467" s="114">
        <f>J468</f>
        <v>0</v>
      </c>
      <c r="K467" s="111"/>
      <c r="L467" s="114">
        <f>L468</f>
        <v>0</v>
      </c>
      <c r="M467" s="111">
        <f>M468</f>
        <v>0</v>
      </c>
      <c r="N467" s="111">
        <f>N468</f>
        <v>0</v>
      </c>
      <c r="O467" s="111">
        <f>O468</f>
        <v>0</v>
      </c>
      <c r="P467" s="97"/>
      <c r="Q467" s="97"/>
    </row>
    <row r="468" spans="1:17" ht="31.5" hidden="1" x14ac:dyDescent="0.2">
      <c r="A468" s="40"/>
      <c r="B468" s="113" t="s">
        <v>40</v>
      </c>
      <c r="C468" s="113" t="s">
        <v>477</v>
      </c>
      <c r="D468" s="133" t="s">
        <v>483</v>
      </c>
      <c r="E468" s="133" t="s">
        <v>494</v>
      </c>
      <c r="F468" s="134" t="s">
        <v>41</v>
      </c>
      <c r="G468" s="111"/>
      <c r="H468" s="111"/>
      <c r="I468" s="111"/>
      <c r="J468" s="115">
        <v>0</v>
      </c>
      <c r="K468" s="111"/>
      <c r="L468" s="115">
        <v>0</v>
      </c>
      <c r="M468" s="111"/>
      <c r="N468" s="111"/>
      <c r="O468" s="111"/>
      <c r="P468" s="97"/>
      <c r="Q468" s="97"/>
    </row>
    <row r="469" spans="1:17" ht="47.25" x14ac:dyDescent="0.2">
      <c r="A469" s="40"/>
      <c r="B469" s="113" t="s">
        <v>495</v>
      </c>
      <c r="C469" s="113" t="s">
        <v>477</v>
      </c>
      <c r="D469" s="133" t="s">
        <v>483</v>
      </c>
      <c r="E469" s="133" t="s">
        <v>496</v>
      </c>
      <c r="F469" s="134" t="s">
        <v>11</v>
      </c>
      <c r="G469" s="111">
        <f t="shared" ref="G469:M469" si="93">G470+G486</f>
        <v>104352.2</v>
      </c>
      <c r="H469" s="111">
        <f t="shared" si="93"/>
        <v>667.39999999999986</v>
      </c>
      <c r="I469" s="111">
        <f>I470+I486+I476</f>
        <v>105019.60000000002</v>
      </c>
      <c r="J469" s="114">
        <f t="shared" si="93"/>
        <v>21450.3</v>
      </c>
      <c r="K469" s="111">
        <f t="shared" si="93"/>
        <v>0</v>
      </c>
      <c r="L469" s="114">
        <f t="shared" si="93"/>
        <v>21450.3</v>
      </c>
      <c r="M469" s="111">
        <f t="shared" si="93"/>
        <v>125802.49999999999</v>
      </c>
      <c r="N469" s="111">
        <f>N470</f>
        <v>667.39999999999986</v>
      </c>
      <c r="O469" s="111">
        <f>O470+O486</f>
        <v>126469.90000000001</v>
      </c>
      <c r="P469" s="97"/>
      <c r="Q469" s="97"/>
    </row>
    <row r="470" spans="1:17" ht="47.25" x14ac:dyDescent="0.2">
      <c r="A470" s="40"/>
      <c r="B470" s="113" t="s">
        <v>497</v>
      </c>
      <c r="C470" s="113" t="s">
        <v>477</v>
      </c>
      <c r="D470" s="133" t="s">
        <v>483</v>
      </c>
      <c r="E470" s="133" t="s">
        <v>498</v>
      </c>
      <c r="F470" s="134" t="s">
        <v>11</v>
      </c>
      <c r="G470" s="111">
        <f>G471+G480+G484+G478</f>
        <v>104097.8</v>
      </c>
      <c r="H470" s="111">
        <f>H471+H480+H484+H478+H476</f>
        <v>667.39999999999986</v>
      </c>
      <c r="I470" s="111">
        <f>I471+I480+I484+I478</f>
        <v>104241.90000000002</v>
      </c>
      <c r="J470" s="114">
        <f>J471+J480+J484+J478+J482</f>
        <v>19887.8</v>
      </c>
      <c r="K470" s="111">
        <f>K471+K473+K478+K480+K484+K482</f>
        <v>0</v>
      </c>
      <c r="L470" s="114">
        <f>L471+L480+L484+L478+L482</f>
        <v>19887.8</v>
      </c>
      <c r="M470" s="111">
        <f>M471+M480+M484+M478+M482</f>
        <v>123985.59999999999</v>
      </c>
      <c r="N470" s="111">
        <f>N471+N480+N484+N478+N476</f>
        <v>667.39999999999986</v>
      </c>
      <c r="O470" s="111">
        <f>O471+O480+O484+O478+O482+O476</f>
        <v>124653.00000000001</v>
      </c>
      <c r="P470" s="97"/>
      <c r="Q470" s="97"/>
    </row>
    <row r="471" spans="1:17" ht="31.5" x14ac:dyDescent="0.2">
      <c r="A471" s="40"/>
      <c r="B471" s="113" t="s">
        <v>134</v>
      </c>
      <c r="C471" s="113" t="s">
        <v>477</v>
      </c>
      <c r="D471" s="133" t="s">
        <v>483</v>
      </c>
      <c r="E471" s="133" t="s">
        <v>499</v>
      </c>
      <c r="F471" s="134" t="s">
        <v>11</v>
      </c>
      <c r="G471" s="111">
        <f>G472+G473+G474+G475</f>
        <v>99978.700000000012</v>
      </c>
      <c r="H471" s="111">
        <f>SUM(H473)+H474</f>
        <v>-283.5</v>
      </c>
      <c r="I471" s="111">
        <f>I472+I473+I474+I475</f>
        <v>99695.200000000012</v>
      </c>
      <c r="J471" s="114">
        <f>J472+J473+J474+J475</f>
        <v>15541.599999999999</v>
      </c>
      <c r="K471" s="111"/>
      <c r="L471" s="114">
        <f>L472+L473+L474+L475</f>
        <v>15541.599999999999</v>
      </c>
      <c r="M471" s="111">
        <f>M472+M473+M474+M475</f>
        <v>115520.3</v>
      </c>
      <c r="N471" s="111">
        <f>N472+N473+N475+N474</f>
        <v>-283.5</v>
      </c>
      <c r="O471" s="111">
        <f>O472+O473+O474+O475</f>
        <v>115236.8</v>
      </c>
      <c r="P471" s="97"/>
      <c r="Q471" s="97"/>
    </row>
    <row r="472" spans="1:17" ht="48" customHeight="1" x14ac:dyDescent="0.2">
      <c r="A472" s="40"/>
      <c r="B472" s="113" t="s">
        <v>61</v>
      </c>
      <c r="C472" s="113" t="s">
        <v>477</v>
      </c>
      <c r="D472" s="133" t="s">
        <v>483</v>
      </c>
      <c r="E472" s="133" t="s">
        <v>499</v>
      </c>
      <c r="F472" s="134" t="s">
        <v>62</v>
      </c>
      <c r="G472" s="111">
        <f>16503800/1000</f>
        <v>16503.8</v>
      </c>
      <c r="H472" s="111">
        <v>-3.5</v>
      </c>
      <c r="I472" s="111">
        <f>16503800/1000+H472</f>
        <v>16500.3</v>
      </c>
      <c r="J472" s="115">
        <v>2349.1999999999998</v>
      </c>
      <c r="K472" s="111"/>
      <c r="L472" s="111">
        <v>2349.1999999999998</v>
      </c>
      <c r="M472" s="111">
        <f>G472+J472</f>
        <v>18853</v>
      </c>
      <c r="N472" s="111">
        <f>SUM(H472)</f>
        <v>-3.5</v>
      </c>
      <c r="O472" s="111">
        <f>I472+L472</f>
        <v>18849.5</v>
      </c>
      <c r="P472" s="97"/>
      <c r="Q472" s="97"/>
    </row>
    <row r="473" spans="1:17" ht="31.5" x14ac:dyDescent="0.2">
      <c r="A473" s="40"/>
      <c r="B473" s="113" t="s">
        <v>40</v>
      </c>
      <c r="C473" s="113" t="s">
        <v>477</v>
      </c>
      <c r="D473" s="133" t="s">
        <v>483</v>
      </c>
      <c r="E473" s="133" t="s">
        <v>499</v>
      </c>
      <c r="F473" s="134" t="s">
        <v>41</v>
      </c>
      <c r="G473" s="111">
        <v>6317.8</v>
      </c>
      <c r="H473" s="111">
        <f>-600+236+80.5</f>
        <v>-283.5</v>
      </c>
      <c r="I473" s="111">
        <f>SUM(G473)+H473</f>
        <v>6034.3</v>
      </c>
      <c r="J473" s="115">
        <v>0</v>
      </c>
      <c r="K473" s="111"/>
      <c r="L473" s="115">
        <v>0</v>
      </c>
      <c r="M473" s="111">
        <f>SUM(G473)</f>
        <v>6317.8</v>
      </c>
      <c r="N473" s="111">
        <f>SUM(H473)</f>
        <v>-283.5</v>
      </c>
      <c r="O473" s="111">
        <f>SUM(I473)</f>
        <v>6034.3</v>
      </c>
      <c r="P473" s="97"/>
      <c r="Q473" s="97"/>
    </row>
    <row r="474" spans="1:17" ht="39" customHeight="1" x14ac:dyDescent="0.2">
      <c r="A474" s="40"/>
      <c r="B474" s="113" t="s">
        <v>95</v>
      </c>
      <c r="C474" s="113" t="s">
        <v>477</v>
      </c>
      <c r="D474" s="133" t="s">
        <v>483</v>
      </c>
      <c r="E474" s="133" t="s">
        <v>499</v>
      </c>
      <c r="F474" s="134" t="s">
        <v>96</v>
      </c>
      <c r="G474" s="111">
        <f>75925300/1000+1213.2</f>
        <v>77138.5</v>
      </c>
      <c r="H474" s="111"/>
      <c r="I474" s="111">
        <f>75925300/1000+1213.2+H474</f>
        <v>77138.5</v>
      </c>
      <c r="J474" s="115">
        <v>13192.4</v>
      </c>
      <c r="K474" s="111"/>
      <c r="L474" s="111">
        <v>13192.4</v>
      </c>
      <c r="M474" s="111">
        <f>G474+J474</f>
        <v>90330.9</v>
      </c>
      <c r="N474" s="111">
        <f>SUM(K474)</f>
        <v>0</v>
      </c>
      <c r="O474" s="111">
        <f>I474+L474</f>
        <v>90330.9</v>
      </c>
      <c r="P474" s="97"/>
      <c r="Q474" s="97"/>
    </row>
    <row r="475" spans="1:17" ht="15.75" x14ac:dyDescent="0.2">
      <c r="A475" s="40"/>
      <c r="B475" s="113" t="s">
        <v>338</v>
      </c>
      <c r="C475" s="113" t="s">
        <v>477</v>
      </c>
      <c r="D475" s="133" t="s">
        <v>483</v>
      </c>
      <c r="E475" s="133" t="s">
        <v>499</v>
      </c>
      <c r="F475" s="134" t="s">
        <v>71</v>
      </c>
      <c r="G475" s="111">
        <f>18600/1000</f>
        <v>18.600000000000001</v>
      </c>
      <c r="H475" s="111">
        <v>3.5</v>
      </c>
      <c r="I475" s="111">
        <f>18600/1000+H475</f>
        <v>22.1</v>
      </c>
      <c r="J475" s="115">
        <v>0</v>
      </c>
      <c r="K475" s="111"/>
      <c r="L475" s="115">
        <v>0</v>
      </c>
      <c r="M475" s="111">
        <f>18600/1000</f>
        <v>18.600000000000001</v>
      </c>
      <c r="N475" s="111">
        <f>SUM(H475)</f>
        <v>3.5</v>
      </c>
      <c r="O475" s="111">
        <f>18600/1000+N475</f>
        <v>22.1</v>
      </c>
      <c r="P475" s="97"/>
      <c r="Q475" s="97"/>
    </row>
    <row r="476" spans="1:17" ht="31.5" x14ac:dyDescent="0.2">
      <c r="A476" s="40"/>
      <c r="B476" s="113" t="s">
        <v>392</v>
      </c>
      <c r="C476" s="113">
        <v>993</v>
      </c>
      <c r="D476" s="133" t="s">
        <v>483</v>
      </c>
      <c r="E476" s="136" t="s">
        <v>600</v>
      </c>
      <c r="F476" s="134"/>
      <c r="G476" s="111"/>
      <c r="H476" s="111">
        <v>523.29999999999995</v>
      </c>
      <c r="I476" s="111">
        <f>SUM(H476)</f>
        <v>523.29999999999995</v>
      </c>
      <c r="J476" s="115"/>
      <c r="K476" s="111"/>
      <c r="L476" s="115"/>
      <c r="M476" s="111"/>
      <c r="N476" s="111">
        <f>SUM(H476)</f>
        <v>523.29999999999995</v>
      </c>
      <c r="O476" s="111">
        <f>SUM(I476)</f>
        <v>523.29999999999995</v>
      </c>
      <c r="P476" s="97"/>
      <c r="Q476" s="97"/>
    </row>
    <row r="477" spans="1:17" ht="47.25" x14ac:dyDescent="0.2">
      <c r="A477" s="40"/>
      <c r="B477" s="113" t="s">
        <v>95</v>
      </c>
      <c r="C477" s="113">
        <v>993</v>
      </c>
      <c r="D477" s="133" t="s">
        <v>483</v>
      </c>
      <c r="E477" s="136" t="s">
        <v>600</v>
      </c>
      <c r="F477" s="134">
        <v>600</v>
      </c>
      <c r="G477" s="111"/>
      <c r="H477" s="111">
        <v>523.29999999999995</v>
      </c>
      <c r="I477" s="111">
        <f>SUM(H477)</f>
        <v>523.29999999999995</v>
      </c>
      <c r="J477" s="115"/>
      <c r="K477" s="111"/>
      <c r="L477" s="115"/>
      <c r="M477" s="111"/>
      <c r="N477" s="111">
        <f>SUM(H477)</f>
        <v>523.29999999999995</v>
      </c>
      <c r="O477" s="111">
        <f>SUM(I477)</f>
        <v>523.29999999999995</v>
      </c>
      <c r="P477" s="97"/>
      <c r="Q477" s="97"/>
    </row>
    <row r="478" spans="1:17" ht="31.5" x14ac:dyDescent="0.2">
      <c r="A478" s="40"/>
      <c r="B478" s="113" t="s">
        <v>500</v>
      </c>
      <c r="C478" s="113">
        <v>993</v>
      </c>
      <c r="D478" s="133" t="s">
        <v>483</v>
      </c>
      <c r="E478" s="136" t="s">
        <v>501</v>
      </c>
      <c r="F478" s="134"/>
      <c r="G478" s="111">
        <f>SUM(F478)+G479</f>
        <v>2278.9</v>
      </c>
      <c r="H478" s="111">
        <f>SUM(H479)</f>
        <v>427.7</v>
      </c>
      <c r="I478" s="111">
        <f>SUM(G478)+H478</f>
        <v>2706.6</v>
      </c>
      <c r="J478" s="115">
        <f>SUM(J479)</f>
        <v>0</v>
      </c>
      <c r="K478" s="111">
        <f>SUM(K479)</f>
        <v>0</v>
      </c>
      <c r="L478" s="115">
        <f>SUM(J478)+K478</f>
        <v>0</v>
      </c>
      <c r="M478" s="111">
        <f>SUM(G478+J478)</f>
        <v>2278.9</v>
      </c>
      <c r="N478" s="111">
        <f>SUM(K478)+H478</f>
        <v>427.7</v>
      </c>
      <c r="O478" s="111">
        <f>SUM(I478)+L478</f>
        <v>2706.6</v>
      </c>
      <c r="P478" s="97"/>
      <c r="Q478" s="97"/>
    </row>
    <row r="479" spans="1:17" ht="47.25" x14ac:dyDescent="0.2">
      <c r="A479" s="40"/>
      <c r="B479" s="113" t="s">
        <v>95</v>
      </c>
      <c r="C479" s="113">
        <v>993</v>
      </c>
      <c r="D479" s="133" t="s">
        <v>483</v>
      </c>
      <c r="E479" s="136" t="s">
        <v>501</v>
      </c>
      <c r="F479" s="134">
        <v>600</v>
      </c>
      <c r="G479" s="111">
        <v>2278.9</v>
      </c>
      <c r="H479" s="111">
        <v>427.7</v>
      </c>
      <c r="I479" s="111">
        <f>SUM(G479)+H479</f>
        <v>2706.6</v>
      </c>
      <c r="J479" s="115">
        <v>0</v>
      </c>
      <c r="K479" s="111"/>
      <c r="L479" s="115">
        <f>SUM(J479)+K479</f>
        <v>0</v>
      </c>
      <c r="M479" s="111">
        <f>SUM(G479+J479)</f>
        <v>2278.9</v>
      </c>
      <c r="N479" s="111">
        <f>SUM(K479)+H479</f>
        <v>427.7</v>
      </c>
      <c r="O479" s="111">
        <f>SUM(I479)+L479</f>
        <v>2706.6</v>
      </c>
      <c r="P479" s="97"/>
      <c r="Q479" s="97"/>
    </row>
    <row r="480" spans="1:17" ht="47.25" x14ac:dyDescent="0.2">
      <c r="A480" s="40"/>
      <c r="B480" s="113" t="s">
        <v>283</v>
      </c>
      <c r="C480" s="113" t="s">
        <v>477</v>
      </c>
      <c r="D480" s="133" t="s">
        <v>483</v>
      </c>
      <c r="E480" s="133" t="s">
        <v>502</v>
      </c>
      <c r="F480" s="134" t="s">
        <v>11</v>
      </c>
      <c r="G480" s="111">
        <f>G481</f>
        <v>1214</v>
      </c>
      <c r="H480" s="111">
        <f>SUM(H481)</f>
        <v>0</v>
      </c>
      <c r="I480" s="111">
        <f>SUM(G480)+H480</f>
        <v>1214</v>
      </c>
      <c r="J480" s="114">
        <f t="shared" ref="J480:O480" si="94">J481</f>
        <v>0</v>
      </c>
      <c r="K480" s="111">
        <f t="shared" si="94"/>
        <v>0</v>
      </c>
      <c r="L480" s="114">
        <f t="shared" si="94"/>
        <v>0</v>
      </c>
      <c r="M480" s="111">
        <f t="shared" si="94"/>
        <v>1214</v>
      </c>
      <c r="N480" s="111">
        <f t="shared" si="94"/>
        <v>0</v>
      </c>
      <c r="O480" s="111">
        <f t="shared" si="94"/>
        <v>1214</v>
      </c>
      <c r="P480" s="97"/>
      <c r="Q480" s="97"/>
    </row>
    <row r="481" spans="1:17" ht="36" customHeight="1" x14ac:dyDescent="0.2">
      <c r="A481" s="40"/>
      <c r="B481" s="113" t="s">
        <v>95</v>
      </c>
      <c r="C481" s="113" t="s">
        <v>477</v>
      </c>
      <c r="D481" s="133" t="s">
        <v>483</v>
      </c>
      <c r="E481" s="133" t="s">
        <v>502</v>
      </c>
      <c r="F481" s="134" t="s">
        <v>96</v>
      </c>
      <c r="G481" s="111">
        <v>1214</v>
      </c>
      <c r="H481" s="111"/>
      <c r="I481" s="111">
        <f>SUM(G481)+H481</f>
        <v>1214</v>
      </c>
      <c r="J481" s="115"/>
      <c r="K481" s="111">
        <v>0</v>
      </c>
      <c r="L481" s="115">
        <f>SUM(J481:K481)</f>
        <v>0</v>
      </c>
      <c r="M481" s="111">
        <f>SUM(G481)</f>
        <v>1214</v>
      </c>
      <c r="N481" s="111">
        <f>H481+K481</f>
        <v>0</v>
      </c>
      <c r="O481" s="111">
        <f>SUM(M481)+N481</f>
        <v>1214</v>
      </c>
      <c r="P481" s="97"/>
      <c r="Q481" s="97"/>
    </row>
    <row r="482" spans="1:17" ht="79.150000000000006" customHeight="1" x14ac:dyDescent="0.2">
      <c r="A482" s="40"/>
      <c r="B482" s="118" t="s">
        <v>587</v>
      </c>
      <c r="C482" s="113" t="s">
        <v>477</v>
      </c>
      <c r="D482" s="133" t="s">
        <v>483</v>
      </c>
      <c r="E482" s="136" t="s">
        <v>586</v>
      </c>
      <c r="F482" s="134" t="s">
        <v>11</v>
      </c>
      <c r="G482" s="111"/>
      <c r="H482" s="111"/>
      <c r="I482" s="111"/>
      <c r="J482" s="115">
        <f t="shared" ref="J482:O482" si="95">J483</f>
        <v>500</v>
      </c>
      <c r="K482" s="111">
        <f t="shared" si="95"/>
        <v>0</v>
      </c>
      <c r="L482" s="115">
        <f t="shared" si="95"/>
        <v>500</v>
      </c>
      <c r="M482" s="111">
        <f t="shared" si="95"/>
        <v>500</v>
      </c>
      <c r="N482" s="111">
        <f t="shared" si="95"/>
        <v>0</v>
      </c>
      <c r="O482" s="111">
        <f t="shared" si="95"/>
        <v>500</v>
      </c>
      <c r="P482" s="97"/>
      <c r="Q482" s="97"/>
    </row>
    <row r="483" spans="1:17" ht="36" customHeight="1" x14ac:dyDescent="0.2">
      <c r="A483" s="40"/>
      <c r="B483" s="113" t="s">
        <v>95</v>
      </c>
      <c r="C483" s="113" t="s">
        <v>477</v>
      </c>
      <c r="D483" s="133" t="s">
        <v>483</v>
      </c>
      <c r="E483" s="136" t="s">
        <v>586</v>
      </c>
      <c r="F483" s="134" t="s">
        <v>96</v>
      </c>
      <c r="G483" s="111"/>
      <c r="H483" s="111"/>
      <c r="I483" s="111"/>
      <c r="J483" s="115">
        <v>500</v>
      </c>
      <c r="K483" s="111"/>
      <c r="L483" s="115">
        <f>SUM(J483:K483)</f>
        <v>500</v>
      </c>
      <c r="M483" s="111">
        <f>G483+J483</f>
        <v>500</v>
      </c>
      <c r="N483" s="111">
        <f>H483+K483</f>
        <v>0</v>
      </c>
      <c r="O483" s="111">
        <f>SUM(M483:N483)</f>
        <v>500</v>
      </c>
      <c r="P483" s="97"/>
      <c r="Q483" s="97"/>
    </row>
    <row r="484" spans="1:17" ht="31.5" x14ac:dyDescent="0.2">
      <c r="A484" s="40"/>
      <c r="B484" s="113" t="s">
        <v>503</v>
      </c>
      <c r="C484" s="113" t="s">
        <v>477</v>
      </c>
      <c r="D484" s="133" t="s">
        <v>483</v>
      </c>
      <c r="E484" s="133" t="s">
        <v>504</v>
      </c>
      <c r="F484" s="134" t="s">
        <v>11</v>
      </c>
      <c r="G484" s="111">
        <f>G485</f>
        <v>626.20000000000005</v>
      </c>
      <c r="H484" s="111">
        <f>SUM(H485)</f>
        <v>-0.1</v>
      </c>
      <c r="I484" s="111">
        <f>I485</f>
        <v>626.1</v>
      </c>
      <c r="J484" s="114">
        <f>J485</f>
        <v>3846.2</v>
      </c>
      <c r="K484" s="111"/>
      <c r="L484" s="114">
        <f>L485</f>
        <v>3846.2</v>
      </c>
      <c r="M484" s="111">
        <f>M485</f>
        <v>4472.3999999999996</v>
      </c>
      <c r="N484" s="111">
        <f>N485</f>
        <v>-0.1</v>
      </c>
      <c r="O484" s="111">
        <f>O485</f>
        <v>4472.2999999999993</v>
      </c>
      <c r="P484" s="97"/>
      <c r="Q484" s="97"/>
    </row>
    <row r="485" spans="1:17" ht="36" customHeight="1" x14ac:dyDescent="0.2">
      <c r="A485" s="40"/>
      <c r="B485" s="113" t="s">
        <v>95</v>
      </c>
      <c r="C485" s="113" t="s">
        <v>477</v>
      </c>
      <c r="D485" s="133" t="s">
        <v>483</v>
      </c>
      <c r="E485" s="133" t="s">
        <v>504</v>
      </c>
      <c r="F485" s="134" t="s">
        <v>96</v>
      </c>
      <c r="G485" s="111">
        <v>626.20000000000005</v>
      </c>
      <c r="H485" s="111">
        <v>-0.1</v>
      </c>
      <c r="I485" s="111">
        <f>626.2+H485</f>
        <v>626.1</v>
      </c>
      <c r="J485" s="115">
        <v>3846.2</v>
      </c>
      <c r="K485" s="111"/>
      <c r="L485" s="115">
        <v>3846.2</v>
      </c>
      <c r="M485" s="111">
        <f>626.2+J485</f>
        <v>4472.3999999999996</v>
      </c>
      <c r="N485" s="111">
        <f>SUM(H485)</f>
        <v>-0.1</v>
      </c>
      <c r="O485" s="111">
        <f>626.2+L485+N485</f>
        <v>4472.2999999999993</v>
      </c>
      <c r="P485" s="97"/>
      <c r="Q485" s="97"/>
    </row>
    <row r="486" spans="1:17" ht="16.899999999999999" customHeight="1" x14ac:dyDescent="0.2">
      <c r="A486" s="40"/>
      <c r="B486" s="135" t="s">
        <v>505</v>
      </c>
      <c r="C486" s="113">
        <v>993</v>
      </c>
      <c r="D486" s="133" t="s">
        <v>483</v>
      </c>
      <c r="E486" s="133" t="s">
        <v>506</v>
      </c>
      <c r="F486" s="134"/>
      <c r="G486" s="111">
        <v>254.4</v>
      </c>
      <c r="H486" s="111"/>
      <c r="I486" s="111">
        <v>254.4</v>
      </c>
      <c r="J486" s="115">
        <v>1562.5</v>
      </c>
      <c r="K486" s="111"/>
      <c r="L486" s="115">
        <v>1562.5</v>
      </c>
      <c r="M486" s="111">
        <f>254.4+J486</f>
        <v>1816.9</v>
      </c>
      <c r="N486" s="111"/>
      <c r="O486" s="111">
        <f>254.4+L486</f>
        <v>1816.9</v>
      </c>
      <c r="P486" s="97"/>
      <c r="Q486" s="97"/>
    </row>
    <row r="487" spans="1:17" ht="36" customHeight="1" x14ac:dyDescent="0.2">
      <c r="A487" s="40"/>
      <c r="B487" s="135" t="s">
        <v>507</v>
      </c>
      <c r="C487" s="113">
        <v>993</v>
      </c>
      <c r="D487" s="133" t="s">
        <v>483</v>
      </c>
      <c r="E487" s="133" t="s">
        <v>508</v>
      </c>
      <c r="F487" s="134"/>
      <c r="G487" s="111">
        <v>254.4</v>
      </c>
      <c r="H487" s="111"/>
      <c r="I487" s="111">
        <v>254.4</v>
      </c>
      <c r="J487" s="115">
        <v>1562.5</v>
      </c>
      <c r="K487" s="111"/>
      <c r="L487" s="115">
        <v>1562.5</v>
      </c>
      <c r="M487" s="111">
        <f>254.4+J487</f>
        <v>1816.9</v>
      </c>
      <c r="N487" s="111"/>
      <c r="O487" s="111">
        <f>254.4+L487</f>
        <v>1816.9</v>
      </c>
      <c r="P487" s="97"/>
      <c r="Q487" s="97"/>
    </row>
    <row r="488" spans="1:17" ht="36" customHeight="1" x14ac:dyDescent="0.2">
      <c r="A488" s="40"/>
      <c r="B488" s="113" t="s">
        <v>95</v>
      </c>
      <c r="C488" s="113">
        <v>993</v>
      </c>
      <c r="D488" s="133" t="s">
        <v>483</v>
      </c>
      <c r="E488" s="133" t="s">
        <v>508</v>
      </c>
      <c r="F488" s="134">
        <v>600</v>
      </c>
      <c r="G488" s="111">
        <v>254.4</v>
      </c>
      <c r="H488" s="109"/>
      <c r="I488" s="111">
        <v>254.4</v>
      </c>
      <c r="J488" s="115">
        <v>1562.5</v>
      </c>
      <c r="K488" s="109"/>
      <c r="L488" s="115">
        <v>1562.5</v>
      </c>
      <c r="M488" s="111">
        <f>254.4+J488</f>
        <v>1816.9</v>
      </c>
      <c r="N488" s="111"/>
      <c r="O488" s="111">
        <f>254.4+L488</f>
        <v>1816.9</v>
      </c>
      <c r="P488" s="97"/>
      <c r="Q488" s="97"/>
    </row>
    <row r="489" spans="1:17" ht="36" customHeight="1" x14ac:dyDescent="0.2">
      <c r="A489" s="40"/>
      <c r="B489" s="135" t="s">
        <v>459</v>
      </c>
      <c r="C489" s="113">
        <v>993</v>
      </c>
      <c r="D489" s="133" t="s">
        <v>483</v>
      </c>
      <c r="E489" s="133">
        <v>1300000000</v>
      </c>
      <c r="F489" s="134"/>
      <c r="G489" s="111"/>
      <c r="H489" s="109">
        <f>SUM(H490)</f>
        <v>0</v>
      </c>
      <c r="I489" s="111">
        <f>SUM(H490)</f>
        <v>0</v>
      </c>
      <c r="J489" s="115"/>
      <c r="K489" s="109"/>
      <c r="L489" s="115"/>
      <c r="M489" s="111"/>
      <c r="N489" s="111">
        <f t="shared" ref="N489:O492" si="96">SUM(H489)</f>
        <v>0</v>
      </c>
      <c r="O489" s="111">
        <f t="shared" si="96"/>
        <v>0</v>
      </c>
      <c r="P489" s="97"/>
      <c r="Q489" s="97"/>
    </row>
    <row r="490" spans="1:17" ht="36" customHeight="1" x14ac:dyDescent="0.2">
      <c r="A490" s="40"/>
      <c r="B490" s="135" t="s">
        <v>461</v>
      </c>
      <c r="C490" s="113">
        <v>993</v>
      </c>
      <c r="D490" s="133" t="s">
        <v>483</v>
      </c>
      <c r="E490" s="136" t="s">
        <v>462</v>
      </c>
      <c r="F490" s="134"/>
      <c r="G490" s="111"/>
      <c r="H490" s="109">
        <f>SUM(H491)</f>
        <v>0</v>
      </c>
      <c r="I490" s="111">
        <f>SUM(H491)</f>
        <v>0</v>
      </c>
      <c r="J490" s="115"/>
      <c r="K490" s="109"/>
      <c r="L490" s="115"/>
      <c r="M490" s="111"/>
      <c r="N490" s="111">
        <f t="shared" si="96"/>
        <v>0</v>
      </c>
      <c r="O490" s="111">
        <f t="shared" si="96"/>
        <v>0</v>
      </c>
      <c r="P490" s="97"/>
      <c r="Q490" s="97"/>
    </row>
    <row r="491" spans="1:17" ht="36" customHeight="1" x14ac:dyDescent="0.2">
      <c r="A491" s="40"/>
      <c r="B491" s="135" t="s">
        <v>463</v>
      </c>
      <c r="C491" s="113">
        <v>993</v>
      </c>
      <c r="D491" s="133" t="s">
        <v>483</v>
      </c>
      <c r="E491" s="136" t="s">
        <v>464</v>
      </c>
      <c r="F491" s="134"/>
      <c r="G491" s="111"/>
      <c r="H491" s="109">
        <f>SUM(H492)</f>
        <v>0</v>
      </c>
      <c r="I491" s="111">
        <f>SUM(H492)</f>
        <v>0</v>
      </c>
      <c r="J491" s="115"/>
      <c r="K491" s="109"/>
      <c r="L491" s="115"/>
      <c r="M491" s="111"/>
      <c r="N491" s="111">
        <f t="shared" si="96"/>
        <v>0</v>
      </c>
      <c r="O491" s="111">
        <f t="shared" si="96"/>
        <v>0</v>
      </c>
      <c r="P491" s="97"/>
      <c r="Q491" s="97"/>
    </row>
    <row r="492" spans="1:17" ht="36" customHeight="1" x14ac:dyDescent="0.2">
      <c r="A492" s="40"/>
      <c r="B492" s="113" t="s">
        <v>40</v>
      </c>
      <c r="C492" s="113">
        <v>993</v>
      </c>
      <c r="D492" s="133" t="s">
        <v>483</v>
      </c>
      <c r="E492" s="136" t="s">
        <v>464</v>
      </c>
      <c r="F492" s="134">
        <v>200</v>
      </c>
      <c r="G492" s="111"/>
      <c r="H492" s="109"/>
      <c r="I492" s="151">
        <f>SUM(H492)</f>
        <v>0</v>
      </c>
      <c r="J492" s="115"/>
      <c r="K492" s="109"/>
      <c r="L492" s="115"/>
      <c r="M492" s="111"/>
      <c r="N492" s="111">
        <f t="shared" si="96"/>
        <v>0</v>
      </c>
      <c r="O492" s="111">
        <f t="shared" si="96"/>
        <v>0</v>
      </c>
      <c r="P492" s="97"/>
      <c r="Q492" s="97"/>
    </row>
    <row r="493" spans="1:17" ht="15.75" x14ac:dyDescent="0.2">
      <c r="A493" s="33" t="s">
        <v>509</v>
      </c>
      <c r="B493" s="110" t="s">
        <v>510</v>
      </c>
      <c r="C493" s="110" t="s">
        <v>477</v>
      </c>
      <c r="D493" s="131" t="s">
        <v>511</v>
      </c>
      <c r="E493" s="131" t="s">
        <v>11</v>
      </c>
      <c r="F493" s="132" t="s">
        <v>11</v>
      </c>
      <c r="G493" s="109">
        <f t="shared" ref="G493:O497" si="97">G494</f>
        <v>11335.7</v>
      </c>
      <c r="H493" s="111">
        <f t="shared" si="97"/>
        <v>0</v>
      </c>
      <c r="I493" s="109">
        <f t="shared" si="97"/>
        <v>11335.7</v>
      </c>
      <c r="J493" s="112">
        <f t="shared" si="97"/>
        <v>266.2</v>
      </c>
      <c r="K493" s="111">
        <f>K494</f>
        <v>0</v>
      </c>
      <c r="L493" s="112">
        <f t="shared" si="97"/>
        <v>266.2</v>
      </c>
      <c r="M493" s="109">
        <f>M494</f>
        <v>11601.900000000001</v>
      </c>
      <c r="N493" s="109">
        <f t="shared" si="97"/>
        <v>0</v>
      </c>
      <c r="O493" s="109">
        <f t="shared" si="97"/>
        <v>11601.900000000001</v>
      </c>
      <c r="P493" s="97"/>
      <c r="Q493" s="97"/>
    </row>
    <row r="494" spans="1:17" ht="31.5" x14ac:dyDescent="0.2">
      <c r="A494" s="40"/>
      <c r="B494" s="113" t="s">
        <v>484</v>
      </c>
      <c r="C494" s="113" t="s">
        <v>477</v>
      </c>
      <c r="D494" s="133" t="s">
        <v>511</v>
      </c>
      <c r="E494" s="133" t="s">
        <v>485</v>
      </c>
      <c r="F494" s="134" t="s">
        <v>11</v>
      </c>
      <c r="G494" s="111">
        <f t="shared" si="97"/>
        <v>11335.7</v>
      </c>
      <c r="H494" s="111">
        <f t="shared" si="97"/>
        <v>0</v>
      </c>
      <c r="I494" s="111">
        <f t="shared" si="97"/>
        <v>11335.7</v>
      </c>
      <c r="J494" s="114">
        <f t="shared" si="97"/>
        <v>266.2</v>
      </c>
      <c r="K494" s="111">
        <f>K495</f>
        <v>0</v>
      </c>
      <c r="L494" s="114">
        <f t="shared" si="97"/>
        <v>266.2</v>
      </c>
      <c r="M494" s="111">
        <f t="shared" si="97"/>
        <v>11601.900000000001</v>
      </c>
      <c r="N494" s="111">
        <f t="shared" si="97"/>
        <v>0</v>
      </c>
      <c r="O494" s="111">
        <f t="shared" si="97"/>
        <v>11601.900000000001</v>
      </c>
      <c r="P494" s="97"/>
      <c r="Q494" s="97"/>
    </row>
    <row r="495" spans="1:17" ht="47.25" x14ac:dyDescent="0.2">
      <c r="A495" s="40"/>
      <c r="B495" s="113" t="s">
        <v>495</v>
      </c>
      <c r="C495" s="113" t="s">
        <v>477</v>
      </c>
      <c r="D495" s="133" t="s">
        <v>511</v>
      </c>
      <c r="E495" s="133" t="s">
        <v>496</v>
      </c>
      <c r="F495" s="134" t="s">
        <v>11</v>
      </c>
      <c r="G495" s="111">
        <f t="shared" si="97"/>
        <v>11335.7</v>
      </c>
      <c r="H495" s="111">
        <f t="shared" si="97"/>
        <v>0</v>
      </c>
      <c r="I495" s="111">
        <f t="shared" si="97"/>
        <v>11335.7</v>
      </c>
      <c r="J495" s="114">
        <f t="shared" si="97"/>
        <v>266.2</v>
      </c>
      <c r="K495" s="111">
        <f>K496</f>
        <v>0</v>
      </c>
      <c r="L495" s="114">
        <f t="shared" si="97"/>
        <v>266.2</v>
      </c>
      <c r="M495" s="111">
        <f t="shared" si="97"/>
        <v>11601.900000000001</v>
      </c>
      <c r="N495" s="111">
        <f t="shared" si="97"/>
        <v>0</v>
      </c>
      <c r="O495" s="111">
        <f t="shared" si="97"/>
        <v>11601.900000000001</v>
      </c>
      <c r="P495" s="97"/>
      <c r="Q495" s="97"/>
    </row>
    <row r="496" spans="1:17" ht="47.25" x14ac:dyDescent="0.2">
      <c r="A496" s="40"/>
      <c r="B496" s="113" t="s">
        <v>497</v>
      </c>
      <c r="C496" s="113" t="s">
        <v>477</v>
      </c>
      <c r="D496" s="133" t="s">
        <v>511</v>
      </c>
      <c r="E496" s="133" t="s">
        <v>498</v>
      </c>
      <c r="F496" s="134" t="s">
        <v>11</v>
      </c>
      <c r="G496" s="111">
        <f>G497+G499</f>
        <v>11335.7</v>
      </c>
      <c r="H496" s="111">
        <f>SUM(H497)</f>
        <v>0</v>
      </c>
      <c r="I496" s="111">
        <f>I497+I499</f>
        <v>11335.7</v>
      </c>
      <c r="J496" s="114">
        <f t="shared" si="97"/>
        <v>266.2</v>
      </c>
      <c r="K496" s="111">
        <f>K497</f>
        <v>0</v>
      </c>
      <c r="L496" s="114">
        <f t="shared" si="97"/>
        <v>266.2</v>
      </c>
      <c r="M496" s="111">
        <f>M497+M499</f>
        <v>11601.900000000001</v>
      </c>
      <c r="N496" s="111">
        <f>SUM(K496)</f>
        <v>0</v>
      </c>
      <c r="O496" s="111">
        <f>O497+O499</f>
        <v>11601.900000000001</v>
      </c>
      <c r="P496" s="97"/>
      <c r="Q496" s="97"/>
    </row>
    <row r="497" spans="1:17" ht="31.5" x14ac:dyDescent="0.2">
      <c r="A497" s="40"/>
      <c r="B497" s="113" t="s">
        <v>134</v>
      </c>
      <c r="C497" s="113" t="s">
        <v>477</v>
      </c>
      <c r="D497" s="133" t="s">
        <v>511</v>
      </c>
      <c r="E497" s="133" t="s">
        <v>499</v>
      </c>
      <c r="F497" s="134" t="s">
        <v>11</v>
      </c>
      <c r="G497" s="111">
        <f>G498</f>
        <v>10735.7</v>
      </c>
      <c r="H497" s="109"/>
      <c r="I497" s="111">
        <f>I498</f>
        <v>10735.7</v>
      </c>
      <c r="J497" s="114">
        <f t="shared" si="97"/>
        <v>266.2</v>
      </c>
      <c r="K497" s="109"/>
      <c r="L497" s="114">
        <f t="shared" si="97"/>
        <v>266.2</v>
      </c>
      <c r="M497" s="111">
        <f t="shared" si="97"/>
        <v>11001.900000000001</v>
      </c>
      <c r="N497" s="111">
        <f t="shared" si="97"/>
        <v>0</v>
      </c>
      <c r="O497" s="111">
        <f t="shared" si="97"/>
        <v>11001.900000000001</v>
      </c>
      <c r="P497" s="97"/>
      <c r="Q497" s="97"/>
    </row>
    <row r="498" spans="1:17" ht="36.6" customHeight="1" x14ac:dyDescent="0.2">
      <c r="A498" s="40"/>
      <c r="B498" s="113" t="s">
        <v>95</v>
      </c>
      <c r="C498" s="113" t="s">
        <v>477</v>
      </c>
      <c r="D498" s="133" t="s">
        <v>511</v>
      </c>
      <c r="E498" s="133" t="s">
        <v>499</v>
      </c>
      <c r="F498" s="134" t="s">
        <v>96</v>
      </c>
      <c r="G498" s="111">
        <f>10735700/1000</f>
        <v>10735.7</v>
      </c>
      <c r="H498" s="109"/>
      <c r="I498" s="111">
        <f>10735700/1000+H498</f>
        <v>10735.7</v>
      </c>
      <c r="J498" s="115">
        <v>266.2</v>
      </c>
      <c r="K498" s="109"/>
      <c r="L498" s="115">
        <v>266.2</v>
      </c>
      <c r="M498" s="111">
        <f>G498+J498</f>
        <v>11001.900000000001</v>
      </c>
      <c r="N498" s="111">
        <f>SUM(K498)</f>
        <v>0</v>
      </c>
      <c r="O498" s="111">
        <f>I498+L498</f>
        <v>11001.900000000001</v>
      </c>
      <c r="P498" s="97"/>
      <c r="Q498" s="97"/>
    </row>
    <row r="499" spans="1:17" ht="36.6" customHeight="1" x14ac:dyDescent="0.2">
      <c r="A499" s="40"/>
      <c r="B499" s="113" t="s">
        <v>283</v>
      </c>
      <c r="C499" s="113">
        <v>993</v>
      </c>
      <c r="D499" s="133" t="s">
        <v>511</v>
      </c>
      <c r="E499" s="133" t="s">
        <v>502</v>
      </c>
      <c r="F499" s="134"/>
      <c r="G499" s="111">
        <f>SUM(G500)</f>
        <v>600</v>
      </c>
      <c r="H499" s="109"/>
      <c r="I499" s="111">
        <f>SUM(G499)</f>
        <v>600</v>
      </c>
      <c r="J499" s="115"/>
      <c r="K499" s="109"/>
      <c r="L499" s="115"/>
      <c r="M499" s="111">
        <f t="shared" ref="M499:O500" si="98">SUM(G499)</f>
        <v>600</v>
      </c>
      <c r="N499" s="111">
        <f t="shared" si="98"/>
        <v>0</v>
      </c>
      <c r="O499" s="111">
        <f t="shared" si="98"/>
        <v>600</v>
      </c>
      <c r="P499" s="97"/>
      <c r="Q499" s="97"/>
    </row>
    <row r="500" spans="1:17" ht="36.6" customHeight="1" x14ac:dyDescent="0.2">
      <c r="A500" s="40"/>
      <c r="B500" s="113" t="s">
        <v>95</v>
      </c>
      <c r="C500" s="113">
        <v>993</v>
      </c>
      <c r="D500" s="133" t="s">
        <v>511</v>
      </c>
      <c r="E500" s="133" t="s">
        <v>502</v>
      </c>
      <c r="F500" s="134">
        <v>600</v>
      </c>
      <c r="G500" s="111">
        <v>600</v>
      </c>
      <c r="H500" s="109"/>
      <c r="I500" s="111">
        <f>SUM(G500)</f>
        <v>600</v>
      </c>
      <c r="J500" s="115"/>
      <c r="K500" s="109"/>
      <c r="L500" s="115"/>
      <c r="M500" s="111">
        <f t="shared" si="98"/>
        <v>600</v>
      </c>
      <c r="N500" s="111">
        <f t="shared" si="98"/>
        <v>0</v>
      </c>
      <c r="O500" s="111">
        <f t="shared" si="98"/>
        <v>600</v>
      </c>
      <c r="P500" s="97"/>
      <c r="Q500" s="97"/>
    </row>
    <row r="501" spans="1:17" ht="31.5" x14ac:dyDescent="0.2">
      <c r="A501" s="33" t="s">
        <v>512</v>
      </c>
      <c r="B501" s="110" t="s">
        <v>513</v>
      </c>
      <c r="C501" s="110" t="s">
        <v>477</v>
      </c>
      <c r="D501" s="131" t="s">
        <v>514</v>
      </c>
      <c r="E501" s="131" t="s">
        <v>11</v>
      </c>
      <c r="F501" s="132" t="s">
        <v>11</v>
      </c>
      <c r="G501" s="109">
        <f>G502</f>
        <v>17537.699999999997</v>
      </c>
      <c r="H501" s="111">
        <f>H502+H513</f>
        <v>217.4</v>
      </c>
      <c r="I501" s="109">
        <f>I502</f>
        <v>17755.099999999999</v>
      </c>
      <c r="J501" s="112">
        <f>J502</f>
        <v>407.6</v>
      </c>
      <c r="K501" s="111">
        <f>K502+K513</f>
        <v>0</v>
      </c>
      <c r="L501" s="112">
        <f>L502</f>
        <v>407.6</v>
      </c>
      <c r="M501" s="109">
        <f>M502</f>
        <v>17945.3</v>
      </c>
      <c r="N501" s="109">
        <f>N502</f>
        <v>217.4</v>
      </c>
      <c r="O501" s="109">
        <f>O502</f>
        <v>18162.699999999997</v>
      </c>
      <c r="P501" s="97"/>
      <c r="Q501" s="97"/>
    </row>
    <row r="502" spans="1:17" ht="31.5" x14ac:dyDescent="0.2">
      <c r="A502" s="40"/>
      <c r="B502" s="113" t="s">
        <v>484</v>
      </c>
      <c r="C502" s="113" t="s">
        <v>477</v>
      </c>
      <c r="D502" s="133" t="s">
        <v>514</v>
      </c>
      <c r="E502" s="133" t="s">
        <v>485</v>
      </c>
      <c r="F502" s="134" t="s">
        <v>11</v>
      </c>
      <c r="G502" s="111">
        <f>G503+G514</f>
        <v>17537.699999999997</v>
      </c>
      <c r="H502" s="111">
        <f>H503+H507+H514</f>
        <v>217.4</v>
      </c>
      <c r="I502" s="111">
        <f>I503+I514</f>
        <v>17755.099999999999</v>
      </c>
      <c r="J502" s="114">
        <f>J503+J514</f>
        <v>407.6</v>
      </c>
      <c r="K502" s="111">
        <f>K503+K507</f>
        <v>0</v>
      </c>
      <c r="L502" s="114">
        <f>L503+L514</f>
        <v>407.6</v>
      </c>
      <c r="M502" s="111">
        <f>M503+M514</f>
        <v>17945.3</v>
      </c>
      <c r="N502" s="111">
        <f>N503+N514</f>
        <v>217.4</v>
      </c>
      <c r="O502" s="111">
        <f>O503+O514</f>
        <v>18162.699999999997</v>
      </c>
      <c r="P502" s="97"/>
      <c r="Q502" s="97"/>
    </row>
    <row r="503" spans="1:17" ht="47.25" x14ac:dyDescent="0.2">
      <c r="A503" s="40"/>
      <c r="B503" s="113" t="s">
        <v>495</v>
      </c>
      <c r="C503" s="113" t="s">
        <v>477</v>
      </c>
      <c r="D503" s="133" t="s">
        <v>514</v>
      </c>
      <c r="E503" s="133" t="s">
        <v>496</v>
      </c>
      <c r="F503" s="134" t="s">
        <v>11</v>
      </c>
      <c r="G503" s="111">
        <f>G504+G509</f>
        <v>15447.099999999999</v>
      </c>
      <c r="H503" s="111">
        <f>H504+H509</f>
        <v>211.9</v>
      </c>
      <c r="I503" s="111">
        <f>I504+I509</f>
        <v>15664.5</v>
      </c>
      <c r="J503" s="114">
        <f>J504+J509</f>
        <v>407.6</v>
      </c>
      <c r="K503" s="111">
        <f>K504</f>
        <v>0</v>
      </c>
      <c r="L503" s="114">
        <f>L504+L509</f>
        <v>407.6</v>
      </c>
      <c r="M503" s="111">
        <f>M504+M509</f>
        <v>15854.7</v>
      </c>
      <c r="N503" s="111">
        <f>N504+N509</f>
        <v>217.4</v>
      </c>
      <c r="O503" s="111">
        <f>O504+O509</f>
        <v>16072.099999999999</v>
      </c>
      <c r="P503" s="97"/>
      <c r="Q503" s="97"/>
    </row>
    <row r="504" spans="1:17" ht="47.25" x14ac:dyDescent="0.2">
      <c r="A504" s="40"/>
      <c r="B504" s="113" t="s">
        <v>497</v>
      </c>
      <c r="C504" s="113" t="s">
        <v>477</v>
      </c>
      <c r="D504" s="133" t="s">
        <v>514</v>
      </c>
      <c r="E504" s="133" t="s">
        <v>498</v>
      </c>
      <c r="F504" s="134" t="s">
        <v>11</v>
      </c>
      <c r="G504" s="111">
        <f>G505</f>
        <v>4730.5999999999995</v>
      </c>
      <c r="H504" s="111">
        <f>H505+H506+H508</f>
        <v>211.9</v>
      </c>
      <c r="I504" s="111">
        <f>I505</f>
        <v>4947.9999999999991</v>
      </c>
      <c r="J504" s="114">
        <f>J505</f>
        <v>407.6</v>
      </c>
      <c r="K504" s="111"/>
      <c r="L504" s="114">
        <f>L505</f>
        <v>407.6</v>
      </c>
      <c r="M504" s="111">
        <f>M505</f>
        <v>5138.2</v>
      </c>
      <c r="N504" s="111">
        <f>N505</f>
        <v>217.4</v>
      </c>
      <c r="O504" s="111">
        <f>O505</f>
        <v>5355.5999999999995</v>
      </c>
      <c r="P504" s="97"/>
      <c r="Q504" s="97"/>
    </row>
    <row r="505" spans="1:17" ht="31.5" x14ac:dyDescent="0.2">
      <c r="A505" s="40"/>
      <c r="B505" s="113" t="s">
        <v>134</v>
      </c>
      <c r="C505" s="113" t="s">
        <v>477</v>
      </c>
      <c r="D505" s="133" t="s">
        <v>514</v>
      </c>
      <c r="E505" s="133" t="s">
        <v>499</v>
      </c>
      <c r="F505" s="134" t="s">
        <v>11</v>
      </c>
      <c r="G505" s="111">
        <f>G506+G507</f>
        <v>4730.5999999999995</v>
      </c>
      <c r="H505" s="111"/>
      <c r="I505" s="111">
        <f>I506+I507+H508</f>
        <v>4947.9999999999991</v>
      </c>
      <c r="J505" s="114">
        <f>J506+J507</f>
        <v>407.6</v>
      </c>
      <c r="K505" s="111"/>
      <c r="L505" s="114">
        <f>L506+L507</f>
        <v>407.6</v>
      </c>
      <c r="M505" s="111">
        <f>M506+M507</f>
        <v>5138.2</v>
      </c>
      <c r="N505" s="111">
        <f>N506+N507+N508</f>
        <v>217.4</v>
      </c>
      <c r="O505" s="111">
        <f>O506+O507+O508</f>
        <v>5355.5999999999995</v>
      </c>
      <c r="P505" s="97"/>
      <c r="Q505" s="97"/>
    </row>
    <row r="506" spans="1:17" ht="78.75" x14ac:dyDescent="0.2">
      <c r="A506" s="40"/>
      <c r="B506" s="113" t="s">
        <v>61</v>
      </c>
      <c r="C506" s="113" t="s">
        <v>477</v>
      </c>
      <c r="D506" s="133" t="s">
        <v>514</v>
      </c>
      <c r="E506" s="133" t="s">
        <v>499</v>
      </c>
      <c r="F506" s="134" t="s">
        <v>62</v>
      </c>
      <c r="G506" s="111">
        <f>3786600/1000+351.1</f>
        <v>4137.7</v>
      </c>
      <c r="H506" s="111">
        <f>-1+217.4-5.5</f>
        <v>210.9</v>
      </c>
      <c r="I506" s="111">
        <f>3786600/1000+351.1+H506</f>
        <v>4348.5999999999995</v>
      </c>
      <c r="J506" s="115">
        <v>407.6</v>
      </c>
      <c r="K506" s="111"/>
      <c r="L506" s="115">
        <f>SUM(J506)</f>
        <v>407.6</v>
      </c>
      <c r="M506" s="111">
        <f>G506+J506</f>
        <v>4545.3</v>
      </c>
      <c r="N506" s="111">
        <f>SUM(H506)</f>
        <v>210.9</v>
      </c>
      <c r="O506" s="111">
        <f>I506+L506</f>
        <v>4756.2</v>
      </c>
      <c r="P506" s="97"/>
      <c r="Q506" s="97"/>
    </row>
    <row r="507" spans="1:17" ht="31.5" x14ac:dyDescent="0.2">
      <c r="A507" s="40"/>
      <c r="B507" s="113" t="s">
        <v>40</v>
      </c>
      <c r="C507" s="113" t="s">
        <v>477</v>
      </c>
      <c r="D507" s="133" t="s">
        <v>514</v>
      </c>
      <c r="E507" s="133" t="s">
        <v>499</v>
      </c>
      <c r="F507" s="134" t="s">
        <v>41</v>
      </c>
      <c r="G507" s="111">
        <v>592.9</v>
      </c>
      <c r="H507" s="111">
        <v>5.5</v>
      </c>
      <c r="I507" s="111">
        <f>SUM(G507+H507)</f>
        <v>598.4</v>
      </c>
      <c r="J507" s="115"/>
      <c r="K507" s="111"/>
      <c r="L507" s="115"/>
      <c r="M507" s="111">
        <f>SUM(G507)</f>
        <v>592.9</v>
      </c>
      <c r="N507" s="111">
        <f>SUM(H507)</f>
        <v>5.5</v>
      </c>
      <c r="O507" s="111">
        <f>SUM(M507+N507)</f>
        <v>598.4</v>
      </c>
      <c r="P507" s="97"/>
      <c r="Q507" s="97"/>
    </row>
    <row r="508" spans="1:17" ht="15.75" x14ac:dyDescent="0.2">
      <c r="A508" s="40"/>
      <c r="B508" s="113" t="s">
        <v>70</v>
      </c>
      <c r="C508" s="113">
        <v>993</v>
      </c>
      <c r="D508" s="133" t="s">
        <v>514</v>
      </c>
      <c r="E508" s="133" t="s">
        <v>499</v>
      </c>
      <c r="F508" s="134">
        <v>800</v>
      </c>
      <c r="G508" s="111"/>
      <c r="H508" s="111">
        <v>1</v>
      </c>
      <c r="I508" s="111">
        <f>SUM(H508)</f>
        <v>1</v>
      </c>
      <c r="J508" s="115"/>
      <c r="K508" s="111"/>
      <c r="L508" s="115"/>
      <c r="M508" s="111"/>
      <c r="N508" s="111">
        <f>SUM(H508)</f>
        <v>1</v>
      </c>
      <c r="O508" s="111">
        <f>SUM(I508)</f>
        <v>1</v>
      </c>
      <c r="P508" s="97"/>
      <c r="Q508" s="97"/>
    </row>
    <row r="509" spans="1:17" ht="47.25" x14ac:dyDescent="0.2">
      <c r="A509" s="40"/>
      <c r="B509" s="113" t="s">
        <v>515</v>
      </c>
      <c r="C509" s="113" t="s">
        <v>477</v>
      </c>
      <c r="D509" s="133" t="s">
        <v>514</v>
      </c>
      <c r="E509" s="133" t="s">
        <v>516</v>
      </c>
      <c r="F509" s="134" t="s">
        <v>11</v>
      </c>
      <c r="G509" s="111">
        <f>G510</f>
        <v>10716.5</v>
      </c>
      <c r="H509" s="111">
        <f>H510</f>
        <v>0</v>
      </c>
      <c r="I509" s="111">
        <f>I510</f>
        <v>10716.5</v>
      </c>
      <c r="J509" s="114">
        <f>J510</f>
        <v>0</v>
      </c>
      <c r="K509" s="111">
        <f>K510+K511+K512</f>
        <v>0</v>
      </c>
      <c r="L509" s="114">
        <f>L510</f>
        <v>0</v>
      </c>
      <c r="M509" s="111">
        <f>M510</f>
        <v>10716.5</v>
      </c>
      <c r="N509" s="111">
        <f>N510</f>
        <v>0</v>
      </c>
      <c r="O509" s="111">
        <f>O510</f>
        <v>10716.5</v>
      </c>
      <c r="P509" s="97"/>
      <c r="Q509" s="97"/>
    </row>
    <row r="510" spans="1:17" ht="31.5" x14ac:dyDescent="0.2">
      <c r="A510" s="40"/>
      <c r="B510" s="113" t="s">
        <v>134</v>
      </c>
      <c r="C510" s="113" t="s">
        <v>477</v>
      </c>
      <c r="D510" s="133" t="s">
        <v>514</v>
      </c>
      <c r="E510" s="133" t="s">
        <v>517</v>
      </c>
      <c r="F510" s="134" t="s">
        <v>11</v>
      </c>
      <c r="G510" s="111">
        <f>G511+G512+G513</f>
        <v>10716.5</v>
      </c>
      <c r="H510" s="111">
        <f>SUM(H511+H512)</f>
        <v>0</v>
      </c>
      <c r="I510" s="111">
        <f>I511+I512+I513</f>
        <v>10716.5</v>
      </c>
      <c r="J510" s="114">
        <f>J511+J512+J513</f>
        <v>0</v>
      </c>
      <c r="K510" s="111"/>
      <c r="L510" s="114">
        <f>L511+L512+L513</f>
        <v>0</v>
      </c>
      <c r="M510" s="111">
        <f>M511+M512+M513</f>
        <v>10716.5</v>
      </c>
      <c r="N510" s="111">
        <f>N511+N512+N513</f>
        <v>0</v>
      </c>
      <c r="O510" s="111">
        <f>O511+O512+O513</f>
        <v>10716.5</v>
      </c>
      <c r="P510" s="97"/>
      <c r="Q510" s="97"/>
    </row>
    <row r="511" spans="1:17" ht="78.75" x14ac:dyDescent="0.2">
      <c r="A511" s="40"/>
      <c r="B511" s="113" t="s">
        <v>61</v>
      </c>
      <c r="C511" s="113" t="s">
        <v>477</v>
      </c>
      <c r="D511" s="133" t="s">
        <v>514</v>
      </c>
      <c r="E511" s="133" t="s">
        <v>517</v>
      </c>
      <c r="F511" s="134" t="s">
        <v>62</v>
      </c>
      <c r="G511" s="111">
        <v>9288.5</v>
      </c>
      <c r="H511" s="111"/>
      <c r="I511" s="111">
        <f>SUM(G511)+H511</f>
        <v>9288.5</v>
      </c>
      <c r="J511" s="115">
        <v>0</v>
      </c>
      <c r="K511" s="111"/>
      <c r="L511" s="115">
        <v>0</v>
      </c>
      <c r="M511" s="111">
        <f t="shared" ref="M511:O512" si="99">SUM(G511)</f>
        <v>9288.5</v>
      </c>
      <c r="N511" s="111">
        <f t="shared" si="99"/>
        <v>0</v>
      </c>
      <c r="O511" s="111">
        <f t="shared" si="99"/>
        <v>9288.5</v>
      </c>
      <c r="P511" s="97"/>
      <c r="Q511" s="97"/>
    </row>
    <row r="512" spans="1:17" ht="31.5" x14ac:dyDescent="0.2">
      <c r="A512" s="40"/>
      <c r="B512" s="113" t="s">
        <v>40</v>
      </c>
      <c r="C512" s="113" t="s">
        <v>477</v>
      </c>
      <c r="D512" s="133" t="s">
        <v>514</v>
      </c>
      <c r="E512" s="133" t="s">
        <v>517</v>
      </c>
      <c r="F512" s="134" t="s">
        <v>41</v>
      </c>
      <c r="G512" s="111">
        <v>1426.9</v>
      </c>
      <c r="H512" s="111"/>
      <c r="I512" s="111">
        <f>SUM(G512)</f>
        <v>1426.9</v>
      </c>
      <c r="J512" s="115">
        <v>0</v>
      </c>
      <c r="K512" s="111"/>
      <c r="L512" s="115">
        <v>0</v>
      </c>
      <c r="M512" s="111">
        <f t="shared" si="99"/>
        <v>1426.9</v>
      </c>
      <c r="N512" s="111">
        <f t="shared" si="99"/>
        <v>0</v>
      </c>
      <c r="O512" s="111">
        <f t="shared" si="99"/>
        <v>1426.9</v>
      </c>
      <c r="P512" s="97"/>
      <c r="Q512" s="97"/>
    </row>
    <row r="513" spans="1:17" ht="15.75" x14ac:dyDescent="0.2">
      <c r="A513" s="40"/>
      <c r="B513" s="113" t="s">
        <v>70</v>
      </c>
      <c r="C513" s="113" t="s">
        <v>477</v>
      </c>
      <c r="D513" s="133" t="s">
        <v>514</v>
      </c>
      <c r="E513" s="133" t="s">
        <v>517</v>
      </c>
      <c r="F513" s="134" t="s">
        <v>71</v>
      </c>
      <c r="G513" s="111">
        <f>1100/1000</f>
        <v>1.1000000000000001</v>
      </c>
      <c r="H513" s="111"/>
      <c r="I513" s="111">
        <f>1100/1000</f>
        <v>1.1000000000000001</v>
      </c>
      <c r="J513" s="115">
        <v>0</v>
      </c>
      <c r="K513" s="111"/>
      <c r="L513" s="115">
        <v>0</v>
      </c>
      <c r="M513" s="111">
        <f>1100/1000</f>
        <v>1.1000000000000001</v>
      </c>
      <c r="N513" s="111"/>
      <c r="O513" s="111">
        <f>1100/1000</f>
        <v>1.1000000000000001</v>
      </c>
      <c r="P513" s="97"/>
      <c r="Q513" s="97"/>
    </row>
    <row r="514" spans="1:17" ht="31.5" x14ac:dyDescent="0.2">
      <c r="A514" s="40"/>
      <c r="B514" s="113" t="s">
        <v>518</v>
      </c>
      <c r="C514" s="113" t="s">
        <v>477</v>
      </c>
      <c r="D514" s="133" t="s">
        <v>514</v>
      </c>
      <c r="E514" s="133" t="s">
        <v>519</v>
      </c>
      <c r="F514" s="134" t="s">
        <v>11</v>
      </c>
      <c r="G514" s="111">
        <f t="shared" ref="G514:O515" si="100">G515</f>
        <v>2090.6</v>
      </c>
      <c r="H514" s="111">
        <f t="shared" si="100"/>
        <v>0</v>
      </c>
      <c r="I514" s="111">
        <f t="shared" si="100"/>
        <v>2090.6</v>
      </c>
      <c r="J514" s="114">
        <f t="shared" si="100"/>
        <v>0</v>
      </c>
      <c r="K514" s="111">
        <f t="shared" si="100"/>
        <v>0</v>
      </c>
      <c r="L514" s="114">
        <f t="shared" si="100"/>
        <v>0</v>
      </c>
      <c r="M514" s="111">
        <f t="shared" si="100"/>
        <v>2090.6</v>
      </c>
      <c r="N514" s="111">
        <f t="shared" si="100"/>
        <v>0</v>
      </c>
      <c r="O514" s="111">
        <f t="shared" si="100"/>
        <v>2090.6</v>
      </c>
      <c r="P514" s="97"/>
      <c r="Q514" s="97"/>
    </row>
    <row r="515" spans="1:17" ht="31.5" x14ac:dyDescent="0.2">
      <c r="A515" s="40"/>
      <c r="B515" s="113" t="s">
        <v>520</v>
      </c>
      <c r="C515" s="113" t="s">
        <v>477</v>
      </c>
      <c r="D515" s="133" t="s">
        <v>514</v>
      </c>
      <c r="E515" s="133" t="s">
        <v>521</v>
      </c>
      <c r="F515" s="134" t="s">
        <v>11</v>
      </c>
      <c r="G515" s="111">
        <f t="shared" si="100"/>
        <v>2090.6</v>
      </c>
      <c r="H515" s="111">
        <f>H516</f>
        <v>0</v>
      </c>
      <c r="I515" s="111">
        <f t="shared" si="100"/>
        <v>2090.6</v>
      </c>
      <c r="J515" s="114">
        <f t="shared" si="100"/>
        <v>0</v>
      </c>
      <c r="K515" s="111">
        <f>K516+K517</f>
        <v>0</v>
      </c>
      <c r="L515" s="114">
        <f t="shared" si="100"/>
        <v>0</v>
      </c>
      <c r="M515" s="111">
        <f t="shared" si="100"/>
        <v>2090.6</v>
      </c>
      <c r="N515" s="111">
        <f>SUM(H515)</f>
        <v>0</v>
      </c>
      <c r="O515" s="111">
        <f t="shared" si="100"/>
        <v>2090.6</v>
      </c>
      <c r="P515" s="97"/>
      <c r="Q515" s="97"/>
    </row>
    <row r="516" spans="1:17" ht="31.5" x14ac:dyDescent="0.2">
      <c r="A516" s="40"/>
      <c r="B516" s="113" t="s">
        <v>38</v>
      </c>
      <c r="C516" s="113" t="s">
        <v>477</v>
      </c>
      <c r="D516" s="133" t="s">
        <v>514</v>
      </c>
      <c r="E516" s="133" t="s">
        <v>522</v>
      </c>
      <c r="F516" s="134" t="s">
        <v>11</v>
      </c>
      <c r="G516" s="111">
        <f>G517+G518+G519</f>
        <v>2090.6</v>
      </c>
      <c r="H516" s="111"/>
      <c r="I516" s="111">
        <f>I517+I518+I519</f>
        <v>2090.6</v>
      </c>
      <c r="J516" s="114">
        <f>J517+J518</f>
        <v>0</v>
      </c>
      <c r="K516" s="111"/>
      <c r="L516" s="114">
        <f>L517+L518</f>
        <v>0</v>
      </c>
      <c r="M516" s="111">
        <f>M517+M518+M519</f>
        <v>2090.6</v>
      </c>
      <c r="N516" s="111"/>
      <c r="O516" s="111">
        <f>O517+O518+O519</f>
        <v>2090.6</v>
      </c>
      <c r="P516" s="97"/>
      <c r="Q516" s="97"/>
    </row>
    <row r="517" spans="1:17" ht="78.75" x14ac:dyDescent="0.2">
      <c r="A517" s="40"/>
      <c r="B517" s="113" t="s">
        <v>61</v>
      </c>
      <c r="C517" s="113" t="s">
        <v>477</v>
      </c>
      <c r="D517" s="133" t="s">
        <v>514</v>
      </c>
      <c r="E517" s="133" t="s">
        <v>522</v>
      </c>
      <c r="F517" s="134" t="s">
        <v>62</v>
      </c>
      <c r="G517" s="111">
        <v>2080.6</v>
      </c>
      <c r="H517" s="111">
        <v>-0.5</v>
      </c>
      <c r="I517" s="111">
        <f>SUM(G517)+H517</f>
        <v>2080.1</v>
      </c>
      <c r="J517" s="115">
        <v>0</v>
      </c>
      <c r="K517" s="111"/>
      <c r="L517" s="115">
        <v>0</v>
      </c>
      <c r="M517" s="111">
        <f t="shared" ref="M517:O519" si="101">SUM(G517)</f>
        <v>2080.6</v>
      </c>
      <c r="N517" s="111">
        <f t="shared" si="101"/>
        <v>-0.5</v>
      </c>
      <c r="O517" s="111">
        <f t="shared" si="101"/>
        <v>2080.1</v>
      </c>
      <c r="P517" s="97"/>
      <c r="Q517" s="97"/>
    </row>
    <row r="518" spans="1:17" ht="31.5" x14ac:dyDescent="0.2">
      <c r="A518" s="40"/>
      <c r="B518" s="113" t="s">
        <v>40</v>
      </c>
      <c r="C518" s="113" t="s">
        <v>477</v>
      </c>
      <c r="D518" s="133" t="s">
        <v>514</v>
      </c>
      <c r="E518" s="133" t="s">
        <v>522</v>
      </c>
      <c r="F518" s="134" t="s">
        <v>41</v>
      </c>
      <c r="G518" s="111">
        <v>9.5</v>
      </c>
      <c r="H518" s="106"/>
      <c r="I518" s="111">
        <f>SUM(G518)</f>
        <v>9.5</v>
      </c>
      <c r="J518" s="115">
        <v>0</v>
      </c>
      <c r="K518" s="106"/>
      <c r="L518" s="115">
        <v>0</v>
      </c>
      <c r="M518" s="111">
        <f t="shared" si="101"/>
        <v>9.5</v>
      </c>
      <c r="N518" s="111">
        <f t="shared" si="101"/>
        <v>0</v>
      </c>
      <c r="O518" s="111">
        <f t="shared" si="101"/>
        <v>9.5</v>
      </c>
      <c r="P518" s="97"/>
      <c r="Q518" s="97"/>
    </row>
    <row r="519" spans="1:17" ht="15.75" x14ac:dyDescent="0.2">
      <c r="A519" s="40"/>
      <c r="B519" s="113" t="s">
        <v>70</v>
      </c>
      <c r="C519" s="113" t="s">
        <v>477</v>
      </c>
      <c r="D519" s="133" t="s">
        <v>514</v>
      </c>
      <c r="E519" s="133" t="s">
        <v>522</v>
      </c>
      <c r="F519" s="134">
        <v>800</v>
      </c>
      <c r="G519" s="111">
        <v>0.5</v>
      </c>
      <c r="H519" s="106">
        <v>0.5</v>
      </c>
      <c r="I519" s="111">
        <f>SUM(H519)+G519</f>
        <v>1</v>
      </c>
      <c r="J519" s="115"/>
      <c r="K519" s="106"/>
      <c r="L519" s="115"/>
      <c r="M519" s="111">
        <f t="shared" si="101"/>
        <v>0.5</v>
      </c>
      <c r="N519" s="111">
        <f t="shared" si="101"/>
        <v>0.5</v>
      </c>
      <c r="O519" s="111">
        <f t="shared" si="101"/>
        <v>1</v>
      </c>
      <c r="P519" s="97"/>
      <c r="Q519" s="97"/>
    </row>
    <row r="520" spans="1:17" ht="47.25" x14ac:dyDescent="0.2">
      <c r="A520" s="20" t="s">
        <v>523</v>
      </c>
      <c r="B520" s="107" t="s">
        <v>524</v>
      </c>
      <c r="C520" s="107" t="s">
        <v>525</v>
      </c>
      <c r="D520" s="129" t="s">
        <v>11</v>
      </c>
      <c r="E520" s="129" t="s">
        <v>11</v>
      </c>
      <c r="F520" s="130" t="s">
        <v>11</v>
      </c>
      <c r="G520" s="106">
        <f>G521+G536</f>
        <v>16488.099999999999</v>
      </c>
      <c r="H520" s="106">
        <f>H521+H536</f>
        <v>8310</v>
      </c>
      <c r="I520" s="106">
        <f>I521+I536</f>
        <v>24798.1</v>
      </c>
      <c r="J520" s="108">
        <f>J521+J536</f>
        <v>0</v>
      </c>
      <c r="K520" s="106">
        <f>K521</f>
        <v>0</v>
      </c>
      <c r="L520" s="108">
        <f>L521+L536</f>
        <v>0</v>
      </c>
      <c r="M520" s="106">
        <f>M521+M536</f>
        <v>16488.099999999999</v>
      </c>
      <c r="N520" s="106">
        <f>N521+N536</f>
        <v>8310</v>
      </c>
      <c r="O520" s="106">
        <f>O521+O536</f>
        <v>24798.1</v>
      </c>
      <c r="P520" s="97"/>
      <c r="Q520" s="97"/>
    </row>
    <row r="521" spans="1:17" ht="15.75" x14ac:dyDescent="0.2">
      <c r="A521" s="20" t="s">
        <v>526</v>
      </c>
      <c r="B521" s="107" t="s">
        <v>30</v>
      </c>
      <c r="C521" s="107" t="s">
        <v>525</v>
      </c>
      <c r="D521" s="129" t="s">
        <v>31</v>
      </c>
      <c r="E521" s="129" t="s">
        <v>11</v>
      </c>
      <c r="F521" s="130" t="s">
        <v>11</v>
      </c>
      <c r="G521" s="106">
        <f t="shared" ref="G521:O523" si="102">G522</f>
        <v>4851.6000000000004</v>
      </c>
      <c r="H521" s="109">
        <f t="shared" si="102"/>
        <v>8310</v>
      </c>
      <c r="I521" s="106">
        <f t="shared" si="102"/>
        <v>13161.599999999999</v>
      </c>
      <c r="J521" s="108">
        <f t="shared" si="102"/>
        <v>0</v>
      </c>
      <c r="K521" s="109">
        <f>K522</f>
        <v>0</v>
      </c>
      <c r="L521" s="108">
        <f t="shared" si="102"/>
        <v>0</v>
      </c>
      <c r="M521" s="106">
        <f t="shared" si="102"/>
        <v>4851.6000000000004</v>
      </c>
      <c r="N521" s="106">
        <f t="shared" si="102"/>
        <v>8310</v>
      </c>
      <c r="O521" s="106">
        <f t="shared" si="102"/>
        <v>13161.599999999999</v>
      </c>
      <c r="P521" s="97"/>
      <c r="Q521" s="97"/>
    </row>
    <row r="522" spans="1:17" ht="15.75" x14ac:dyDescent="0.2">
      <c r="A522" s="33" t="s">
        <v>527</v>
      </c>
      <c r="B522" s="110" t="s">
        <v>85</v>
      </c>
      <c r="C522" s="110" t="s">
        <v>525</v>
      </c>
      <c r="D522" s="131" t="s">
        <v>86</v>
      </c>
      <c r="E522" s="131" t="s">
        <v>11</v>
      </c>
      <c r="F522" s="132" t="s">
        <v>11</v>
      </c>
      <c r="G522" s="109">
        <f t="shared" si="102"/>
        <v>4851.6000000000004</v>
      </c>
      <c r="H522" s="111">
        <f t="shared" si="102"/>
        <v>8310</v>
      </c>
      <c r="I522" s="109">
        <f t="shared" si="102"/>
        <v>13161.599999999999</v>
      </c>
      <c r="J522" s="112">
        <f t="shared" si="102"/>
        <v>0</v>
      </c>
      <c r="K522" s="111">
        <f>K523</f>
        <v>0</v>
      </c>
      <c r="L522" s="112">
        <f t="shared" si="102"/>
        <v>0</v>
      </c>
      <c r="M522" s="109">
        <f t="shared" si="102"/>
        <v>4851.6000000000004</v>
      </c>
      <c r="N522" s="109">
        <f t="shared" si="102"/>
        <v>8310</v>
      </c>
      <c r="O522" s="109">
        <f t="shared" si="102"/>
        <v>13161.599999999999</v>
      </c>
      <c r="P522" s="97"/>
      <c r="Q522" s="97"/>
    </row>
    <row r="523" spans="1:17" ht="31.5" x14ac:dyDescent="0.2">
      <c r="A523" s="40"/>
      <c r="B523" s="113" t="s">
        <v>128</v>
      </c>
      <c r="C523" s="113" t="s">
        <v>525</v>
      </c>
      <c r="D523" s="133" t="s">
        <v>86</v>
      </c>
      <c r="E523" s="133" t="s">
        <v>129</v>
      </c>
      <c r="F523" s="134" t="s">
        <v>11</v>
      </c>
      <c r="G523" s="111">
        <f t="shared" si="102"/>
        <v>4851.6000000000004</v>
      </c>
      <c r="H523" s="111">
        <f t="shared" si="102"/>
        <v>8310</v>
      </c>
      <c r="I523" s="111">
        <f t="shared" si="102"/>
        <v>13161.599999999999</v>
      </c>
      <c r="J523" s="114">
        <f t="shared" si="102"/>
        <v>0</v>
      </c>
      <c r="K523" s="111">
        <f>K524+K528</f>
        <v>0</v>
      </c>
      <c r="L523" s="114">
        <f t="shared" si="102"/>
        <v>0</v>
      </c>
      <c r="M523" s="111">
        <f t="shared" si="102"/>
        <v>4851.6000000000004</v>
      </c>
      <c r="N523" s="111">
        <f t="shared" si="102"/>
        <v>8310</v>
      </c>
      <c r="O523" s="111">
        <f t="shared" si="102"/>
        <v>13161.599999999999</v>
      </c>
      <c r="P523" s="97"/>
      <c r="Q523" s="97"/>
    </row>
    <row r="524" spans="1:17" ht="31.5" x14ac:dyDescent="0.2">
      <c r="A524" s="40"/>
      <c r="B524" s="113" t="s">
        <v>528</v>
      </c>
      <c r="C524" s="113" t="s">
        <v>525</v>
      </c>
      <c r="D524" s="133" t="s">
        <v>86</v>
      </c>
      <c r="E524" s="133" t="s">
        <v>529</v>
      </c>
      <c r="F524" s="134" t="s">
        <v>11</v>
      </c>
      <c r="G524" s="111">
        <f>G525+G529</f>
        <v>4851.6000000000004</v>
      </c>
      <c r="H524" s="111">
        <f>H525+H529</f>
        <v>8310</v>
      </c>
      <c r="I524" s="111">
        <f>I525+I529</f>
        <v>13161.599999999999</v>
      </c>
      <c r="J524" s="114">
        <f>J525+J529</f>
        <v>0</v>
      </c>
      <c r="K524" s="111">
        <f>K525</f>
        <v>0</v>
      </c>
      <c r="L524" s="114">
        <f>L525+L529</f>
        <v>0</v>
      </c>
      <c r="M524" s="111">
        <f>M525+M529</f>
        <v>4851.6000000000004</v>
      </c>
      <c r="N524" s="111">
        <f>N525+N529</f>
        <v>8310</v>
      </c>
      <c r="O524" s="111">
        <f>O525+O529</f>
        <v>13161.599999999999</v>
      </c>
      <c r="P524" s="97"/>
      <c r="Q524" s="97"/>
    </row>
    <row r="525" spans="1:17" ht="47.25" x14ac:dyDescent="0.2">
      <c r="A525" s="40"/>
      <c r="B525" s="113" t="s">
        <v>530</v>
      </c>
      <c r="C525" s="113" t="s">
        <v>525</v>
      </c>
      <c r="D525" s="133" t="s">
        <v>86</v>
      </c>
      <c r="E525" s="133" t="s">
        <v>531</v>
      </c>
      <c r="F525" s="134" t="s">
        <v>11</v>
      </c>
      <c r="G525" s="111">
        <f>G526</f>
        <v>3784.2</v>
      </c>
      <c r="H525" s="111">
        <f>H526</f>
        <v>0</v>
      </c>
      <c r="I525" s="111">
        <f>I526</f>
        <v>3784.2</v>
      </c>
      <c r="J525" s="114">
        <f>J526</f>
        <v>0</v>
      </c>
      <c r="K525" s="111"/>
      <c r="L525" s="114">
        <f>L526</f>
        <v>0</v>
      </c>
      <c r="M525" s="111">
        <f>M526</f>
        <v>3784.2</v>
      </c>
      <c r="N525" s="111">
        <f>N526</f>
        <v>0</v>
      </c>
      <c r="O525" s="111">
        <f>O526</f>
        <v>3784.2</v>
      </c>
      <c r="P525" s="97"/>
      <c r="Q525" s="97"/>
    </row>
    <row r="526" spans="1:17" ht="31.5" x14ac:dyDescent="0.2">
      <c r="A526" s="40"/>
      <c r="B526" s="113" t="s">
        <v>38</v>
      </c>
      <c r="C526" s="113" t="s">
        <v>525</v>
      </c>
      <c r="D526" s="133" t="s">
        <v>86</v>
      </c>
      <c r="E526" s="133" t="s">
        <v>532</v>
      </c>
      <c r="F526" s="134" t="s">
        <v>11</v>
      </c>
      <c r="G526" s="111">
        <f>G527+G528</f>
        <v>3784.2</v>
      </c>
      <c r="H526" s="111">
        <f>SUM(H527)+H528</f>
        <v>0</v>
      </c>
      <c r="I526" s="111">
        <f>I527+I528</f>
        <v>3784.2</v>
      </c>
      <c r="J526" s="114">
        <f>J527+J528</f>
        <v>0</v>
      </c>
      <c r="K526" s="111"/>
      <c r="L526" s="114">
        <f>L527+L528</f>
        <v>0</v>
      </c>
      <c r="M526" s="111">
        <f>M527+M528</f>
        <v>3784.2</v>
      </c>
      <c r="N526" s="111">
        <f>N527+N528</f>
        <v>0</v>
      </c>
      <c r="O526" s="111">
        <f>O527+O528</f>
        <v>3784.2</v>
      </c>
      <c r="P526" s="97"/>
      <c r="Q526" s="97"/>
    </row>
    <row r="527" spans="1:17" ht="78.75" x14ac:dyDescent="0.2">
      <c r="A527" s="40"/>
      <c r="B527" s="113" t="s">
        <v>61</v>
      </c>
      <c r="C527" s="113" t="s">
        <v>525</v>
      </c>
      <c r="D527" s="133" t="s">
        <v>86</v>
      </c>
      <c r="E527" s="133" t="s">
        <v>532</v>
      </c>
      <c r="F527" s="134" t="s">
        <v>62</v>
      </c>
      <c r="G527" s="111">
        <v>3766.6</v>
      </c>
      <c r="H527" s="111"/>
      <c r="I527" s="111">
        <f>SUM(G527)+H527</f>
        <v>3766.6</v>
      </c>
      <c r="J527" s="115">
        <v>0</v>
      </c>
      <c r="K527" s="111"/>
      <c r="L527" s="115">
        <v>0</v>
      </c>
      <c r="M527" s="111">
        <f t="shared" ref="M527:O528" si="103">SUM(G527)</f>
        <v>3766.6</v>
      </c>
      <c r="N527" s="111">
        <f t="shared" si="103"/>
        <v>0</v>
      </c>
      <c r="O527" s="111">
        <f t="shared" si="103"/>
        <v>3766.6</v>
      </c>
      <c r="P527" s="97"/>
      <c r="Q527" s="97"/>
    </row>
    <row r="528" spans="1:17" ht="31.5" x14ac:dyDescent="0.2">
      <c r="A528" s="40"/>
      <c r="B528" s="113" t="s">
        <v>40</v>
      </c>
      <c r="C528" s="113" t="s">
        <v>525</v>
      </c>
      <c r="D528" s="133" t="s">
        <v>86</v>
      </c>
      <c r="E528" s="133" t="s">
        <v>532</v>
      </c>
      <c r="F528" s="134" t="s">
        <v>41</v>
      </c>
      <c r="G528" s="111">
        <v>17.600000000000001</v>
      </c>
      <c r="H528" s="111"/>
      <c r="I528" s="111">
        <f>SUM(G528)</f>
        <v>17.600000000000001</v>
      </c>
      <c r="J528" s="115">
        <v>0</v>
      </c>
      <c r="K528" s="111">
        <f>K529</f>
        <v>0</v>
      </c>
      <c r="L528" s="115">
        <v>0</v>
      </c>
      <c r="M528" s="111">
        <f t="shared" si="103"/>
        <v>17.600000000000001</v>
      </c>
      <c r="N528" s="111">
        <f t="shared" si="103"/>
        <v>0</v>
      </c>
      <c r="O528" s="111">
        <f t="shared" si="103"/>
        <v>17.600000000000001</v>
      </c>
      <c r="P528" s="97"/>
      <c r="Q528" s="97"/>
    </row>
    <row r="529" spans="1:17" ht="47.25" x14ac:dyDescent="0.2">
      <c r="A529" s="40"/>
      <c r="B529" s="113" t="s">
        <v>533</v>
      </c>
      <c r="C529" s="113" t="s">
        <v>525</v>
      </c>
      <c r="D529" s="133" t="s">
        <v>86</v>
      </c>
      <c r="E529" s="133" t="s">
        <v>534</v>
      </c>
      <c r="F529" s="134" t="s">
        <v>11</v>
      </c>
      <c r="G529" s="111">
        <f>G530</f>
        <v>1067.4000000000001</v>
      </c>
      <c r="H529" s="111">
        <f>SUM(H530)+H534</f>
        <v>8310</v>
      </c>
      <c r="I529" s="111">
        <f>I530+I534</f>
        <v>9377.4</v>
      </c>
      <c r="J529" s="114">
        <f>J530</f>
        <v>0</v>
      </c>
      <c r="K529" s="111">
        <f>K530+K531</f>
        <v>0</v>
      </c>
      <c r="L529" s="114">
        <f>L530</f>
        <v>0</v>
      </c>
      <c r="M529" s="111">
        <f>M530</f>
        <v>1067.4000000000001</v>
      </c>
      <c r="N529" s="111">
        <f>N530+N534</f>
        <v>8310</v>
      </c>
      <c r="O529" s="111">
        <f>O530+O534</f>
        <v>9377.4</v>
      </c>
      <c r="P529" s="97"/>
      <c r="Q529" s="97"/>
    </row>
    <row r="530" spans="1:17" ht="47.25" x14ac:dyDescent="0.2">
      <c r="A530" s="40"/>
      <c r="B530" s="113" t="s">
        <v>535</v>
      </c>
      <c r="C530" s="113" t="s">
        <v>525</v>
      </c>
      <c r="D530" s="133" t="s">
        <v>86</v>
      </c>
      <c r="E530" s="133" t="s">
        <v>536</v>
      </c>
      <c r="F530" s="134" t="s">
        <v>11</v>
      </c>
      <c r="G530" s="111">
        <f>G531+G532</f>
        <v>1067.4000000000001</v>
      </c>
      <c r="H530" s="111">
        <f>H531+H532</f>
        <v>450</v>
      </c>
      <c r="I530" s="111">
        <f>I531+I532</f>
        <v>1517.4</v>
      </c>
      <c r="J530" s="114">
        <f>J531+J532</f>
        <v>0</v>
      </c>
      <c r="K530" s="111"/>
      <c r="L530" s="114">
        <f>L531+L532</f>
        <v>0</v>
      </c>
      <c r="M530" s="111">
        <f>M531+M532</f>
        <v>1067.4000000000001</v>
      </c>
      <c r="N530" s="111">
        <f>N531+N532</f>
        <v>450</v>
      </c>
      <c r="O530" s="111">
        <f>O531+O532</f>
        <v>1517.4</v>
      </c>
      <c r="P530" s="97"/>
      <c r="Q530" s="97"/>
    </row>
    <row r="531" spans="1:17" ht="31.5" x14ac:dyDescent="0.2">
      <c r="A531" s="40"/>
      <c r="B531" s="113" t="s">
        <v>40</v>
      </c>
      <c r="C531" s="113" t="s">
        <v>525</v>
      </c>
      <c r="D531" s="133" t="s">
        <v>86</v>
      </c>
      <c r="E531" s="133" t="s">
        <v>536</v>
      </c>
      <c r="F531" s="134" t="s">
        <v>41</v>
      </c>
      <c r="G531" s="111">
        <v>1067.4000000000001</v>
      </c>
      <c r="H531" s="111">
        <f>200+250</f>
        <v>450</v>
      </c>
      <c r="I531" s="111">
        <f>SUM(G531)+H531</f>
        <v>1517.4</v>
      </c>
      <c r="J531" s="115">
        <v>0</v>
      </c>
      <c r="K531" s="111"/>
      <c r="L531" s="115">
        <v>0</v>
      </c>
      <c r="M531" s="111">
        <f>SUM(G531)</f>
        <v>1067.4000000000001</v>
      </c>
      <c r="N531" s="111">
        <f>SUM(H531)</f>
        <v>450</v>
      </c>
      <c r="O531" s="111">
        <f>SUM(I531)</f>
        <v>1517.4</v>
      </c>
      <c r="P531" s="97"/>
      <c r="Q531" s="97"/>
    </row>
    <row r="532" spans="1:17" ht="15.75" x14ac:dyDescent="0.2">
      <c r="A532" s="40"/>
      <c r="B532" s="113" t="s">
        <v>70</v>
      </c>
      <c r="C532" s="113" t="s">
        <v>525</v>
      </c>
      <c r="D532" s="133" t="s">
        <v>86</v>
      </c>
      <c r="E532" s="133" t="s">
        <v>536</v>
      </c>
      <c r="F532" s="134" t="s">
        <v>71</v>
      </c>
      <c r="G532" s="111">
        <v>0</v>
      </c>
      <c r="H532" s="106"/>
      <c r="I532" s="111">
        <v>0</v>
      </c>
      <c r="J532" s="115">
        <v>0</v>
      </c>
      <c r="K532" s="106">
        <f>K536</f>
        <v>0</v>
      </c>
      <c r="L532" s="115">
        <v>0</v>
      </c>
      <c r="M532" s="111">
        <v>0</v>
      </c>
      <c r="N532" s="111">
        <f>SUM(H532)</f>
        <v>0</v>
      </c>
      <c r="O532" s="111">
        <v>0</v>
      </c>
      <c r="P532" s="97"/>
      <c r="Q532" s="97"/>
    </row>
    <row r="533" spans="1:17" ht="0.75" customHeight="1" x14ac:dyDescent="0.2">
      <c r="A533" s="40"/>
      <c r="B533" s="113"/>
      <c r="C533" s="113">
        <v>995</v>
      </c>
      <c r="D533" s="133" t="s">
        <v>86</v>
      </c>
      <c r="E533" s="133">
        <v>1230300000</v>
      </c>
      <c r="F533" s="134"/>
      <c r="G533" s="111"/>
      <c r="H533" s="106"/>
      <c r="I533" s="111"/>
      <c r="J533" s="115"/>
      <c r="K533" s="106"/>
      <c r="L533" s="115"/>
      <c r="M533" s="111"/>
      <c r="N533" s="111"/>
      <c r="O533" s="111"/>
      <c r="P533" s="97"/>
      <c r="Q533" s="97"/>
    </row>
    <row r="534" spans="1:17" ht="47.25" x14ac:dyDescent="0.2">
      <c r="A534" s="40"/>
      <c r="B534" s="113" t="s">
        <v>597</v>
      </c>
      <c r="C534" s="113"/>
      <c r="D534" s="133" t="s">
        <v>86</v>
      </c>
      <c r="E534" s="133">
        <v>1230320330</v>
      </c>
      <c r="F534" s="134"/>
      <c r="G534" s="111"/>
      <c r="H534" s="111">
        <f>SUM(H535)</f>
        <v>7860</v>
      </c>
      <c r="I534" s="111">
        <f>SUM(H534)</f>
        <v>7860</v>
      </c>
      <c r="J534" s="115"/>
      <c r="K534" s="106"/>
      <c r="L534" s="115"/>
      <c r="M534" s="111"/>
      <c r="N534" s="111">
        <f>SUM(H534)</f>
        <v>7860</v>
      </c>
      <c r="O534" s="111">
        <f>SUM(I534)</f>
        <v>7860</v>
      </c>
      <c r="P534" s="97"/>
      <c r="Q534" s="97"/>
    </row>
    <row r="535" spans="1:17" ht="31.5" x14ac:dyDescent="0.2">
      <c r="A535" s="40"/>
      <c r="B535" s="113" t="s">
        <v>225</v>
      </c>
      <c r="C535" s="113">
        <v>995</v>
      </c>
      <c r="D535" s="133" t="s">
        <v>86</v>
      </c>
      <c r="E535" s="133">
        <v>1230320330</v>
      </c>
      <c r="F535" s="134">
        <v>400</v>
      </c>
      <c r="G535" s="111"/>
      <c r="H535" s="111">
        <v>7860</v>
      </c>
      <c r="I535" s="111">
        <f>SUM(H535)</f>
        <v>7860</v>
      </c>
      <c r="J535" s="115"/>
      <c r="K535" s="106"/>
      <c r="L535" s="115"/>
      <c r="M535" s="111"/>
      <c r="N535" s="111">
        <f>SUM(H535)</f>
        <v>7860</v>
      </c>
      <c r="O535" s="111">
        <f>SUM(I535)</f>
        <v>7860</v>
      </c>
      <c r="P535" s="97"/>
      <c r="Q535" s="97"/>
    </row>
    <row r="536" spans="1:17" ht="15.75" x14ac:dyDescent="0.2">
      <c r="A536" s="20" t="s">
        <v>537</v>
      </c>
      <c r="B536" s="107" t="s">
        <v>213</v>
      </c>
      <c r="C536" s="107" t="s">
        <v>525</v>
      </c>
      <c r="D536" s="129" t="s">
        <v>214</v>
      </c>
      <c r="E536" s="129" t="s">
        <v>11</v>
      </c>
      <c r="F536" s="130" t="s">
        <v>11</v>
      </c>
      <c r="G536" s="106">
        <f t="shared" ref="G536:O541" si="104">G537</f>
        <v>11636.5</v>
      </c>
      <c r="H536" s="109">
        <f t="shared" si="104"/>
        <v>0</v>
      </c>
      <c r="I536" s="106">
        <f t="shared" si="104"/>
        <v>11636.5</v>
      </c>
      <c r="J536" s="108">
        <f t="shared" si="104"/>
        <v>0</v>
      </c>
      <c r="K536" s="109">
        <f t="shared" si="104"/>
        <v>0</v>
      </c>
      <c r="L536" s="108">
        <f t="shared" si="104"/>
        <v>0</v>
      </c>
      <c r="M536" s="106">
        <f t="shared" si="104"/>
        <v>11636.5</v>
      </c>
      <c r="N536" s="106">
        <f t="shared" si="104"/>
        <v>0</v>
      </c>
      <c r="O536" s="106">
        <f t="shared" si="104"/>
        <v>11636.5</v>
      </c>
      <c r="P536" s="97"/>
      <c r="Q536" s="97"/>
    </row>
    <row r="537" spans="1:17" ht="26.45" customHeight="1" x14ac:dyDescent="0.2">
      <c r="A537" s="33" t="s">
        <v>538</v>
      </c>
      <c r="B537" s="110" t="s">
        <v>261</v>
      </c>
      <c r="C537" s="110" t="s">
        <v>525</v>
      </c>
      <c r="D537" s="131" t="s">
        <v>262</v>
      </c>
      <c r="E537" s="131" t="s">
        <v>11</v>
      </c>
      <c r="F537" s="132" t="s">
        <v>11</v>
      </c>
      <c r="G537" s="109">
        <f t="shared" si="104"/>
        <v>11636.5</v>
      </c>
      <c r="H537" s="111">
        <f t="shared" si="104"/>
        <v>0</v>
      </c>
      <c r="I537" s="109">
        <f t="shared" si="104"/>
        <v>11636.5</v>
      </c>
      <c r="J537" s="112">
        <f t="shared" si="104"/>
        <v>0</v>
      </c>
      <c r="K537" s="111">
        <f t="shared" si="104"/>
        <v>0</v>
      </c>
      <c r="L537" s="112">
        <f t="shared" si="104"/>
        <v>0</v>
      </c>
      <c r="M537" s="109">
        <f t="shared" si="104"/>
        <v>11636.5</v>
      </c>
      <c r="N537" s="109">
        <f t="shared" si="104"/>
        <v>0</v>
      </c>
      <c r="O537" s="109">
        <f t="shared" si="104"/>
        <v>11636.5</v>
      </c>
      <c r="P537" s="97"/>
      <c r="Q537" s="97"/>
    </row>
    <row r="538" spans="1:17" ht="31.5" x14ac:dyDescent="0.2">
      <c r="A538" s="40"/>
      <c r="B538" s="113" t="s">
        <v>128</v>
      </c>
      <c r="C538" s="113" t="s">
        <v>525</v>
      </c>
      <c r="D538" s="133" t="s">
        <v>262</v>
      </c>
      <c r="E538" s="133" t="s">
        <v>129</v>
      </c>
      <c r="F538" s="134" t="s">
        <v>11</v>
      </c>
      <c r="G538" s="111">
        <f t="shared" si="104"/>
        <v>11636.5</v>
      </c>
      <c r="H538" s="111">
        <f t="shared" si="104"/>
        <v>0</v>
      </c>
      <c r="I538" s="111">
        <f t="shared" si="104"/>
        <v>11636.5</v>
      </c>
      <c r="J538" s="114">
        <f t="shared" si="104"/>
        <v>0</v>
      </c>
      <c r="K538" s="111">
        <f t="shared" si="104"/>
        <v>0</v>
      </c>
      <c r="L538" s="114">
        <f t="shared" si="104"/>
        <v>0</v>
      </c>
      <c r="M538" s="111">
        <f t="shared" si="104"/>
        <v>11636.5</v>
      </c>
      <c r="N538" s="111">
        <f t="shared" si="104"/>
        <v>0</v>
      </c>
      <c r="O538" s="111">
        <f t="shared" si="104"/>
        <v>11636.5</v>
      </c>
      <c r="P538" s="97"/>
      <c r="Q538" s="97"/>
    </row>
    <row r="539" spans="1:17" ht="31.5" x14ac:dyDescent="0.2">
      <c r="A539" s="40"/>
      <c r="B539" s="113" t="s">
        <v>528</v>
      </c>
      <c r="C539" s="113" t="s">
        <v>525</v>
      </c>
      <c r="D539" s="133" t="s">
        <v>262</v>
      </c>
      <c r="E539" s="133" t="s">
        <v>529</v>
      </c>
      <c r="F539" s="134" t="s">
        <v>11</v>
      </c>
      <c r="G539" s="111">
        <f t="shared" si="104"/>
        <v>11636.5</v>
      </c>
      <c r="H539" s="111">
        <f t="shared" si="104"/>
        <v>0</v>
      </c>
      <c r="I539" s="111">
        <f t="shared" si="104"/>
        <v>11636.5</v>
      </c>
      <c r="J539" s="114">
        <f t="shared" si="104"/>
        <v>0</v>
      </c>
      <c r="K539" s="111">
        <f t="shared" si="104"/>
        <v>0</v>
      </c>
      <c r="L539" s="114">
        <f t="shared" si="104"/>
        <v>0</v>
      </c>
      <c r="M539" s="111">
        <f t="shared" si="104"/>
        <v>11636.5</v>
      </c>
      <c r="N539" s="111">
        <f t="shared" si="104"/>
        <v>0</v>
      </c>
      <c r="O539" s="111">
        <f t="shared" si="104"/>
        <v>11636.5</v>
      </c>
      <c r="P539" s="97"/>
      <c r="Q539" s="97"/>
    </row>
    <row r="540" spans="1:17" ht="47.25" x14ac:dyDescent="0.2">
      <c r="A540" s="40"/>
      <c r="B540" s="113" t="s">
        <v>539</v>
      </c>
      <c r="C540" s="113" t="s">
        <v>525</v>
      </c>
      <c r="D540" s="133" t="s">
        <v>262</v>
      </c>
      <c r="E540" s="133" t="s">
        <v>540</v>
      </c>
      <c r="F540" s="134" t="s">
        <v>11</v>
      </c>
      <c r="G540" s="111">
        <f t="shared" si="104"/>
        <v>11636.5</v>
      </c>
      <c r="H540" s="111">
        <f t="shared" si="104"/>
        <v>0</v>
      </c>
      <c r="I540" s="111">
        <f t="shared" si="104"/>
        <v>11636.5</v>
      </c>
      <c r="J540" s="114">
        <f t="shared" si="104"/>
        <v>0</v>
      </c>
      <c r="K540" s="111">
        <f t="shared" si="104"/>
        <v>0</v>
      </c>
      <c r="L540" s="114">
        <f t="shared" si="104"/>
        <v>0</v>
      </c>
      <c r="M540" s="111">
        <f t="shared" si="104"/>
        <v>11636.5</v>
      </c>
      <c r="N540" s="111">
        <f t="shared" si="104"/>
        <v>0</v>
      </c>
      <c r="O540" s="111">
        <f t="shared" si="104"/>
        <v>11636.5</v>
      </c>
      <c r="P540" s="97"/>
      <c r="Q540" s="97"/>
    </row>
    <row r="541" spans="1:17" ht="32.25" thickBot="1" x14ac:dyDescent="0.25">
      <c r="A541" s="40"/>
      <c r="B541" s="113" t="s">
        <v>134</v>
      </c>
      <c r="C541" s="113" t="s">
        <v>525</v>
      </c>
      <c r="D541" s="133" t="s">
        <v>262</v>
      </c>
      <c r="E541" s="133" t="s">
        <v>541</v>
      </c>
      <c r="F541" s="134" t="s">
        <v>11</v>
      </c>
      <c r="G541" s="111">
        <f t="shared" si="104"/>
        <v>11636.5</v>
      </c>
      <c r="H541" s="122">
        <f>SUM(H542)</f>
        <v>0</v>
      </c>
      <c r="I541" s="111">
        <f t="shared" si="104"/>
        <v>11636.5</v>
      </c>
      <c r="J541" s="114">
        <f t="shared" si="104"/>
        <v>0</v>
      </c>
      <c r="K541" s="122"/>
      <c r="L541" s="114">
        <f t="shared" si="104"/>
        <v>0</v>
      </c>
      <c r="M541" s="111">
        <f t="shared" si="104"/>
        <v>11636.5</v>
      </c>
      <c r="N541" s="111">
        <f t="shared" si="104"/>
        <v>0</v>
      </c>
      <c r="O541" s="111">
        <f t="shared" si="104"/>
        <v>11636.5</v>
      </c>
      <c r="P541" s="97"/>
      <c r="Q541" s="97"/>
    </row>
    <row r="542" spans="1:17" ht="48" thickBot="1" x14ac:dyDescent="0.25">
      <c r="A542" s="49"/>
      <c r="B542" s="123" t="s">
        <v>95</v>
      </c>
      <c r="C542" s="123" t="s">
        <v>525</v>
      </c>
      <c r="D542" s="146" t="s">
        <v>262</v>
      </c>
      <c r="E542" s="146" t="s">
        <v>541</v>
      </c>
      <c r="F542" s="147" t="s">
        <v>96</v>
      </c>
      <c r="G542" s="122">
        <v>11636.5</v>
      </c>
      <c r="H542" s="124"/>
      <c r="I542" s="122">
        <f>SUM(G542)</f>
        <v>11636.5</v>
      </c>
      <c r="J542" s="125">
        <v>0</v>
      </c>
      <c r="K542" s="124"/>
      <c r="L542" s="125">
        <v>0</v>
      </c>
      <c r="M542" s="122">
        <f>SUM(G542)</f>
        <v>11636.5</v>
      </c>
      <c r="N542" s="122">
        <f>SUM(H542)</f>
        <v>0</v>
      </c>
      <c r="O542" s="122">
        <f>SUM(I542)</f>
        <v>11636.5</v>
      </c>
      <c r="P542" s="97"/>
      <c r="Q542" s="97"/>
    </row>
    <row r="544" spans="1:17" x14ac:dyDescent="0.2">
      <c r="B544" s="302" t="s">
        <v>542</v>
      </c>
      <c r="C544" s="266"/>
      <c r="D544" s="266"/>
      <c r="E544" s="266"/>
      <c r="F544" s="266"/>
      <c r="G544" s="266"/>
      <c r="H544" s="266"/>
      <c r="I544" s="266"/>
      <c r="J544" s="266"/>
      <c r="K544" s="266"/>
      <c r="L544" s="266"/>
      <c r="M544" s="266"/>
      <c r="N544" s="266"/>
      <c r="O544" s="266"/>
    </row>
    <row r="545" spans="2:15" x14ac:dyDescent="0.2">
      <c r="B545" s="266"/>
      <c r="C545" s="266"/>
      <c r="D545" s="266"/>
      <c r="E545" s="266"/>
      <c r="F545" s="266"/>
      <c r="G545" s="266"/>
      <c r="H545" s="266"/>
      <c r="I545" s="266"/>
      <c r="J545" s="266"/>
      <c r="K545" s="266"/>
      <c r="L545" s="266"/>
      <c r="M545" s="266"/>
      <c r="N545" s="266"/>
      <c r="O545" s="266"/>
    </row>
    <row r="546" spans="2:15" x14ac:dyDescent="0.2">
      <c r="B546" s="266"/>
      <c r="C546" s="266"/>
      <c r="D546" s="266"/>
      <c r="E546" s="266"/>
      <c r="F546" s="266"/>
      <c r="G546" s="266"/>
      <c r="H546" s="266"/>
      <c r="I546" s="266"/>
      <c r="J546" s="266"/>
      <c r="K546" s="266"/>
      <c r="L546" s="266"/>
      <c r="M546" s="266"/>
      <c r="N546" s="266"/>
      <c r="O546" s="266"/>
    </row>
  </sheetData>
  <mergeCells count="21">
    <mergeCell ref="C20:F20"/>
    <mergeCell ref="G20:O20"/>
    <mergeCell ref="B544:O546"/>
    <mergeCell ref="B16:G16"/>
    <mergeCell ref="B17:G17"/>
    <mergeCell ref="A18:A19"/>
    <mergeCell ref="B18:B19"/>
    <mergeCell ref="C18:F18"/>
    <mergeCell ref="G18:O18"/>
    <mergeCell ref="A9:O9"/>
    <mergeCell ref="A10:O10"/>
    <mergeCell ref="A11:O11"/>
    <mergeCell ref="C14:F14"/>
    <mergeCell ref="B15:C15"/>
    <mergeCell ref="D15:F15"/>
    <mergeCell ref="J7:O7"/>
    <mergeCell ref="J1:O1"/>
    <mergeCell ref="J3:O3"/>
    <mergeCell ref="J4:O4"/>
    <mergeCell ref="J5:O5"/>
    <mergeCell ref="J6:O6"/>
  </mergeCells>
  <pageMargins left="0.19685039370078741" right="0.31496062992125984" top="0.31496062992125984" bottom="0.39370078740157483" header="0.51181102362204722" footer="0.19685039370078741"/>
  <pageSetup paperSize="9" scale="55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22"/>
  <sheetViews>
    <sheetView topLeftCell="A315" zoomScale="60" zoomScaleNormal="60" zoomScaleSheetLayoutView="70" workbookViewId="0">
      <selection activeCell="AB22" sqref="AB22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5.28515625" customWidth="1"/>
    <col min="7" max="7" width="17.5703125" customWidth="1"/>
    <col min="8" max="8" width="15" customWidth="1"/>
    <col min="9" max="9" width="17.5703125" customWidth="1"/>
    <col min="10" max="10" width="18.28515625" customWidth="1"/>
    <col min="11" max="11" width="12.28515625" customWidth="1"/>
    <col min="12" max="13" width="18.28515625" customWidth="1"/>
    <col min="14" max="14" width="17.7109375" customWidth="1"/>
    <col min="15" max="15" width="17.85546875" customWidth="1"/>
    <col min="16" max="16" width="18.28515625" customWidth="1"/>
    <col min="17" max="17" width="11.7109375" customWidth="1"/>
    <col min="18" max="18" width="10" bestFit="1" customWidth="1"/>
  </cols>
  <sheetData>
    <row r="1" spans="1:15" ht="43.9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588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hidden="1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100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100"/>
      <c r="I15" s="100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101"/>
      <c r="I16" s="101"/>
    </row>
    <row r="17" spans="1:17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7" ht="30" customHeight="1" x14ac:dyDescent="0.2">
      <c r="A18" s="290"/>
      <c r="B18" s="292"/>
      <c r="C18" s="99" t="s">
        <v>16</v>
      </c>
      <c r="D18" s="99" t="s">
        <v>17</v>
      </c>
      <c r="E18" s="99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102" t="s">
        <v>22</v>
      </c>
      <c r="K18" s="103" t="s">
        <v>21</v>
      </c>
      <c r="L18" s="103" t="s">
        <v>15</v>
      </c>
      <c r="M18" s="13" t="s">
        <v>20</v>
      </c>
      <c r="N18" s="62" t="s">
        <v>21</v>
      </c>
      <c r="O18" s="9" t="s">
        <v>23</v>
      </c>
    </row>
    <row r="19" spans="1:17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7" ht="20.45" customHeight="1" x14ac:dyDescent="0.2">
      <c r="A20" s="27"/>
      <c r="B20" s="126" t="s">
        <v>25</v>
      </c>
      <c r="C20" s="127"/>
      <c r="D20" s="127"/>
      <c r="E20" s="127"/>
      <c r="F20" s="128"/>
      <c r="G20" s="104">
        <f>G21+G33+G443+G499</f>
        <v>645186.9</v>
      </c>
      <c r="H20" s="104">
        <f>H21+H33+H443+H499</f>
        <v>7730.4</v>
      </c>
      <c r="I20" s="104">
        <f>I21+I33+I443+I499</f>
        <v>652917.29999999993</v>
      </c>
      <c r="J20" s="105">
        <f>J21+J33+J443+J499</f>
        <v>2657288.7000000007</v>
      </c>
      <c r="K20" s="106">
        <f>SUM(K33+K21+K443+K499)</f>
        <v>8226.7999999999993</v>
      </c>
      <c r="L20" s="105">
        <f>L21+L33+L443+L499</f>
        <v>2665803.7000000007</v>
      </c>
      <c r="M20" s="104">
        <f>M21+M33+M443+M499</f>
        <v>3302475.5999999996</v>
      </c>
      <c r="N20" s="104">
        <f>N21+N33+N443+N499</f>
        <v>15957.2</v>
      </c>
      <c r="O20" s="104">
        <f>O21+O33+O443+O499</f>
        <v>3318432.7999999993</v>
      </c>
      <c r="P20" s="97"/>
      <c r="Q20" s="97"/>
    </row>
    <row r="21" spans="1:17" ht="31.5" x14ac:dyDescent="0.2">
      <c r="A21" s="20" t="s">
        <v>26</v>
      </c>
      <c r="B21" s="107" t="s">
        <v>27</v>
      </c>
      <c r="C21" s="107" t="s">
        <v>28</v>
      </c>
      <c r="D21" s="129" t="s">
        <v>11</v>
      </c>
      <c r="E21" s="129" t="s">
        <v>11</v>
      </c>
      <c r="F21" s="130" t="s">
        <v>11</v>
      </c>
      <c r="G21" s="106">
        <f>G22</f>
        <v>1395.6</v>
      </c>
      <c r="H21" s="106">
        <f>H22+H27</f>
        <v>0</v>
      </c>
      <c r="I21" s="106">
        <f>I22</f>
        <v>1395.6</v>
      </c>
      <c r="J21" s="108">
        <f>J22</f>
        <v>0</v>
      </c>
      <c r="K21" s="106">
        <f>K22+K27</f>
        <v>0</v>
      </c>
      <c r="L21" s="108">
        <f>L22</f>
        <v>0</v>
      </c>
      <c r="M21" s="106">
        <f>M22</f>
        <v>1395.6</v>
      </c>
      <c r="N21" s="106">
        <f>N22</f>
        <v>0</v>
      </c>
      <c r="O21" s="106">
        <f>O22</f>
        <v>1395.6</v>
      </c>
      <c r="P21" s="97"/>
      <c r="Q21" s="97"/>
    </row>
    <row r="22" spans="1:17" ht="15.75" x14ac:dyDescent="0.2">
      <c r="A22" s="20" t="s">
        <v>29</v>
      </c>
      <c r="B22" s="107" t="s">
        <v>30</v>
      </c>
      <c r="C22" s="107" t="s">
        <v>28</v>
      </c>
      <c r="D22" s="129" t="s">
        <v>31</v>
      </c>
      <c r="E22" s="129" t="s">
        <v>11</v>
      </c>
      <c r="F22" s="130" t="s">
        <v>11</v>
      </c>
      <c r="G22" s="106">
        <f>G23+G28</f>
        <v>1395.6</v>
      </c>
      <c r="H22" s="109">
        <f>H23</f>
        <v>0</v>
      </c>
      <c r="I22" s="106">
        <f>I23+I28</f>
        <v>1395.6</v>
      </c>
      <c r="J22" s="108">
        <f>J23+J28</f>
        <v>0</v>
      </c>
      <c r="K22" s="109">
        <f>K23</f>
        <v>0</v>
      </c>
      <c r="L22" s="108">
        <f>L23+L28</f>
        <v>0</v>
      </c>
      <c r="M22" s="106">
        <f>M23+M28</f>
        <v>1395.6</v>
      </c>
      <c r="N22" s="106">
        <f>N23+N28</f>
        <v>0</v>
      </c>
      <c r="O22" s="106">
        <f>O23+O28</f>
        <v>1395.6</v>
      </c>
      <c r="P22" s="97"/>
      <c r="Q22" s="97"/>
    </row>
    <row r="23" spans="1:17" ht="63" x14ac:dyDescent="0.2">
      <c r="A23" s="33" t="s">
        <v>32</v>
      </c>
      <c r="B23" s="110" t="s">
        <v>33</v>
      </c>
      <c r="C23" s="110" t="s">
        <v>28</v>
      </c>
      <c r="D23" s="131" t="s">
        <v>34</v>
      </c>
      <c r="E23" s="131" t="s">
        <v>11</v>
      </c>
      <c r="F23" s="132" t="s">
        <v>11</v>
      </c>
      <c r="G23" s="109">
        <f>G24</f>
        <v>8.1</v>
      </c>
      <c r="H23" s="111">
        <f>H24</f>
        <v>0</v>
      </c>
      <c r="I23" s="109">
        <f>I24</f>
        <v>8.1</v>
      </c>
      <c r="J23" s="112">
        <f t="shared" ref="J23:O26" si="0">J24</f>
        <v>0</v>
      </c>
      <c r="K23" s="111">
        <f>K24</f>
        <v>0</v>
      </c>
      <c r="L23" s="112">
        <f t="shared" si="0"/>
        <v>0</v>
      </c>
      <c r="M23" s="109">
        <f t="shared" si="0"/>
        <v>8.1</v>
      </c>
      <c r="N23" s="109">
        <f t="shared" si="0"/>
        <v>0</v>
      </c>
      <c r="O23" s="109">
        <f t="shared" si="0"/>
        <v>8.1</v>
      </c>
      <c r="P23" s="97"/>
      <c r="Q23" s="97"/>
    </row>
    <row r="24" spans="1:17" ht="31.5" x14ac:dyDescent="0.2">
      <c r="A24" s="40"/>
      <c r="B24" s="113" t="s">
        <v>35</v>
      </c>
      <c r="C24" s="113" t="s">
        <v>28</v>
      </c>
      <c r="D24" s="133" t="s">
        <v>34</v>
      </c>
      <c r="E24" s="133" t="s">
        <v>36</v>
      </c>
      <c r="F24" s="134" t="s">
        <v>11</v>
      </c>
      <c r="G24" s="111">
        <f>G25</f>
        <v>8.1</v>
      </c>
      <c r="H24" s="111">
        <f>H25</f>
        <v>0</v>
      </c>
      <c r="I24" s="111">
        <f>I25</f>
        <v>8.1</v>
      </c>
      <c r="J24" s="114">
        <f t="shared" si="0"/>
        <v>0</v>
      </c>
      <c r="K24" s="111">
        <f>K25</f>
        <v>0</v>
      </c>
      <c r="L24" s="114">
        <f t="shared" si="0"/>
        <v>0</v>
      </c>
      <c r="M24" s="111">
        <f t="shared" si="0"/>
        <v>8.1</v>
      </c>
      <c r="N24" s="111">
        <f t="shared" si="0"/>
        <v>0</v>
      </c>
      <c r="O24" s="111">
        <f t="shared" si="0"/>
        <v>8.1</v>
      </c>
      <c r="P24" s="97"/>
      <c r="Q24" s="97"/>
    </row>
    <row r="25" spans="1:17" ht="31.5" x14ac:dyDescent="0.2">
      <c r="A25" s="40"/>
      <c r="B25" s="113" t="s">
        <v>27</v>
      </c>
      <c r="C25" s="113" t="s">
        <v>28</v>
      </c>
      <c r="D25" s="133" t="s">
        <v>34</v>
      </c>
      <c r="E25" s="133" t="s">
        <v>37</v>
      </c>
      <c r="F25" s="134" t="s">
        <v>11</v>
      </c>
      <c r="G25" s="111">
        <f>G26</f>
        <v>8.1</v>
      </c>
      <c r="H25" s="111">
        <f>H26</f>
        <v>0</v>
      </c>
      <c r="I25" s="111">
        <f>I26</f>
        <v>8.1</v>
      </c>
      <c r="J25" s="114">
        <f t="shared" si="0"/>
        <v>0</v>
      </c>
      <c r="K25" s="111">
        <f>K26</f>
        <v>0</v>
      </c>
      <c r="L25" s="114">
        <f t="shared" si="0"/>
        <v>0</v>
      </c>
      <c r="M25" s="111">
        <f t="shared" si="0"/>
        <v>8.1</v>
      </c>
      <c r="N25" s="111">
        <f t="shared" si="0"/>
        <v>0</v>
      </c>
      <c r="O25" s="111">
        <f t="shared" si="0"/>
        <v>8.1</v>
      </c>
      <c r="P25" s="97"/>
      <c r="Q25" s="97"/>
    </row>
    <row r="26" spans="1:17" ht="31.5" x14ac:dyDescent="0.2">
      <c r="A26" s="40"/>
      <c r="B26" s="113" t="s">
        <v>38</v>
      </c>
      <c r="C26" s="113" t="s">
        <v>28</v>
      </c>
      <c r="D26" s="133" t="s">
        <v>34</v>
      </c>
      <c r="E26" s="133" t="s">
        <v>39</v>
      </c>
      <c r="F26" s="134" t="s">
        <v>11</v>
      </c>
      <c r="G26" s="111">
        <f>G27</f>
        <v>8.1</v>
      </c>
      <c r="H26" s="111"/>
      <c r="I26" s="111">
        <f>I27</f>
        <v>8.1</v>
      </c>
      <c r="J26" s="114">
        <f t="shared" si="0"/>
        <v>0</v>
      </c>
      <c r="K26" s="111"/>
      <c r="L26" s="114">
        <f t="shared" si="0"/>
        <v>0</v>
      </c>
      <c r="M26" s="111">
        <f t="shared" si="0"/>
        <v>8.1</v>
      </c>
      <c r="N26" s="111">
        <f t="shared" si="0"/>
        <v>0</v>
      </c>
      <c r="O26" s="111">
        <f t="shared" si="0"/>
        <v>8.1</v>
      </c>
      <c r="P26" s="97"/>
      <c r="Q26" s="97"/>
    </row>
    <row r="27" spans="1:17" ht="31.5" x14ac:dyDescent="0.2">
      <c r="A27" s="40"/>
      <c r="B27" s="113" t="s">
        <v>40</v>
      </c>
      <c r="C27" s="113" t="s">
        <v>28</v>
      </c>
      <c r="D27" s="133" t="s">
        <v>34</v>
      </c>
      <c r="E27" s="133" t="s">
        <v>39</v>
      </c>
      <c r="F27" s="134" t="s">
        <v>41</v>
      </c>
      <c r="G27" s="111">
        <f>8+0.1</f>
        <v>8.1</v>
      </c>
      <c r="H27" s="109"/>
      <c r="I27" s="111">
        <f>8+0.1</f>
        <v>8.1</v>
      </c>
      <c r="J27" s="115">
        <v>0</v>
      </c>
      <c r="K27" s="109"/>
      <c r="L27" s="115">
        <v>0</v>
      </c>
      <c r="M27" s="111">
        <f>8+0.1</f>
        <v>8.1</v>
      </c>
      <c r="N27" s="111"/>
      <c r="O27" s="111">
        <f>8+0.1</f>
        <v>8.1</v>
      </c>
      <c r="P27" s="97"/>
      <c r="Q27" s="97"/>
    </row>
    <row r="28" spans="1:17" ht="47.25" x14ac:dyDescent="0.2">
      <c r="A28" s="33" t="s">
        <v>42</v>
      </c>
      <c r="B28" s="110" t="s">
        <v>43</v>
      </c>
      <c r="C28" s="110" t="s">
        <v>28</v>
      </c>
      <c r="D28" s="131" t="s">
        <v>44</v>
      </c>
      <c r="E28" s="131" t="s">
        <v>11</v>
      </c>
      <c r="F28" s="132" t="s">
        <v>11</v>
      </c>
      <c r="G28" s="109">
        <f t="shared" ref="G28:O31" si="1">G29</f>
        <v>1387.5</v>
      </c>
      <c r="H28" s="111">
        <f t="shared" si="1"/>
        <v>0</v>
      </c>
      <c r="I28" s="109">
        <f t="shared" si="1"/>
        <v>1387.5</v>
      </c>
      <c r="J28" s="112">
        <f t="shared" si="1"/>
        <v>0</v>
      </c>
      <c r="K28" s="111">
        <f>K29</f>
        <v>0</v>
      </c>
      <c r="L28" s="112">
        <f t="shared" si="1"/>
        <v>0</v>
      </c>
      <c r="M28" s="109">
        <f t="shared" si="1"/>
        <v>1387.5</v>
      </c>
      <c r="N28" s="109">
        <f t="shared" si="1"/>
        <v>0</v>
      </c>
      <c r="O28" s="109">
        <f t="shared" si="1"/>
        <v>1387.5</v>
      </c>
      <c r="P28" s="97"/>
      <c r="Q28" s="97"/>
    </row>
    <row r="29" spans="1:17" ht="31.5" x14ac:dyDescent="0.2">
      <c r="A29" s="40"/>
      <c r="B29" s="113" t="s">
        <v>35</v>
      </c>
      <c r="C29" s="113" t="s">
        <v>28</v>
      </c>
      <c r="D29" s="133" t="s">
        <v>44</v>
      </c>
      <c r="E29" s="133" t="s">
        <v>36</v>
      </c>
      <c r="F29" s="134" t="s">
        <v>11</v>
      </c>
      <c r="G29" s="111">
        <f t="shared" si="1"/>
        <v>1387.5</v>
      </c>
      <c r="H29" s="111">
        <f t="shared" si="1"/>
        <v>0</v>
      </c>
      <c r="I29" s="111">
        <f t="shared" si="1"/>
        <v>1387.5</v>
      </c>
      <c r="J29" s="114">
        <f t="shared" si="1"/>
        <v>0</v>
      </c>
      <c r="K29" s="111">
        <f>K30</f>
        <v>0</v>
      </c>
      <c r="L29" s="114">
        <f t="shared" si="1"/>
        <v>0</v>
      </c>
      <c r="M29" s="111">
        <f t="shared" si="1"/>
        <v>1387.5</v>
      </c>
      <c r="N29" s="111">
        <f t="shared" si="1"/>
        <v>0</v>
      </c>
      <c r="O29" s="111">
        <f t="shared" si="1"/>
        <v>1387.5</v>
      </c>
      <c r="P29" s="97"/>
      <c r="Q29" s="97"/>
    </row>
    <row r="30" spans="1:17" ht="31.5" x14ac:dyDescent="0.2">
      <c r="A30" s="40"/>
      <c r="B30" s="113" t="s">
        <v>27</v>
      </c>
      <c r="C30" s="113" t="s">
        <v>28</v>
      </c>
      <c r="D30" s="133" t="s">
        <v>44</v>
      </c>
      <c r="E30" s="133" t="s">
        <v>37</v>
      </c>
      <c r="F30" s="134" t="s">
        <v>11</v>
      </c>
      <c r="G30" s="111">
        <f t="shared" si="1"/>
        <v>1387.5</v>
      </c>
      <c r="H30" s="111">
        <f t="shared" si="1"/>
        <v>0</v>
      </c>
      <c r="I30" s="111">
        <f t="shared" si="1"/>
        <v>1387.5</v>
      </c>
      <c r="J30" s="114">
        <f t="shared" si="1"/>
        <v>0</v>
      </c>
      <c r="K30" s="111">
        <f>K31</f>
        <v>0</v>
      </c>
      <c r="L30" s="114">
        <f t="shared" si="1"/>
        <v>0</v>
      </c>
      <c r="M30" s="111">
        <f t="shared" si="1"/>
        <v>1387.5</v>
      </c>
      <c r="N30" s="111">
        <f t="shared" si="1"/>
        <v>0</v>
      </c>
      <c r="O30" s="111">
        <f t="shared" si="1"/>
        <v>1387.5</v>
      </c>
      <c r="P30" s="97"/>
      <c r="Q30" s="97"/>
    </row>
    <row r="31" spans="1:17" ht="63" x14ac:dyDescent="0.2">
      <c r="A31" s="40"/>
      <c r="B31" s="113" t="s">
        <v>45</v>
      </c>
      <c r="C31" s="113" t="s">
        <v>28</v>
      </c>
      <c r="D31" s="133" t="s">
        <v>44</v>
      </c>
      <c r="E31" s="133" t="s">
        <v>46</v>
      </c>
      <c r="F31" s="134" t="s">
        <v>11</v>
      </c>
      <c r="G31" s="111">
        <f>G32</f>
        <v>1387.5</v>
      </c>
      <c r="H31" s="111"/>
      <c r="I31" s="111">
        <f>I32</f>
        <v>1387.5</v>
      </c>
      <c r="J31" s="114">
        <f t="shared" si="1"/>
        <v>0</v>
      </c>
      <c r="K31" s="111"/>
      <c r="L31" s="114">
        <f t="shared" si="1"/>
        <v>0</v>
      </c>
      <c r="M31" s="111">
        <f t="shared" si="1"/>
        <v>1387.5</v>
      </c>
      <c r="N31" s="111">
        <f t="shared" si="1"/>
        <v>0</v>
      </c>
      <c r="O31" s="111">
        <f t="shared" si="1"/>
        <v>1387.5</v>
      </c>
      <c r="P31" s="97"/>
      <c r="Q31" s="97"/>
    </row>
    <row r="32" spans="1:17" ht="15.75" x14ac:dyDescent="0.2">
      <c r="A32" s="40"/>
      <c r="B32" s="113" t="s">
        <v>47</v>
      </c>
      <c r="C32" s="113" t="s">
        <v>28</v>
      </c>
      <c r="D32" s="133" t="s">
        <v>44</v>
      </c>
      <c r="E32" s="133" t="s">
        <v>46</v>
      </c>
      <c r="F32" s="134" t="s">
        <v>48</v>
      </c>
      <c r="G32" s="111">
        <f>1387.6-0.1</f>
        <v>1387.5</v>
      </c>
      <c r="H32" s="106"/>
      <c r="I32" s="111">
        <f>1387.6-0.1</f>
        <v>1387.5</v>
      </c>
      <c r="J32" s="115">
        <v>0</v>
      </c>
      <c r="K32" s="106"/>
      <c r="L32" s="115">
        <v>0</v>
      </c>
      <c r="M32" s="111">
        <f>1387.6-0.1</f>
        <v>1387.5</v>
      </c>
      <c r="N32" s="111"/>
      <c r="O32" s="111">
        <f>1387.6-0.1</f>
        <v>1387.5</v>
      </c>
      <c r="P32" s="97"/>
      <c r="Q32" s="97"/>
    </row>
    <row r="33" spans="1:17" ht="31.5" x14ac:dyDescent="0.2">
      <c r="A33" s="20" t="s">
        <v>49</v>
      </c>
      <c r="B33" s="107" t="s">
        <v>50</v>
      </c>
      <c r="C33" s="107" t="s">
        <v>51</v>
      </c>
      <c r="D33" s="129" t="s">
        <v>11</v>
      </c>
      <c r="E33" s="129" t="s">
        <v>11</v>
      </c>
      <c r="F33" s="130" t="s">
        <v>11</v>
      </c>
      <c r="G33" s="106">
        <f>G34+G115+G168+G252+G377+G400+G425+G436</f>
        <v>487973.30000000005</v>
      </c>
      <c r="H33" s="106">
        <f t="shared" ref="H33:O33" si="2">H34+H115+H168+H252+H377+H400+H425+H436</f>
        <v>7500.4</v>
      </c>
      <c r="I33" s="106">
        <f t="shared" si="2"/>
        <v>495473.7</v>
      </c>
      <c r="J33" s="106">
        <f t="shared" si="2"/>
        <v>2635664.6000000006</v>
      </c>
      <c r="K33" s="106">
        <f t="shared" si="2"/>
        <v>7726.8</v>
      </c>
      <c r="L33" s="106">
        <f t="shared" si="2"/>
        <v>2643679.6000000006</v>
      </c>
      <c r="M33" s="106">
        <f t="shared" si="2"/>
        <v>3123637.8999999994</v>
      </c>
      <c r="N33" s="106">
        <f t="shared" si="2"/>
        <v>15227.2</v>
      </c>
      <c r="O33" s="106">
        <f t="shared" si="2"/>
        <v>3138865.0999999992</v>
      </c>
      <c r="P33" s="97"/>
      <c r="Q33" s="97"/>
    </row>
    <row r="34" spans="1:17" ht="15.75" x14ac:dyDescent="0.2">
      <c r="A34" s="20" t="s">
        <v>52</v>
      </c>
      <c r="B34" s="107" t="s">
        <v>30</v>
      </c>
      <c r="C34" s="107" t="s">
        <v>51</v>
      </c>
      <c r="D34" s="129" t="s">
        <v>31</v>
      </c>
      <c r="E34" s="129" t="s">
        <v>11</v>
      </c>
      <c r="F34" s="130" t="s">
        <v>11</v>
      </c>
      <c r="G34" s="106">
        <f>G35+G40+G54+G59</f>
        <v>100728.5</v>
      </c>
      <c r="H34" s="106">
        <f t="shared" ref="H34:O34" si="3">H35+H40+H54+H59</f>
        <v>208.39999999999995</v>
      </c>
      <c r="I34" s="106">
        <f t="shared" si="3"/>
        <v>100936.90000000001</v>
      </c>
      <c r="J34" s="106">
        <f t="shared" si="3"/>
        <v>868.1</v>
      </c>
      <c r="K34" s="106">
        <f t="shared" si="3"/>
        <v>0</v>
      </c>
      <c r="L34" s="106">
        <f t="shared" si="3"/>
        <v>868.1</v>
      </c>
      <c r="M34" s="106">
        <f t="shared" si="3"/>
        <v>101596.6</v>
      </c>
      <c r="N34" s="106">
        <f t="shared" si="3"/>
        <v>208.39999999999995</v>
      </c>
      <c r="O34" s="106">
        <f t="shared" si="3"/>
        <v>101805</v>
      </c>
      <c r="P34" s="97"/>
      <c r="Q34" s="97"/>
    </row>
    <row r="35" spans="1:17" ht="47.25" x14ac:dyDescent="0.2">
      <c r="A35" s="33" t="s">
        <v>53</v>
      </c>
      <c r="B35" s="110" t="s">
        <v>54</v>
      </c>
      <c r="C35" s="110" t="s">
        <v>51</v>
      </c>
      <c r="D35" s="131" t="s">
        <v>55</v>
      </c>
      <c r="E35" s="131" t="s">
        <v>11</v>
      </c>
      <c r="F35" s="132" t="s">
        <v>11</v>
      </c>
      <c r="G35" s="109">
        <f t="shared" ref="G35:O38" si="4">G36</f>
        <v>2268.1</v>
      </c>
      <c r="H35" s="111">
        <f t="shared" si="4"/>
        <v>0</v>
      </c>
      <c r="I35" s="109">
        <f t="shared" si="4"/>
        <v>2268.1</v>
      </c>
      <c r="J35" s="112">
        <f t="shared" si="4"/>
        <v>0</v>
      </c>
      <c r="K35" s="111">
        <f>K36</f>
        <v>0</v>
      </c>
      <c r="L35" s="112">
        <f t="shared" si="4"/>
        <v>0</v>
      </c>
      <c r="M35" s="109">
        <f t="shared" si="4"/>
        <v>2268.1</v>
      </c>
      <c r="N35" s="109">
        <f t="shared" si="4"/>
        <v>0</v>
      </c>
      <c r="O35" s="109">
        <f t="shared" si="4"/>
        <v>2268.1</v>
      </c>
      <c r="P35" s="97"/>
      <c r="Q35" s="97"/>
    </row>
    <row r="36" spans="1:17" ht="31.5" x14ac:dyDescent="0.2">
      <c r="A36" s="40"/>
      <c r="B36" s="113" t="s">
        <v>56</v>
      </c>
      <c r="C36" s="113" t="s">
        <v>51</v>
      </c>
      <c r="D36" s="133" t="s">
        <v>55</v>
      </c>
      <c r="E36" s="133" t="s">
        <v>57</v>
      </c>
      <c r="F36" s="134" t="s">
        <v>11</v>
      </c>
      <c r="G36" s="111">
        <f t="shared" si="4"/>
        <v>2268.1</v>
      </c>
      <c r="H36" s="111">
        <f t="shared" si="4"/>
        <v>0</v>
      </c>
      <c r="I36" s="111">
        <f t="shared" si="4"/>
        <v>2268.1</v>
      </c>
      <c r="J36" s="114">
        <f t="shared" si="4"/>
        <v>0</v>
      </c>
      <c r="K36" s="111">
        <f>K37</f>
        <v>0</v>
      </c>
      <c r="L36" s="114">
        <f t="shared" si="4"/>
        <v>0</v>
      </c>
      <c r="M36" s="111">
        <f t="shared" si="4"/>
        <v>2268.1</v>
      </c>
      <c r="N36" s="111">
        <f t="shared" si="4"/>
        <v>0</v>
      </c>
      <c r="O36" s="111">
        <f t="shared" si="4"/>
        <v>2268.1</v>
      </c>
      <c r="P36" s="97"/>
      <c r="Q36" s="97"/>
    </row>
    <row r="37" spans="1:17" ht="31.5" x14ac:dyDescent="0.2">
      <c r="A37" s="40"/>
      <c r="B37" s="113" t="s">
        <v>58</v>
      </c>
      <c r="C37" s="113" t="s">
        <v>51</v>
      </c>
      <c r="D37" s="133" t="s">
        <v>55</v>
      </c>
      <c r="E37" s="133" t="s">
        <v>59</v>
      </c>
      <c r="F37" s="134" t="s">
        <v>11</v>
      </c>
      <c r="G37" s="111">
        <f t="shared" si="4"/>
        <v>2268.1</v>
      </c>
      <c r="H37" s="111">
        <f t="shared" si="4"/>
        <v>0</v>
      </c>
      <c r="I37" s="111">
        <f t="shared" si="4"/>
        <v>2268.1</v>
      </c>
      <c r="J37" s="114">
        <f t="shared" si="4"/>
        <v>0</v>
      </c>
      <c r="K37" s="111">
        <f>K38</f>
        <v>0</v>
      </c>
      <c r="L37" s="114">
        <f t="shared" si="4"/>
        <v>0</v>
      </c>
      <c r="M37" s="111">
        <f t="shared" si="4"/>
        <v>2268.1</v>
      </c>
      <c r="N37" s="111">
        <f t="shared" si="4"/>
        <v>0</v>
      </c>
      <c r="O37" s="111">
        <f t="shared" si="4"/>
        <v>2268.1</v>
      </c>
      <c r="P37" s="97"/>
      <c r="Q37" s="97"/>
    </row>
    <row r="38" spans="1:17" ht="31.5" x14ac:dyDescent="0.2">
      <c r="A38" s="40"/>
      <c r="B38" s="113" t="s">
        <v>38</v>
      </c>
      <c r="C38" s="113" t="s">
        <v>51</v>
      </c>
      <c r="D38" s="133" t="s">
        <v>55</v>
      </c>
      <c r="E38" s="133" t="s">
        <v>60</v>
      </c>
      <c r="F38" s="134" t="s">
        <v>11</v>
      </c>
      <c r="G38" s="111">
        <f>G39</f>
        <v>2268.1</v>
      </c>
      <c r="H38" s="109"/>
      <c r="I38" s="111">
        <f>I39</f>
        <v>2268.1</v>
      </c>
      <c r="J38" s="114">
        <f t="shared" si="4"/>
        <v>0</v>
      </c>
      <c r="K38" s="111"/>
      <c r="L38" s="114">
        <f t="shared" si="4"/>
        <v>0</v>
      </c>
      <c r="M38" s="111">
        <f t="shared" si="4"/>
        <v>2268.1</v>
      </c>
      <c r="N38" s="111">
        <f t="shared" si="4"/>
        <v>0</v>
      </c>
      <c r="O38" s="111">
        <f t="shared" si="4"/>
        <v>2268.1</v>
      </c>
      <c r="P38" s="97"/>
      <c r="Q38" s="97"/>
    </row>
    <row r="39" spans="1:17" ht="31.15" customHeight="1" x14ac:dyDescent="0.2">
      <c r="A39" s="40"/>
      <c r="B39" s="113" t="s">
        <v>61</v>
      </c>
      <c r="C39" s="113" t="s">
        <v>51</v>
      </c>
      <c r="D39" s="133" t="s">
        <v>55</v>
      </c>
      <c r="E39" s="133" t="s">
        <v>60</v>
      </c>
      <c r="F39" s="134" t="s">
        <v>62</v>
      </c>
      <c r="G39" s="111">
        <v>2268.1</v>
      </c>
      <c r="H39" s="109"/>
      <c r="I39" s="111">
        <f>SUM(G39)</f>
        <v>2268.1</v>
      </c>
      <c r="J39" s="115">
        <v>0</v>
      </c>
      <c r="K39" s="109"/>
      <c r="L39" s="115">
        <v>0</v>
      </c>
      <c r="M39" s="111">
        <f>SUM(G39)</f>
        <v>2268.1</v>
      </c>
      <c r="N39" s="111">
        <f>SUM(H39)</f>
        <v>0</v>
      </c>
      <c r="O39" s="111">
        <f>SUM(I39)</f>
        <v>2268.1</v>
      </c>
      <c r="P39" s="97"/>
      <c r="Q39" s="97"/>
    </row>
    <row r="40" spans="1:17" ht="63" x14ac:dyDescent="0.2">
      <c r="A40" s="33" t="s">
        <v>63</v>
      </c>
      <c r="B40" s="110" t="s">
        <v>64</v>
      </c>
      <c r="C40" s="110" t="s">
        <v>51</v>
      </c>
      <c r="D40" s="131" t="s">
        <v>65</v>
      </c>
      <c r="E40" s="131" t="s">
        <v>11</v>
      </c>
      <c r="F40" s="132" t="s">
        <v>11</v>
      </c>
      <c r="G40" s="109">
        <f>G41</f>
        <v>35744.700000000004</v>
      </c>
      <c r="H40" s="111">
        <f>H41</f>
        <v>-139.19999999999999</v>
      </c>
      <c r="I40" s="109">
        <f>I41</f>
        <v>35605.5</v>
      </c>
      <c r="J40" s="112">
        <f>J41</f>
        <v>768.1</v>
      </c>
      <c r="K40" s="111">
        <f>K41+K46</f>
        <v>0</v>
      </c>
      <c r="L40" s="112">
        <f>L41</f>
        <v>768.1</v>
      </c>
      <c r="M40" s="109">
        <f>M41</f>
        <v>36512.800000000003</v>
      </c>
      <c r="N40" s="109">
        <f>N41</f>
        <v>-139.19999999999999</v>
      </c>
      <c r="O40" s="109">
        <f>O41</f>
        <v>36373.599999999999</v>
      </c>
      <c r="P40" s="97"/>
      <c r="Q40" s="97"/>
    </row>
    <row r="41" spans="1:17" ht="31.5" x14ac:dyDescent="0.2">
      <c r="A41" s="40"/>
      <c r="B41" s="113" t="s">
        <v>66</v>
      </c>
      <c r="C41" s="113" t="s">
        <v>51</v>
      </c>
      <c r="D41" s="133" t="s">
        <v>65</v>
      </c>
      <c r="E41" s="133" t="s">
        <v>67</v>
      </c>
      <c r="F41" s="134" t="s">
        <v>11</v>
      </c>
      <c r="G41" s="111">
        <f>G42+G47</f>
        <v>35744.700000000004</v>
      </c>
      <c r="H41" s="111">
        <f>H42</f>
        <v>-139.19999999999999</v>
      </c>
      <c r="I41" s="111">
        <f>I42+I47</f>
        <v>35605.5</v>
      </c>
      <c r="J41" s="114">
        <f>J42+J47</f>
        <v>768.1</v>
      </c>
      <c r="K41" s="111">
        <f>K42</f>
        <v>0</v>
      </c>
      <c r="L41" s="114">
        <f>L42+L47</f>
        <v>768.1</v>
      </c>
      <c r="M41" s="111">
        <f>M42+M47</f>
        <v>36512.800000000003</v>
      </c>
      <c r="N41" s="111">
        <f>N42+N47</f>
        <v>-139.19999999999999</v>
      </c>
      <c r="O41" s="111">
        <f>O42+O47</f>
        <v>36373.599999999999</v>
      </c>
      <c r="P41" s="97"/>
      <c r="Q41" s="97"/>
    </row>
    <row r="42" spans="1:17" ht="31.5" x14ac:dyDescent="0.2">
      <c r="A42" s="40"/>
      <c r="B42" s="113" t="s">
        <v>50</v>
      </c>
      <c r="C42" s="113" t="s">
        <v>51</v>
      </c>
      <c r="D42" s="133" t="s">
        <v>65</v>
      </c>
      <c r="E42" s="133" t="s">
        <v>68</v>
      </c>
      <c r="F42" s="134" t="s">
        <v>11</v>
      </c>
      <c r="G42" s="111">
        <f>G43</f>
        <v>35744.700000000004</v>
      </c>
      <c r="H42" s="111">
        <f>H43</f>
        <v>-139.19999999999999</v>
      </c>
      <c r="I42" s="111">
        <f>I43</f>
        <v>35605.5</v>
      </c>
      <c r="J42" s="114">
        <f>J43</f>
        <v>0</v>
      </c>
      <c r="K42" s="111">
        <f>K43+K44+K45</f>
        <v>0</v>
      </c>
      <c r="L42" s="114">
        <f>L43</f>
        <v>0</v>
      </c>
      <c r="M42" s="111">
        <f>M43</f>
        <v>35744.700000000004</v>
      </c>
      <c r="N42" s="111">
        <f>N43</f>
        <v>-139.19999999999999</v>
      </c>
      <c r="O42" s="111">
        <f>O43</f>
        <v>35605.5</v>
      </c>
      <c r="P42" s="97"/>
      <c r="Q42" s="97"/>
    </row>
    <row r="43" spans="1:17" ht="31.5" x14ac:dyDescent="0.2">
      <c r="A43" s="40"/>
      <c r="B43" s="113" t="s">
        <v>38</v>
      </c>
      <c r="C43" s="113" t="s">
        <v>51</v>
      </c>
      <c r="D43" s="133" t="s">
        <v>65</v>
      </c>
      <c r="E43" s="133" t="s">
        <v>69</v>
      </c>
      <c r="F43" s="134" t="s">
        <v>11</v>
      </c>
      <c r="G43" s="111">
        <f>G44+G45+G46</f>
        <v>35744.700000000004</v>
      </c>
      <c r="H43" s="111">
        <f>SUM(H44)+H45+H46</f>
        <v>-139.19999999999999</v>
      </c>
      <c r="I43" s="111">
        <f>I44+I45+I46</f>
        <v>35605.5</v>
      </c>
      <c r="J43" s="114">
        <f>J44+J45+J46</f>
        <v>0</v>
      </c>
      <c r="K43" s="111"/>
      <c r="L43" s="114">
        <f>L44+L45+L46</f>
        <v>0</v>
      </c>
      <c r="M43" s="111">
        <f>M44+M45+M46</f>
        <v>35744.700000000004</v>
      </c>
      <c r="N43" s="111">
        <f>N44+N45+N46</f>
        <v>-139.19999999999999</v>
      </c>
      <c r="O43" s="111">
        <f>O44+O45+O46</f>
        <v>35605.5</v>
      </c>
      <c r="P43" s="97"/>
      <c r="Q43" s="97"/>
    </row>
    <row r="44" spans="1:17" ht="78.75" x14ac:dyDescent="0.2">
      <c r="A44" s="40"/>
      <c r="B44" s="113" t="s">
        <v>61</v>
      </c>
      <c r="C44" s="113" t="s">
        <v>51</v>
      </c>
      <c r="D44" s="133" t="s">
        <v>65</v>
      </c>
      <c r="E44" s="133" t="s">
        <v>69</v>
      </c>
      <c r="F44" s="134" t="s">
        <v>62</v>
      </c>
      <c r="G44" s="111">
        <v>35274.800000000003</v>
      </c>
      <c r="H44" s="111">
        <v>30</v>
      </c>
      <c r="I44" s="111">
        <f>SUM(G44)+H44</f>
        <v>35304.800000000003</v>
      </c>
      <c r="J44" s="115">
        <v>0</v>
      </c>
      <c r="K44" s="111"/>
      <c r="L44" s="115">
        <v>0</v>
      </c>
      <c r="M44" s="111">
        <f>SUM(G44)</f>
        <v>35274.800000000003</v>
      </c>
      <c r="N44" s="111">
        <f>SUM(H44)</f>
        <v>30</v>
      </c>
      <c r="O44" s="111">
        <f>SUM(N44)+M44</f>
        <v>35304.800000000003</v>
      </c>
      <c r="P44" s="97"/>
      <c r="Q44" s="97"/>
    </row>
    <row r="45" spans="1:17" ht="31.5" x14ac:dyDescent="0.2">
      <c r="A45" s="40"/>
      <c r="B45" s="113" t="s">
        <v>40</v>
      </c>
      <c r="C45" s="113" t="s">
        <v>51</v>
      </c>
      <c r="D45" s="133" t="s">
        <v>65</v>
      </c>
      <c r="E45" s="133" t="s">
        <v>69</v>
      </c>
      <c r="F45" s="134" t="s">
        <v>41</v>
      </c>
      <c r="G45" s="111">
        <v>291.39999999999998</v>
      </c>
      <c r="H45" s="111">
        <f>-30-0.7</f>
        <v>-30.7</v>
      </c>
      <c r="I45" s="111">
        <f>291.4+H45</f>
        <v>260.7</v>
      </c>
      <c r="J45" s="115">
        <v>0</v>
      </c>
      <c r="K45" s="111"/>
      <c r="L45" s="115">
        <v>0</v>
      </c>
      <c r="M45" s="111">
        <v>291.39999999999998</v>
      </c>
      <c r="N45" s="111">
        <f>SUM(H45)</f>
        <v>-30.7</v>
      </c>
      <c r="O45" s="111">
        <f>291.4+N45</f>
        <v>260.7</v>
      </c>
      <c r="P45" s="97"/>
      <c r="Q45" s="97"/>
    </row>
    <row r="46" spans="1:17" ht="15.75" x14ac:dyDescent="0.2">
      <c r="A46" s="40"/>
      <c r="B46" s="113" t="s">
        <v>70</v>
      </c>
      <c r="C46" s="113" t="s">
        <v>51</v>
      </c>
      <c r="D46" s="133" t="s">
        <v>65</v>
      </c>
      <c r="E46" s="133" t="s">
        <v>69</v>
      </c>
      <c r="F46" s="134" t="s">
        <v>71</v>
      </c>
      <c r="G46" s="111">
        <v>178.5</v>
      </c>
      <c r="H46" s="111">
        <v>-138.5</v>
      </c>
      <c r="I46" s="111">
        <f>SUM(G46)+H46</f>
        <v>40</v>
      </c>
      <c r="J46" s="115">
        <v>0</v>
      </c>
      <c r="K46" s="111">
        <f>K51</f>
        <v>0</v>
      </c>
      <c r="L46" s="115">
        <v>0</v>
      </c>
      <c r="M46" s="111">
        <f>SUM(G46)</f>
        <v>178.5</v>
      </c>
      <c r="N46" s="111">
        <f>SUM(H46)</f>
        <v>-138.5</v>
      </c>
      <c r="O46" s="111">
        <f>SUM(I46)</f>
        <v>40</v>
      </c>
      <c r="P46" s="97"/>
      <c r="Q46" s="97"/>
    </row>
    <row r="47" spans="1:17" ht="31.5" x14ac:dyDescent="0.2">
      <c r="A47" s="40"/>
      <c r="B47" s="113" t="s">
        <v>72</v>
      </c>
      <c r="C47" s="113" t="s">
        <v>51</v>
      </c>
      <c r="D47" s="133" t="s">
        <v>65</v>
      </c>
      <c r="E47" s="133" t="s">
        <v>73</v>
      </c>
      <c r="F47" s="134" t="s">
        <v>11</v>
      </c>
      <c r="G47" s="111">
        <f>G52</f>
        <v>0</v>
      </c>
      <c r="H47" s="111">
        <f>H48</f>
        <v>0</v>
      </c>
      <c r="I47" s="111">
        <f>I52</f>
        <v>0</v>
      </c>
      <c r="J47" s="115">
        <f>J52+J48</f>
        <v>768.1</v>
      </c>
      <c r="K47" s="111">
        <f>K48</f>
        <v>0</v>
      </c>
      <c r="L47" s="115">
        <f>L52+L48</f>
        <v>768.1</v>
      </c>
      <c r="M47" s="111">
        <f>M52+M48</f>
        <v>768.1</v>
      </c>
      <c r="N47" s="111">
        <f>N52</f>
        <v>0</v>
      </c>
      <c r="O47" s="111">
        <f>O52+O48</f>
        <v>768.1</v>
      </c>
      <c r="P47" s="97"/>
      <c r="Q47" s="97"/>
    </row>
    <row r="48" spans="1:17" ht="51.6" customHeight="1" x14ac:dyDescent="0.2">
      <c r="A48" s="40"/>
      <c r="B48" s="135" t="s">
        <v>74</v>
      </c>
      <c r="C48" s="113">
        <v>992</v>
      </c>
      <c r="D48" s="133" t="s">
        <v>65</v>
      </c>
      <c r="E48" s="133">
        <v>5220060140</v>
      </c>
      <c r="F48" s="134"/>
      <c r="G48" s="111">
        <f>G49</f>
        <v>0</v>
      </c>
      <c r="H48" s="111">
        <v>0</v>
      </c>
      <c r="I48" s="111">
        <f>I49</f>
        <v>0</v>
      </c>
      <c r="J48" s="115">
        <f>SUM(J50+J49)</f>
        <v>755.7</v>
      </c>
      <c r="K48" s="111">
        <v>0</v>
      </c>
      <c r="L48" s="115">
        <f>SUM(L50+L49)</f>
        <v>755.7</v>
      </c>
      <c r="M48" s="111">
        <f>M49+M50</f>
        <v>755.7</v>
      </c>
      <c r="N48" s="111">
        <f>N49</f>
        <v>0</v>
      </c>
      <c r="O48" s="111">
        <f>O49+O50</f>
        <v>755.7</v>
      </c>
      <c r="P48" s="97"/>
      <c r="Q48" s="97"/>
    </row>
    <row r="49" spans="1:17" ht="78.75" x14ac:dyDescent="0.2">
      <c r="A49" s="40"/>
      <c r="B49" s="113" t="s">
        <v>61</v>
      </c>
      <c r="C49" s="113">
        <v>992</v>
      </c>
      <c r="D49" s="133" t="s">
        <v>65</v>
      </c>
      <c r="E49" s="133">
        <v>5220060140</v>
      </c>
      <c r="F49" s="134">
        <v>100</v>
      </c>
      <c r="G49" s="111">
        <v>0</v>
      </c>
      <c r="H49" s="111">
        <v>0</v>
      </c>
      <c r="I49" s="111">
        <v>0</v>
      </c>
      <c r="J49" s="115">
        <v>674.7</v>
      </c>
      <c r="K49" s="111">
        <v>0</v>
      </c>
      <c r="L49" s="115">
        <v>674.7</v>
      </c>
      <c r="M49" s="111">
        <v>674.7</v>
      </c>
      <c r="N49" s="111">
        <v>0</v>
      </c>
      <c r="O49" s="111">
        <v>674.7</v>
      </c>
      <c r="P49" s="97"/>
      <c r="Q49" s="97"/>
    </row>
    <row r="50" spans="1:17" ht="31.5" x14ac:dyDescent="0.2">
      <c r="A50" s="40"/>
      <c r="B50" s="113" t="s">
        <v>40</v>
      </c>
      <c r="C50" s="113">
        <v>992</v>
      </c>
      <c r="D50" s="133" t="s">
        <v>65</v>
      </c>
      <c r="E50" s="133">
        <v>5220060140</v>
      </c>
      <c r="F50" s="134">
        <v>200</v>
      </c>
      <c r="G50" s="111">
        <v>0</v>
      </c>
      <c r="H50" s="111"/>
      <c r="I50" s="111">
        <v>0</v>
      </c>
      <c r="J50" s="115">
        <v>81</v>
      </c>
      <c r="K50" s="111"/>
      <c r="L50" s="115">
        <v>81</v>
      </c>
      <c r="M50" s="111">
        <v>81</v>
      </c>
      <c r="N50" s="111">
        <v>0</v>
      </c>
      <c r="O50" s="111">
        <v>81</v>
      </c>
      <c r="P50" s="97"/>
      <c r="Q50" s="97"/>
    </row>
    <row r="51" spans="1:17" ht="15.75" hidden="1" x14ac:dyDescent="0.2">
      <c r="A51" s="40"/>
      <c r="B51" s="113"/>
      <c r="C51" s="113"/>
      <c r="D51" s="133"/>
      <c r="E51" s="133"/>
      <c r="F51" s="134"/>
      <c r="G51" s="111"/>
      <c r="H51" s="111">
        <f t="shared" ref="G51:O52" si="5">H52</f>
        <v>0</v>
      </c>
      <c r="I51" s="111"/>
      <c r="J51" s="115"/>
      <c r="K51" s="111">
        <f t="shared" si="5"/>
        <v>0</v>
      </c>
      <c r="L51" s="115"/>
      <c r="M51" s="111"/>
      <c r="N51" s="111"/>
      <c r="O51" s="111"/>
      <c r="P51" s="97"/>
      <c r="Q51" s="97"/>
    </row>
    <row r="52" spans="1:17" ht="47.25" x14ac:dyDescent="0.2">
      <c r="A52" s="40"/>
      <c r="B52" s="113" t="s">
        <v>75</v>
      </c>
      <c r="C52" s="113" t="s">
        <v>51</v>
      </c>
      <c r="D52" s="133" t="s">
        <v>65</v>
      </c>
      <c r="E52" s="133" t="s">
        <v>76</v>
      </c>
      <c r="F52" s="134" t="s">
        <v>11</v>
      </c>
      <c r="G52" s="111">
        <f t="shared" si="5"/>
        <v>0</v>
      </c>
      <c r="H52" s="111">
        <v>0</v>
      </c>
      <c r="I52" s="111">
        <f t="shared" si="5"/>
        <v>0</v>
      </c>
      <c r="J52" s="115">
        <f t="shared" si="5"/>
        <v>12.4</v>
      </c>
      <c r="K52" s="111">
        <v>0</v>
      </c>
      <c r="L52" s="115">
        <f t="shared" si="5"/>
        <v>12.4</v>
      </c>
      <c r="M52" s="111">
        <f t="shared" si="5"/>
        <v>12.4</v>
      </c>
      <c r="N52" s="111">
        <f t="shared" si="5"/>
        <v>0</v>
      </c>
      <c r="O52" s="111">
        <f t="shared" si="5"/>
        <v>12.4</v>
      </c>
      <c r="P52" s="97"/>
      <c r="Q52" s="97"/>
    </row>
    <row r="53" spans="1:17" ht="31.5" x14ac:dyDescent="0.2">
      <c r="A53" s="40"/>
      <c r="B53" s="113" t="s">
        <v>40</v>
      </c>
      <c r="C53" s="113" t="s">
        <v>51</v>
      </c>
      <c r="D53" s="133" t="s">
        <v>65</v>
      </c>
      <c r="E53" s="133" t="s">
        <v>76</v>
      </c>
      <c r="F53" s="134" t="s">
        <v>41</v>
      </c>
      <c r="G53" s="111">
        <v>0</v>
      </c>
      <c r="H53" s="109"/>
      <c r="I53" s="111">
        <v>0</v>
      </c>
      <c r="J53" s="115">
        <v>12.4</v>
      </c>
      <c r="K53" s="109"/>
      <c r="L53" s="115">
        <v>12.4</v>
      </c>
      <c r="M53" s="111">
        <v>12.4</v>
      </c>
      <c r="N53" s="111">
        <v>0</v>
      </c>
      <c r="O53" s="111">
        <v>12.4</v>
      </c>
      <c r="P53" s="97"/>
      <c r="Q53" s="97"/>
    </row>
    <row r="54" spans="1:17" ht="15.75" x14ac:dyDescent="0.2">
      <c r="A54" s="33" t="s">
        <v>77</v>
      </c>
      <c r="B54" s="110" t="s">
        <v>78</v>
      </c>
      <c r="C54" s="110" t="s">
        <v>51</v>
      </c>
      <c r="D54" s="131" t="s">
        <v>79</v>
      </c>
      <c r="E54" s="131" t="s">
        <v>11</v>
      </c>
      <c r="F54" s="132" t="s">
        <v>11</v>
      </c>
      <c r="G54" s="109">
        <f t="shared" ref="G54:O57" si="6">G55</f>
        <v>2091.1999999999998</v>
      </c>
      <c r="H54" s="111">
        <f t="shared" si="6"/>
        <v>-15.9</v>
      </c>
      <c r="I54" s="109">
        <f t="shared" si="6"/>
        <v>2075.2999999999997</v>
      </c>
      <c r="J54" s="112">
        <f t="shared" si="6"/>
        <v>0</v>
      </c>
      <c r="K54" s="111">
        <f>K55</f>
        <v>0</v>
      </c>
      <c r="L54" s="112">
        <f t="shared" si="6"/>
        <v>0</v>
      </c>
      <c r="M54" s="109">
        <f t="shared" si="6"/>
        <v>2091.1999999999998</v>
      </c>
      <c r="N54" s="109">
        <f t="shared" si="6"/>
        <v>-15.9</v>
      </c>
      <c r="O54" s="109">
        <f t="shared" si="6"/>
        <v>2075.2999999999997</v>
      </c>
      <c r="P54" s="97"/>
      <c r="Q54" s="97"/>
    </row>
    <row r="55" spans="1:17" ht="31.5" x14ac:dyDescent="0.2">
      <c r="A55" s="40"/>
      <c r="B55" s="113" t="s">
        <v>66</v>
      </c>
      <c r="C55" s="113" t="s">
        <v>51</v>
      </c>
      <c r="D55" s="133" t="s">
        <v>79</v>
      </c>
      <c r="E55" s="133" t="s">
        <v>67</v>
      </c>
      <c r="F55" s="134" t="s">
        <v>11</v>
      </c>
      <c r="G55" s="111">
        <f t="shared" si="6"/>
        <v>2091.1999999999998</v>
      </c>
      <c r="H55" s="111">
        <f t="shared" si="6"/>
        <v>-15.9</v>
      </c>
      <c r="I55" s="111">
        <f t="shared" si="6"/>
        <v>2075.2999999999997</v>
      </c>
      <c r="J55" s="114">
        <f t="shared" si="6"/>
        <v>0</v>
      </c>
      <c r="K55" s="111">
        <f>K56</f>
        <v>0</v>
      </c>
      <c r="L55" s="114">
        <f t="shared" si="6"/>
        <v>0</v>
      </c>
      <c r="M55" s="111">
        <f t="shared" si="6"/>
        <v>2091.1999999999998</v>
      </c>
      <c r="N55" s="111">
        <f t="shared" si="6"/>
        <v>-15.9</v>
      </c>
      <c r="O55" s="111">
        <f t="shared" si="6"/>
        <v>2075.2999999999997</v>
      </c>
      <c r="P55" s="97"/>
      <c r="Q55" s="97"/>
    </row>
    <row r="56" spans="1:17" ht="31.5" x14ac:dyDescent="0.2">
      <c r="A56" s="40"/>
      <c r="B56" s="113" t="s">
        <v>80</v>
      </c>
      <c r="C56" s="113" t="s">
        <v>51</v>
      </c>
      <c r="D56" s="133" t="s">
        <v>79</v>
      </c>
      <c r="E56" s="133" t="s">
        <v>81</v>
      </c>
      <c r="F56" s="134" t="s">
        <v>11</v>
      </c>
      <c r="G56" s="111">
        <f t="shared" si="6"/>
        <v>2091.1999999999998</v>
      </c>
      <c r="H56" s="111">
        <f t="shared" si="6"/>
        <v>-15.9</v>
      </c>
      <c r="I56" s="111">
        <f t="shared" si="6"/>
        <v>2075.2999999999997</v>
      </c>
      <c r="J56" s="114">
        <f t="shared" si="6"/>
        <v>0</v>
      </c>
      <c r="K56" s="111">
        <f>K57</f>
        <v>0</v>
      </c>
      <c r="L56" s="114">
        <f t="shared" si="6"/>
        <v>0</v>
      </c>
      <c r="M56" s="111">
        <f t="shared" si="6"/>
        <v>2091.1999999999998</v>
      </c>
      <c r="N56" s="111">
        <f t="shared" si="6"/>
        <v>-15.9</v>
      </c>
      <c r="O56" s="111">
        <f t="shared" si="6"/>
        <v>2075.2999999999997</v>
      </c>
      <c r="P56" s="97"/>
      <c r="Q56" s="97"/>
    </row>
    <row r="57" spans="1:17" ht="31.5" x14ac:dyDescent="0.2">
      <c r="A57" s="40"/>
      <c r="B57" s="113" t="s">
        <v>82</v>
      </c>
      <c r="C57" s="113" t="s">
        <v>51</v>
      </c>
      <c r="D57" s="133" t="s">
        <v>79</v>
      </c>
      <c r="E57" s="133" t="s">
        <v>83</v>
      </c>
      <c r="F57" s="134" t="s">
        <v>11</v>
      </c>
      <c r="G57" s="111">
        <f>G58</f>
        <v>2091.1999999999998</v>
      </c>
      <c r="H57" s="109">
        <f>H58</f>
        <v>-15.9</v>
      </c>
      <c r="I57" s="111">
        <f>I58</f>
        <v>2075.2999999999997</v>
      </c>
      <c r="J57" s="114">
        <f t="shared" si="6"/>
        <v>0</v>
      </c>
      <c r="K57" s="111"/>
      <c r="L57" s="114">
        <f t="shared" si="6"/>
        <v>0</v>
      </c>
      <c r="M57" s="111">
        <f t="shared" si="6"/>
        <v>2091.1999999999998</v>
      </c>
      <c r="N57" s="111">
        <f t="shared" si="6"/>
        <v>-15.9</v>
      </c>
      <c r="O57" s="111">
        <f t="shared" si="6"/>
        <v>2075.2999999999997</v>
      </c>
      <c r="P57" s="97"/>
      <c r="Q57" s="97"/>
    </row>
    <row r="58" spans="1:17" ht="15.75" x14ac:dyDescent="0.2">
      <c r="A58" s="40"/>
      <c r="B58" s="113" t="s">
        <v>70</v>
      </c>
      <c r="C58" s="113" t="s">
        <v>51</v>
      </c>
      <c r="D58" s="133" t="s">
        <v>79</v>
      </c>
      <c r="E58" s="133" t="s">
        <v>83</v>
      </c>
      <c r="F58" s="134" t="s">
        <v>71</v>
      </c>
      <c r="G58" s="111">
        <v>2091.1999999999998</v>
      </c>
      <c r="H58" s="109">
        <v>-15.9</v>
      </c>
      <c r="I58" s="111">
        <f>SUM(G58)+H58</f>
        <v>2075.2999999999997</v>
      </c>
      <c r="J58" s="115">
        <v>0</v>
      </c>
      <c r="K58" s="109"/>
      <c r="L58" s="115">
        <v>0</v>
      </c>
      <c r="M58" s="111">
        <f>SUM(G58)</f>
        <v>2091.1999999999998</v>
      </c>
      <c r="N58" s="111">
        <f>SUM(H58)</f>
        <v>-15.9</v>
      </c>
      <c r="O58" s="111">
        <f>SUM(I58)</f>
        <v>2075.2999999999997</v>
      </c>
      <c r="P58" s="97"/>
      <c r="Q58" s="97"/>
    </row>
    <row r="59" spans="1:17" ht="15.75" x14ac:dyDescent="0.2">
      <c r="A59" s="33" t="s">
        <v>84</v>
      </c>
      <c r="B59" s="110" t="s">
        <v>85</v>
      </c>
      <c r="C59" s="110" t="s">
        <v>51</v>
      </c>
      <c r="D59" s="131" t="s">
        <v>86</v>
      </c>
      <c r="E59" s="131" t="s">
        <v>11</v>
      </c>
      <c r="F59" s="132" t="s">
        <v>11</v>
      </c>
      <c r="G59" s="109">
        <f>G60+G65+G70+G89+G111</f>
        <v>60624.5</v>
      </c>
      <c r="H59" s="109">
        <f>H60+H65+H70+H89+H112+H107</f>
        <v>363.49999999999994</v>
      </c>
      <c r="I59" s="109">
        <f>I60+I65+I70+I89+I111+I107</f>
        <v>60988.000000000007</v>
      </c>
      <c r="J59" s="112">
        <f>J60+J65+J70+J89+J111</f>
        <v>100</v>
      </c>
      <c r="K59" s="111">
        <f>K60+K70</f>
        <v>0</v>
      </c>
      <c r="L59" s="112">
        <f>L60+L65+L70+L89+L111</f>
        <v>100</v>
      </c>
      <c r="M59" s="109">
        <f>M60+M65+M70+M89+M111+M107</f>
        <v>60724.5</v>
      </c>
      <c r="N59" s="109">
        <f>N60+N65+N70+N89+N111+N107</f>
        <v>363.49999999999994</v>
      </c>
      <c r="O59" s="109">
        <f>O60+O65+O70+O89+O111+O107</f>
        <v>61088.000000000007</v>
      </c>
      <c r="P59" s="97"/>
      <c r="Q59" s="97"/>
    </row>
    <row r="60" spans="1:17" ht="31.5" x14ac:dyDescent="0.2">
      <c r="A60" s="40"/>
      <c r="B60" s="113" t="s">
        <v>87</v>
      </c>
      <c r="C60" s="113" t="s">
        <v>51</v>
      </c>
      <c r="D60" s="133" t="s">
        <v>86</v>
      </c>
      <c r="E60" s="133" t="s">
        <v>88</v>
      </c>
      <c r="F60" s="134" t="s">
        <v>11</v>
      </c>
      <c r="G60" s="111">
        <f t="shared" ref="G60:O63" si="7">G61</f>
        <v>80</v>
      </c>
      <c r="H60" s="111">
        <f t="shared" si="7"/>
        <v>0</v>
      </c>
      <c r="I60" s="111">
        <f t="shared" si="7"/>
        <v>80</v>
      </c>
      <c r="J60" s="114">
        <f t="shared" si="7"/>
        <v>0</v>
      </c>
      <c r="K60" s="111">
        <f>K61</f>
        <v>0</v>
      </c>
      <c r="L60" s="114">
        <f t="shared" si="7"/>
        <v>0</v>
      </c>
      <c r="M60" s="111">
        <f t="shared" si="7"/>
        <v>80</v>
      </c>
      <c r="N60" s="111">
        <f t="shared" si="7"/>
        <v>0</v>
      </c>
      <c r="O60" s="111">
        <f t="shared" si="7"/>
        <v>80</v>
      </c>
      <c r="P60" s="97"/>
      <c r="Q60" s="97"/>
    </row>
    <row r="61" spans="1:17" ht="47.25" x14ac:dyDescent="0.2">
      <c r="A61" s="40"/>
      <c r="B61" s="113" t="s">
        <v>89</v>
      </c>
      <c r="C61" s="113" t="s">
        <v>51</v>
      </c>
      <c r="D61" s="133" t="s">
        <v>86</v>
      </c>
      <c r="E61" s="133" t="s">
        <v>90</v>
      </c>
      <c r="F61" s="134" t="s">
        <v>11</v>
      </c>
      <c r="G61" s="111">
        <f t="shared" si="7"/>
        <v>80</v>
      </c>
      <c r="H61" s="111">
        <f t="shared" si="7"/>
        <v>0</v>
      </c>
      <c r="I61" s="111">
        <f t="shared" si="7"/>
        <v>80</v>
      </c>
      <c r="J61" s="114">
        <f t="shared" si="7"/>
        <v>0</v>
      </c>
      <c r="K61" s="111">
        <f>K62</f>
        <v>0</v>
      </c>
      <c r="L61" s="114">
        <f t="shared" si="7"/>
        <v>0</v>
      </c>
      <c r="M61" s="111">
        <f t="shared" si="7"/>
        <v>80</v>
      </c>
      <c r="N61" s="111">
        <f t="shared" si="7"/>
        <v>0</v>
      </c>
      <c r="O61" s="111">
        <f t="shared" si="7"/>
        <v>80</v>
      </c>
      <c r="P61" s="97"/>
      <c r="Q61" s="97"/>
    </row>
    <row r="62" spans="1:17" ht="42" customHeight="1" x14ac:dyDescent="0.2">
      <c r="A62" s="40"/>
      <c r="B62" s="113" t="s">
        <v>91</v>
      </c>
      <c r="C62" s="113" t="s">
        <v>51</v>
      </c>
      <c r="D62" s="133" t="s">
        <v>86</v>
      </c>
      <c r="E62" s="133" t="s">
        <v>92</v>
      </c>
      <c r="F62" s="134" t="s">
        <v>11</v>
      </c>
      <c r="G62" s="111">
        <f t="shared" si="7"/>
        <v>80</v>
      </c>
      <c r="H62" s="111">
        <f t="shared" si="7"/>
        <v>0</v>
      </c>
      <c r="I62" s="111">
        <f t="shared" si="7"/>
        <v>80</v>
      </c>
      <c r="J62" s="114">
        <f t="shared" si="7"/>
        <v>0</v>
      </c>
      <c r="K62" s="111">
        <f>K63</f>
        <v>0</v>
      </c>
      <c r="L62" s="114">
        <f t="shared" si="7"/>
        <v>0</v>
      </c>
      <c r="M62" s="111">
        <f t="shared" si="7"/>
        <v>80</v>
      </c>
      <c r="N62" s="111">
        <f t="shared" si="7"/>
        <v>0</v>
      </c>
      <c r="O62" s="111">
        <f t="shared" si="7"/>
        <v>80</v>
      </c>
      <c r="P62" s="97"/>
      <c r="Q62" s="97"/>
    </row>
    <row r="63" spans="1:17" ht="47.25" x14ac:dyDescent="0.2">
      <c r="A63" s="40"/>
      <c r="B63" s="113" t="s">
        <v>93</v>
      </c>
      <c r="C63" s="113" t="s">
        <v>51</v>
      </c>
      <c r="D63" s="133" t="s">
        <v>86</v>
      </c>
      <c r="E63" s="133" t="s">
        <v>94</v>
      </c>
      <c r="F63" s="134" t="s">
        <v>11</v>
      </c>
      <c r="G63" s="111">
        <f>G64</f>
        <v>80</v>
      </c>
      <c r="H63" s="111"/>
      <c r="I63" s="111">
        <f>I64</f>
        <v>80</v>
      </c>
      <c r="J63" s="114">
        <f t="shared" si="7"/>
        <v>0</v>
      </c>
      <c r="K63" s="111"/>
      <c r="L63" s="114">
        <f t="shared" si="7"/>
        <v>0</v>
      </c>
      <c r="M63" s="111">
        <f t="shared" si="7"/>
        <v>80</v>
      </c>
      <c r="N63" s="111">
        <f t="shared" si="7"/>
        <v>0</v>
      </c>
      <c r="O63" s="111">
        <f t="shared" si="7"/>
        <v>80</v>
      </c>
      <c r="P63" s="97"/>
      <c r="Q63" s="97"/>
    </row>
    <row r="64" spans="1:17" ht="47.25" x14ac:dyDescent="0.2">
      <c r="A64" s="40"/>
      <c r="B64" s="113" t="s">
        <v>95</v>
      </c>
      <c r="C64" s="113" t="s">
        <v>51</v>
      </c>
      <c r="D64" s="133" t="s">
        <v>86</v>
      </c>
      <c r="E64" s="133" t="s">
        <v>94</v>
      </c>
      <c r="F64" s="134" t="s">
        <v>96</v>
      </c>
      <c r="G64" s="111">
        <v>80</v>
      </c>
      <c r="H64" s="111"/>
      <c r="I64" s="111">
        <v>80</v>
      </c>
      <c r="J64" s="115"/>
      <c r="K64" s="111"/>
      <c r="L64" s="115"/>
      <c r="M64" s="111">
        <v>80</v>
      </c>
      <c r="N64" s="111"/>
      <c r="O64" s="111">
        <v>80</v>
      </c>
      <c r="P64" s="97"/>
      <c r="Q64" s="97"/>
    </row>
    <row r="65" spans="1:17" ht="31.5" x14ac:dyDescent="0.2">
      <c r="A65" s="40"/>
      <c r="B65" s="113" t="s">
        <v>97</v>
      </c>
      <c r="C65" s="113" t="s">
        <v>51</v>
      </c>
      <c r="D65" s="133" t="s">
        <v>86</v>
      </c>
      <c r="E65" s="133" t="s">
        <v>98</v>
      </c>
      <c r="F65" s="134" t="s">
        <v>11</v>
      </c>
      <c r="G65" s="111">
        <f t="shared" ref="G65:O68" si="8">G66</f>
        <v>3500</v>
      </c>
      <c r="H65" s="111">
        <f t="shared" si="8"/>
        <v>0</v>
      </c>
      <c r="I65" s="111">
        <f t="shared" si="8"/>
        <v>3500</v>
      </c>
      <c r="J65" s="114">
        <f t="shared" si="8"/>
        <v>0</v>
      </c>
      <c r="K65" s="111">
        <f>K66</f>
        <v>0</v>
      </c>
      <c r="L65" s="114">
        <f t="shared" si="8"/>
        <v>0</v>
      </c>
      <c r="M65" s="111">
        <f t="shared" si="8"/>
        <v>3500</v>
      </c>
      <c r="N65" s="111">
        <f t="shared" si="8"/>
        <v>0</v>
      </c>
      <c r="O65" s="111">
        <f t="shared" si="8"/>
        <v>3500</v>
      </c>
      <c r="P65" s="97"/>
      <c r="Q65" s="97"/>
    </row>
    <row r="66" spans="1:17" ht="15.75" x14ac:dyDescent="0.2">
      <c r="A66" s="40"/>
      <c r="B66" s="113" t="s">
        <v>99</v>
      </c>
      <c r="C66" s="113" t="s">
        <v>51</v>
      </c>
      <c r="D66" s="133" t="s">
        <v>86</v>
      </c>
      <c r="E66" s="133" t="s">
        <v>100</v>
      </c>
      <c r="F66" s="134" t="s">
        <v>11</v>
      </c>
      <c r="G66" s="111">
        <f t="shared" si="8"/>
        <v>3500</v>
      </c>
      <c r="H66" s="111">
        <f t="shared" si="8"/>
        <v>0</v>
      </c>
      <c r="I66" s="111">
        <f t="shared" si="8"/>
        <v>3500</v>
      </c>
      <c r="J66" s="114">
        <f t="shared" si="8"/>
        <v>0</v>
      </c>
      <c r="K66" s="111">
        <f>K67</f>
        <v>0</v>
      </c>
      <c r="L66" s="114">
        <f t="shared" si="8"/>
        <v>0</v>
      </c>
      <c r="M66" s="111">
        <f t="shared" si="8"/>
        <v>3500</v>
      </c>
      <c r="N66" s="111">
        <f t="shared" si="8"/>
        <v>0</v>
      </c>
      <c r="O66" s="111">
        <f t="shared" si="8"/>
        <v>3500</v>
      </c>
      <c r="P66" s="97"/>
      <c r="Q66" s="97"/>
    </row>
    <row r="67" spans="1:17" ht="31.5" x14ac:dyDescent="0.2">
      <c r="A67" s="40"/>
      <c r="B67" s="113" t="s">
        <v>101</v>
      </c>
      <c r="C67" s="113" t="s">
        <v>51</v>
      </c>
      <c r="D67" s="133" t="s">
        <v>86</v>
      </c>
      <c r="E67" s="133" t="s">
        <v>102</v>
      </c>
      <c r="F67" s="134" t="s">
        <v>11</v>
      </c>
      <c r="G67" s="111">
        <f t="shared" si="8"/>
        <v>3500</v>
      </c>
      <c r="H67" s="111">
        <f t="shared" si="8"/>
        <v>0</v>
      </c>
      <c r="I67" s="111">
        <f t="shared" si="8"/>
        <v>3500</v>
      </c>
      <c r="J67" s="114">
        <f t="shared" si="8"/>
        <v>0</v>
      </c>
      <c r="K67" s="111">
        <f>K68</f>
        <v>0</v>
      </c>
      <c r="L67" s="114">
        <f t="shared" si="8"/>
        <v>0</v>
      </c>
      <c r="M67" s="111">
        <f t="shared" si="8"/>
        <v>3500</v>
      </c>
      <c r="N67" s="111">
        <f t="shared" si="8"/>
        <v>0</v>
      </c>
      <c r="O67" s="111">
        <f t="shared" si="8"/>
        <v>3500</v>
      </c>
      <c r="P67" s="97"/>
      <c r="Q67" s="97"/>
    </row>
    <row r="68" spans="1:17" ht="36.6" customHeight="1" x14ac:dyDescent="0.2">
      <c r="A68" s="40"/>
      <c r="B68" s="113" t="s">
        <v>103</v>
      </c>
      <c r="C68" s="113" t="s">
        <v>51</v>
      </c>
      <c r="D68" s="133" t="s">
        <v>86</v>
      </c>
      <c r="E68" s="133" t="s">
        <v>104</v>
      </c>
      <c r="F68" s="134" t="s">
        <v>11</v>
      </c>
      <c r="G68" s="111">
        <f>G69</f>
        <v>3500</v>
      </c>
      <c r="H68" s="111"/>
      <c r="I68" s="111">
        <f>I69</f>
        <v>3500</v>
      </c>
      <c r="J68" s="114">
        <f t="shared" si="8"/>
        <v>0</v>
      </c>
      <c r="K68" s="111"/>
      <c r="L68" s="114">
        <f t="shared" si="8"/>
        <v>0</v>
      </c>
      <c r="M68" s="111">
        <f t="shared" si="8"/>
        <v>3500</v>
      </c>
      <c r="N68" s="111">
        <f t="shared" si="8"/>
        <v>0</v>
      </c>
      <c r="O68" s="111">
        <f t="shared" si="8"/>
        <v>3500</v>
      </c>
      <c r="P68" s="97"/>
      <c r="Q68" s="97"/>
    </row>
    <row r="69" spans="1:17" ht="31.5" x14ac:dyDescent="0.2">
      <c r="A69" s="40"/>
      <c r="B69" s="113" t="s">
        <v>40</v>
      </c>
      <c r="C69" s="113" t="s">
        <v>51</v>
      </c>
      <c r="D69" s="133" t="s">
        <v>86</v>
      </c>
      <c r="E69" s="133" t="s">
        <v>104</v>
      </c>
      <c r="F69" s="134" t="s">
        <v>41</v>
      </c>
      <c r="G69" s="111">
        <v>3500</v>
      </c>
      <c r="H69" s="111"/>
      <c r="I69" s="111">
        <v>3500</v>
      </c>
      <c r="J69" s="115">
        <v>0</v>
      </c>
      <c r="K69" s="111"/>
      <c r="L69" s="115">
        <v>0</v>
      </c>
      <c r="M69" s="111">
        <v>3500</v>
      </c>
      <c r="N69" s="111"/>
      <c r="O69" s="111">
        <v>3500</v>
      </c>
      <c r="P69" s="97"/>
      <c r="Q69" s="97"/>
    </row>
    <row r="70" spans="1:17" ht="47.25" x14ac:dyDescent="0.2">
      <c r="A70" s="40"/>
      <c r="B70" s="113" t="s">
        <v>105</v>
      </c>
      <c r="C70" s="113" t="s">
        <v>51</v>
      </c>
      <c r="D70" s="133" t="s">
        <v>86</v>
      </c>
      <c r="E70" s="133" t="s">
        <v>106</v>
      </c>
      <c r="F70" s="134" t="s">
        <v>11</v>
      </c>
      <c r="G70" s="111">
        <f>G71+G77+G81</f>
        <v>5472</v>
      </c>
      <c r="H70" s="111">
        <f>H71+H81+H77</f>
        <v>6.4000000000000057</v>
      </c>
      <c r="I70" s="111">
        <f>I71+I77+I81</f>
        <v>5478.4</v>
      </c>
      <c r="J70" s="114">
        <f>J71+J77+J81</f>
        <v>100</v>
      </c>
      <c r="K70" s="111">
        <f>K71+K81</f>
        <v>0</v>
      </c>
      <c r="L70" s="114">
        <f>L71+L77+L81</f>
        <v>100</v>
      </c>
      <c r="M70" s="111">
        <f>M71+M77+M81</f>
        <v>5572</v>
      </c>
      <c r="N70" s="111">
        <f>N71+N77+N81</f>
        <v>6.4000000000000057</v>
      </c>
      <c r="O70" s="111">
        <f>O71+O77+O81</f>
        <v>5578.4</v>
      </c>
      <c r="P70" s="97"/>
      <c r="Q70" s="97"/>
    </row>
    <row r="71" spans="1:17" ht="31.5" x14ac:dyDescent="0.2">
      <c r="A71" s="40"/>
      <c r="B71" s="113" t="s">
        <v>107</v>
      </c>
      <c r="C71" s="113" t="s">
        <v>51</v>
      </c>
      <c r="D71" s="133" t="s">
        <v>86</v>
      </c>
      <c r="E71" s="133" t="s">
        <v>108</v>
      </c>
      <c r="F71" s="134" t="s">
        <v>11</v>
      </c>
      <c r="G71" s="111">
        <f>G72</f>
        <v>2422</v>
      </c>
      <c r="H71" s="111">
        <f>H72</f>
        <v>-93.6</v>
      </c>
      <c r="I71" s="111">
        <f>I72</f>
        <v>2328.4</v>
      </c>
      <c r="J71" s="114">
        <f>J72</f>
        <v>0</v>
      </c>
      <c r="K71" s="111">
        <f>K72+K74</f>
        <v>0</v>
      </c>
      <c r="L71" s="114">
        <f>L72</f>
        <v>0</v>
      </c>
      <c r="M71" s="111">
        <f>M72</f>
        <v>2422</v>
      </c>
      <c r="N71" s="111">
        <f>N72</f>
        <v>-93.6</v>
      </c>
      <c r="O71" s="111">
        <f>O72</f>
        <v>2328.4</v>
      </c>
      <c r="P71" s="97"/>
      <c r="Q71" s="97"/>
    </row>
    <row r="72" spans="1:17" ht="31.5" x14ac:dyDescent="0.2">
      <c r="A72" s="40"/>
      <c r="B72" s="113" t="s">
        <v>109</v>
      </c>
      <c r="C72" s="113" t="s">
        <v>51</v>
      </c>
      <c r="D72" s="133" t="s">
        <v>86</v>
      </c>
      <c r="E72" s="133" t="s">
        <v>110</v>
      </c>
      <c r="F72" s="134" t="s">
        <v>11</v>
      </c>
      <c r="G72" s="111">
        <f>G73+G75</f>
        <v>2422</v>
      </c>
      <c r="H72" s="111">
        <f>H73</f>
        <v>-93.6</v>
      </c>
      <c r="I72" s="111">
        <f>I73+I75</f>
        <v>2328.4</v>
      </c>
      <c r="J72" s="114">
        <f>J73+J75</f>
        <v>0</v>
      </c>
      <c r="K72" s="111">
        <f>K73</f>
        <v>0</v>
      </c>
      <c r="L72" s="114">
        <f>L73+L75</f>
        <v>0</v>
      </c>
      <c r="M72" s="111">
        <f>M73+M75</f>
        <v>2422</v>
      </c>
      <c r="N72" s="111">
        <f>N73+N75</f>
        <v>-93.6</v>
      </c>
      <c r="O72" s="111">
        <f>O73+O75</f>
        <v>2328.4</v>
      </c>
      <c r="P72" s="97"/>
      <c r="Q72" s="97"/>
    </row>
    <row r="73" spans="1:17" ht="31.5" x14ac:dyDescent="0.2">
      <c r="A73" s="40"/>
      <c r="B73" s="113" t="s">
        <v>107</v>
      </c>
      <c r="C73" s="113" t="s">
        <v>51</v>
      </c>
      <c r="D73" s="133" t="s">
        <v>86</v>
      </c>
      <c r="E73" s="133" t="s">
        <v>111</v>
      </c>
      <c r="F73" s="134" t="s">
        <v>11</v>
      </c>
      <c r="G73" s="111">
        <f>G74</f>
        <v>2412</v>
      </c>
      <c r="H73" s="111">
        <f>H74</f>
        <v>-93.6</v>
      </c>
      <c r="I73" s="111">
        <f>I74</f>
        <v>2318.4</v>
      </c>
      <c r="J73" s="114">
        <f>J74</f>
        <v>0</v>
      </c>
      <c r="K73" s="111"/>
      <c r="L73" s="114">
        <f>L74</f>
        <v>0</v>
      </c>
      <c r="M73" s="111">
        <f>M74</f>
        <v>2412</v>
      </c>
      <c r="N73" s="111">
        <f>N74</f>
        <v>-93.6</v>
      </c>
      <c r="O73" s="111">
        <f>O74</f>
        <v>2318.4</v>
      </c>
      <c r="P73" s="97"/>
      <c r="Q73" s="97"/>
    </row>
    <row r="74" spans="1:17" ht="31.5" x14ac:dyDescent="0.2">
      <c r="A74" s="40"/>
      <c r="B74" s="113" t="s">
        <v>112</v>
      </c>
      <c r="C74" s="113" t="s">
        <v>51</v>
      </c>
      <c r="D74" s="133" t="s">
        <v>86</v>
      </c>
      <c r="E74" s="133" t="s">
        <v>111</v>
      </c>
      <c r="F74" s="134" t="s">
        <v>113</v>
      </c>
      <c r="G74" s="111">
        <v>2412</v>
      </c>
      <c r="H74" s="111">
        <v>-93.6</v>
      </c>
      <c r="I74" s="111">
        <f>SUM(G74:H74)</f>
        <v>2318.4</v>
      </c>
      <c r="J74" s="115">
        <v>0</v>
      </c>
      <c r="K74" s="111"/>
      <c r="L74" s="115">
        <v>0</v>
      </c>
      <c r="M74" s="111">
        <v>2412</v>
      </c>
      <c r="N74" s="111">
        <f>H74+K74</f>
        <v>-93.6</v>
      </c>
      <c r="O74" s="111">
        <f>SUM(M74:N74)</f>
        <v>2318.4</v>
      </c>
      <c r="P74" s="97"/>
      <c r="Q74" s="97"/>
    </row>
    <row r="75" spans="1:17" ht="31.5" x14ac:dyDescent="0.2">
      <c r="A75" s="40"/>
      <c r="B75" s="113" t="s">
        <v>114</v>
      </c>
      <c r="C75" s="113" t="s">
        <v>51</v>
      </c>
      <c r="D75" s="133" t="s">
        <v>86</v>
      </c>
      <c r="E75" s="133" t="s">
        <v>115</v>
      </c>
      <c r="F75" s="134" t="s">
        <v>11</v>
      </c>
      <c r="G75" s="111">
        <f>G76</f>
        <v>10</v>
      </c>
      <c r="H75" s="111"/>
      <c r="I75" s="111">
        <f>I76</f>
        <v>10</v>
      </c>
      <c r="J75" s="114">
        <f>J76</f>
        <v>0</v>
      </c>
      <c r="K75" s="111"/>
      <c r="L75" s="114">
        <f>L76</f>
        <v>0</v>
      </c>
      <c r="M75" s="111">
        <f>M76</f>
        <v>10</v>
      </c>
      <c r="N75" s="111">
        <f>N76</f>
        <v>0</v>
      </c>
      <c r="O75" s="111">
        <f>O76</f>
        <v>10</v>
      </c>
      <c r="P75" s="97"/>
      <c r="Q75" s="97"/>
    </row>
    <row r="76" spans="1:17" ht="31.5" x14ac:dyDescent="0.2">
      <c r="A76" s="40"/>
      <c r="B76" s="113" t="s">
        <v>112</v>
      </c>
      <c r="C76" s="113" t="s">
        <v>51</v>
      </c>
      <c r="D76" s="133" t="s">
        <v>86</v>
      </c>
      <c r="E76" s="133" t="s">
        <v>115</v>
      </c>
      <c r="F76" s="134" t="s">
        <v>113</v>
      </c>
      <c r="G76" s="111">
        <v>10</v>
      </c>
      <c r="H76" s="111"/>
      <c r="I76" s="111">
        <v>10</v>
      </c>
      <c r="J76" s="115">
        <v>0</v>
      </c>
      <c r="K76" s="111"/>
      <c r="L76" s="115">
        <v>0</v>
      </c>
      <c r="M76" s="111">
        <v>10</v>
      </c>
      <c r="N76" s="111"/>
      <c r="O76" s="111">
        <v>10</v>
      </c>
      <c r="P76" s="97"/>
      <c r="Q76" s="97"/>
    </row>
    <row r="77" spans="1:17" ht="31.5" x14ac:dyDescent="0.2">
      <c r="A77" s="40"/>
      <c r="B77" s="113" t="s">
        <v>116</v>
      </c>
      <c r="C77" s="113" t="s">
        <v>51</v>
      </c>
      <c r="D77" s="133" t="s">
        <v>86</v>
      </c>
      <c r="E77" s="133" t="s">
        <v>117</v>
      </c>
      <c r="F77" s="134" t="s">
        <v>11</v>
      </c>
      <c r="G77" s="111">
        <f t="shared" ref="G77:O79" si="9">G78</f>
        <v>150</v>
      </c>
      <c r="H77" s="111">
        <f t="shared" si="9"/>
        <v>0</v>
      </c>
      <c r="I77" s="111">
        <f t="shared" si="9"/>
        <v>150</v>
      </c>
      <c r="J77" s="114">
        <f t="shared" si="9"/>
        <v>0</v>
      </c>
      <c r="K77" s="111">
        <f>K78</f>
        <v>0</v>
      </c>
      <c r="L77" s="114">
        <f t="shared" si="9"/>
        <v>0</v>
      </c>
      <c r="M77" s="111">
        <f t="shared" si="9"/>
        <v>150</v>
      </c>
      <c r="N77" s="111">
        <f t="shared" si="9"/>
        <v>0</v>
      </c>
      <c r="O77" s="111">
        <f t="shared" si="9"/>
        <v>150</v>
      </c>
      <c r="P77" s="97"/>
      <c r="Q77" s="97"/>
    </row>
    <row r="78" spans="1:17" ht="63" x14ac:dyDescent="0.2">
      <c r="A78" s="40"/>
      <c r="B78" s="113" t="s">
        <v>118</v>
      </c>
      <c r="C78" s="113" t="s">
        <v>51</v>
      </c>
      <c r="D78" s="133" t="s">
        <v>86</v>
      </c>
      <c r="E78" s="133" t="s">
        <v>119</v>
      </c>
      <c r="F78" s="134" t="s">
        <v>11</v>
      </c>
      <c r="G78" s="111">
        <f t="shared" si="9"/>
        <v>150</v>
      </c>
      <c r="H78" s="111">
        <f t="shared" si="9"/>
        <v>0</v>
      </c>
      <c r="I78" s="111">
        <f t="shared" si="9"/>
        <v>150</v>
      </c>
      <c r="J78" s="114">
        <f t="shared" si="9"/>
        <v>0</v>
      </c>
      <c r="K78" s="111">
        <f>K79</f>
        <v>0</v>
      </c>
      <c r="L78" s="114">
        <f t="shared" si="9"/>
        <v>0</v>
      </c>
      <c r="M78" s="111">
        <f t="shared" si="9"/>
        <v>150</v>
      </c>
      <c r="N78" s="111">
        <f t="shared" si="9"/>
        <v>0</v>
      </c>
      <c r="O78" s="111">
        <f t="shared" si="9"/>
        <v>150</v>
      </c>
      <c r="P78" s="97"/>
      <c r="Q78" s="97"/>
    </row>
    <row r="79" spans="1:17" ht="47.25" x14ac:dyDescent="0.2">
      <c r="A79" s="40"/>
      <c r="B79" s="113" t="s">
        <v>120</v>
      </c>
      <c r="C79" s="113" t="s">
        <v>51</v>
      </c>
      <c r="D79" s="133" t="s">
        <v>86</v>
      </c>
      <c r="E79" s="133" t="s">
        <v>121</v>
      </c>
      <c r="F79" s="134" t="s">
        <v>11</v>
      </c>
      <c r="G79" s="111">
        <f>G80</f>
        <v>150</v>
      </c>
      <c r="H79" s="111"/>
      <c r="I79" s="111">
        <f>I80</f>
        <v>150</v>
      </c>
      <c r="J79" s="114">
        <f t="shared" si="9"/>
        <v>0</v>
      </c>
      <c r="K79" s="111"/>
      <c r="L79" s="114">
        <f t="shared" si="9"/>
        <v>0</v>
      </c>
      <c r="M79" s="111">
        <f t="shared" si="9"/>
        <v>150</v>
      </c>
      <c r="N79" s="111">
        <f t="shared" si="9"/>
        <v>0</v>
      </c>
      <c r="O79" s="111">
        <f t="shared" si="9"/>
        <v>150</v>
      </c>
      <c r="P79" s="97"/>
      <c r="Q79" s="97"/>
    </row>
    <row r="80" spans="1:17" ht="31.5" x14ac:dyDescent="0.2">
      <c r="A80" s="40"/>
      <c r="B80" s="113" t="s">
        <v>40</v>
      </c>
      <c r="C80" s="113" t="s">
        <v>51</v>
      </c>
      <c r="D80" s="133" t="s">
        <v>86</v>
      </c>
      <c r="E80" s="133" t="s">
        <v>121</v>
      </c>
      <c r="F80" s="134" t="s">
        <v>41</v>
      </c>
      <c r="G80" s="111">
        <v>150</v>
      </c>
      <c r="H80" s="111"/>
      <c r="I80" s="111">
        <v>150</v>
      </c>
      <c r="J80" s="115">
        <v>0</v>
      </c>
      <c r="K80" s="111"/>
      <c r="L80" s="115">
        <v>0</v>
      </c>
      <c r="M80" s="111">
        <v>150</v>
      </c>
      <c r="N80" s="111"/>
      <c r="O80" s="111">
        <v>150</v>
      </c>
      <c r="P80" s="97"/>
      <c r="Q80" s="97"/>
    </row>
    <row r="81" spans="1:17" ht="31.5" x14ac:dyDescent="0.2">
      <c r="A81" s="40"/>
      <c r="B81" s="113" t="s">
        <v>122</v>
      </c>
      <c r="C81" s="113" t="s">
        <v>51</v>
      </c>
      <c r="D81" s="133" t="s">
        <v>86</v>
      </c>
      <c r="E81" s="133" t="s">
        <v>123</v>
      </c>
      <c r="F81" s="134" t="s">
        <v>11</v>
      </c>
      <c r="G81" s="111">
        <f t="shared" ref="G81:O82" si="10">G82</f>
        <v>2900</v>
      </c>
      <c r="H81" s="111">
        <f t="shared" si="10"/>
        <v>100</v>
      </c>
      <c r="I81" s="111">
        <f t="shared" si="10"/>
        <v>3000</v>
      </c>
      <c r="J81" s="114">
        <f t="shared" ref="J81:O81" si="11">J82+J86</f>
        <v>100</v>
      </c>
      <c r="K81" s="111">
        <f t="shared" si="11"/>
        <v>0</v>
      </c>
      <c r="L81" s="111">
        <f t="shared" si="11"/>
        <v>100</v>
      </c>
      <c r="M81" s="111">
        <f t="shared" si="11"/>
        <v>3000</v>
      </c>
      <c r="N81" s="111">
        <f t="shared" si="11"/>
        <v>100</v>
      </c>
      <c r="O81" s="111">
        <f t="shared" si="11"/>
        <v>3100</v>
      </c>
      <c r="P81" s="97"/>
      <c r="Q81" s="97"/>
    </row>
    <row r="82" spans="1:17" ht="110.25" x14ac:dyDescent="0.2">
      <c r="A82" s="40"/>
      <c r="B82" s="113" t="s">
        <v>124</v>
      </c>
      <c r="C82" s="113" t="s">
        <v>51</v>
      </c>
      <c r="D82" s="133" t="s">
        <v>86</v>
      </c>
      <c r="E82" s="133" t="s">
        <v>125</v>
      </c>
      <c r="F82" s="134" t="s">
        <v>11</v>
      </c>
      <c r="G82" s="111">
        <f t="shared" si="10"/>
        <v>2900</v>
      </c>
      <c r="H82" s="111">
        <f>H83</f>
        <v>100</v>
      </c>
      <c r="I82" s="111">
        <f t="shared" si="10"/>
        <v>3000</v>
      </c>
      <c r="J82" s="114">
        <f t="shared" si="10"/>
        <v>0</v>
      </c>
      <c r="K82" s="111">
        <f>K83+K84</f>
        <v>0</v>
      </c>
      <c r="L82" s="114">
        <f t="shared" si="10"/>
        <v>0</v>
      </c>
      <c r="M82" s="111">
        <f t="shared" si="10"/>
        <v>2900</v>
      </c>
      <c r="N82" s="111">
        <f t="shared" si="10"/>
        <v>100</v>
      </c>
      <c r="O82" s="111">
        <f t="shared" si="10"/>
        <v>3000</v>
      </c>
      <c r="P82" s="97"/>
      <c r="Q82" s="97"/>
    </row>
    <row r="83" spans="1:17" ht="31.5" x14ac:dyDescent="0.2">
      <c r="A83" s="40"/>
      <c r="B83" s="113" t="s">
        <v>126</v>
      </c>
      <c r="C83" s="113" t="s">
        <v>51</v>
      </c>
      <c r="D83" s="133" t="s">
        <v>86</v>
      </c>
      <c r="E83" s="133" t="s">
        <v>127</v>
      </c>
      <c r="F83" s="134" t="s">
        <v>11</v>
      </c>
      <c r="G83" s="111">
        <f>G84+G85</f>
        <v>2900</v>
      </c>
      <c r="H83" s="111">
        <f>H84+H85</f>
        <v>100</v>
      </c>
      <c r="I83" s="111">
        <f>I84+I85</f>
        <v>3000</v>
      </c>
      <c r="J83" s="114">
        <f>J84+J85</f>
        <v>0</v>
      </c>
      <c r="K83" s="111"/>
      <c r="L83" s="114">
        <f>L84+L85</f>
        <v>0</v>
      </c>
      <c r="M83" s="111">
        <f>M84+M85</f>
        <v>2900</v>
      </c>
      <c r="N83" s="111">
        <f>N84+N85</f>
        <v>100</v>
      </c>
      <c r="O83" s="111">
        <f>O84+O85</f>
        <v>3000</v>
      </c>
      <c r="P83" s="97"/>
      <c r="Q83" s="97"/>
    </row>
    <row r="84" spans="1:17" ht="31.5" x14ac:dyDescent="0.2">
      <c r="A84" s="40"/>
      <c r="B84" s="113" t="s">
        <v>40</v>
      </c>
      <c r="C84" s="113" t="s">
        <v>51</v>
      </c>
      <c r="D84" s="133" t="s">
        <v>86</v>
      </c>
      <c r="E84" s="133" t="s">
        <v>127</v>
      </c>
      <c r="F84" s="134" t="s">
        <v>41</v>
      </c>
      <c r="G84" s="111">
        <v>2836.8</v>
      </c>
      <c r="H84" s="111">
        <v>100</v>
      </c>
      <c r="I84" s="111">
        <f>SUM(G84:H84)</f>
        <v>2936.8</v>
      </c>
      <c r="J84" s="115">
        <v>0</v>
      </c>
      <c r="K84" s="111"/>
      <c r="L84" s="115">
        <v>0</v>
      </c>
      <c r="M84" s="111">
        <f>SUM(G84)</f>
        <v>2836.8</v>
      </c>
      <c r="N84" s="111">
        <f>SUM(H84)</f>
        <v>100</v>
      </c>
      <c r="O84" s="111">
        <f>SUM(I84)</f>
        <v>2936.8</v>
      </c>
      <c r="P84" s="97"/>
      <c r="Q84" s="97"/>
    </row>
    <row r="85" spans="1:17" ht="15.75" x14ac:dyDescent="0.2">
      <c r="A85" s="40"/>
      <c r="B85" s="113" t="s">
        <v>70</v>
      </c>
      <c r="C85" s="113" t="s">
        <v>51</v>
      </c>
      <c r="D85" s="133" t="s">
        <v>86</v>
      </c>
      <c r="E85" s="133" t="s">
        <v>127</v>
      </c>
      <c r="F85" s="134" t="s">
        <v>71</v>
      </c>
      <c r="G85" s="111">
        <v>63.2</v>
      </c>
      <c r="H85" s="111"/>
      <c r="I85" s="111">
        <v>63.2</v>
      </c>
      <c r="J85" s="115">
        <v>0</v>
      </c>
      <c r="K85" s="111"/>
      <c r="L85" s="115">
        <v>0</v>
      </c>
      <c r="M85" s="111">
        <v>63.2</v>
      </c>
      <c r="N85" s="111"/>
      <c r="O85" s="111">
        <v>63.2</v>
      </c>
      <c r="P85" s="97"/>
      <c r="Q85" s="97"/>
    </row>
    <row r="86" spans="1:17" ht="47.25" x14ac:dyDescent="0.2">
      <c r="A86" s="40"/>
      <c r="B86" s="113" t="s">
        <v>564</v>
      </c>
      <c r="C86" s="113">
        <v>992</v>
      </c>
      <c r="D86" s="133" t="s">
        <v>86</v>
      </c>
      <c r="E86" s="133">
        <v>1030200000</v>
      </c>
      <c r="F86" s="134"/>
      <c r="G86" s="111"/>
      <c r="H86" s="111"/>
      <c r="I86" s="111"/>
      <c r="J86" s="115">
        <f t="shared" ref="J86:L87" si="12">SUM(J87)</f>
        <v>100</v>
      </c>
      <c r="K86" s="111">
        <f t="shared" si="12"/>
        <v>0</v>
      </c>
      <c r="L86" s="111">
        <f t="shared" si="12"/>
        <v>100</v>
      </c>
      <c r="M86" s="111">
        <f>SUM(J86)</f>
        <v>100</v>
      </c>
      <c r="N86" s="111">
        <f t="shared" ref="N86:O88" si="13">SUM(K86)</f>
        <v>0</v>
      </c>
      <c r="O86" s="111">
        <f t="shared" si="13"/>
        <v>100</v>
      </c>
      <c r="P86" s="97"/>
      <c r="Q86" s="97"/>
    </row>
    <row r="87" spans="1:17" ht="47.25" x14ac:dyDescent="0.2">
      <c r="A87" s="40"/>
      <c r="B87" s="113" t="s">
        <v>565</v>
      </c>
      <c r="C87" s="113">
        <v>992</v>
      </c>
      <c r="D87" s="133" t="s">
        <v>86</v>
      </c>
      <c r="E87" s="133">
        <v>1030222500</v>
      </c>
      <c r="F87" s="134"/>
      <c r="G87" s="111"/>
      <c r="H87" s="111"/>
      <c r="I87" s="111"/>
      <c r="J87" s="115">
        <f t="shared" si="12"/>
        <v>100</v>
      </c>
      <c r="K87" s="111">
        <f t="shared" si="12"/>
        <v>0</v>
      </c>
      <c r="L87" s="111">
        <f t="shared" si="12"/>
        <v>100</v>
      </c>
      <c r="M87" s="111">
        <f>SUM(J87)</f>
        <v>100</v>
      </c>
      <c r="N87" s="111">
        <f t="shared" si="13"/>
        <v>0</v>
      </c>
      <c r="O87" s="111">
        <f t="shared" si="13"/>
        <v>100</v>
      </c>
      <c r="P87" s="97"/>
      <c r="Q87" s="97"/>
    </row>
    <row r="88" spans="1:17" ht="31.5" x14ac:dyDescent="0.2">
      <c r="A88" s="40"/>
      <c r="B88" s="113" t="s">
        <v>40</v>
      </c>
      <c r="C88" s="113">
        <v>992</v>
      </c>
      <c r="D88" s="133" t="s">
        <v>86</v>
      </c>
      <c r="E88" s="133">
        <v>1030222500</v>
      </c>
      <c r="F88" s="134">
        <v>200</v>
      </c>
      <c r="G88" s="111"/>
      <c r="H88" s="111"/>
      <c r="I88" s="111"/>
      <c r="J88" s="115">
        <v>100</v>
      </c>
      <c r="K88" s="111"/>
      <c r="L88" s="115">
        <f>SUM(J88)</f>
        <v>100</v>
      </c>
      <c r="M88" s="111">
        <f>SUM(J88)</f>
        <v>100</v>
      </c>
      <c r="N88" s="111">
        <f t="shared" si="13"/>
        <v>0</v>
      </c>
      <c r="O88" s="111">
        <f t="shared" si="13"/>
        <v>100</v>
      </c>
      <c r="P88" s="97"/>
      <c r="Q88" s="97"/>
    </row>
    <row r="89" spans="1:17" ht="31.5" x14ac:dyDescent="0.2">
      <c r="A89" s="40"/>
      <c r="B89" s="113" t="s">
        <v>128</v>
      </c>
      <c r="C89" s="113" t="s">
        <v>51</v>
      </c>
      <c r="D89" s="133" t="s">
        <v>86</v>
      </c>
      <c r="E89" s="133" t="s">
        <v>129</v>
      </c>
      <c r="F89" s="134" t="s">
        <v>11</v>
      </c>
      <c r="G89" s="111">
        <f>G90+G103</f>
        <v>50798.9</v>
      </c>
      <c r="H89" s="111">
        <f>H90+H103</f>
        <v>338.5</v>
      </c>
      <c r="I89" s="111">
        <f>I90+I103</f>
        <v>51137.4</v>
      </c>
      <c r="J89" s="114">
        <f>J90+J103</f>
        <v>0</v>
      </c>
      <c r="K89" s="111">
        <f>K90+K95</f>
        <v>0</v>
      </c>
      <c r="L89" s="114">
        <f>L90+L103</f>
        <v>0</v>
      </c>
      <c r="M89" s="111">
        <f>M90+M103</f>
        <v>50798.9</v>
      </c>
      <c r="N89" s="111">
        <f>N90+N103</f>
        <v>338.5</v>
      </c>
      <c r="O89" s="111">
        <f>O90+O103</f>
        <v>51137.4</v>
      </c>
      <c r="P89" s="97"/>
      <c r="Q89" s="97"/>
    </row>
    <row r="90" spans="1:17" ht="15.75" x14ac:dyDescent="0.2">
      <c r="A90" s="40"/>
      <c r="B90" s="113" t="s">
        <v>130</v>
      </c>
      <c r="C90" s="113" t="s">
        <v>51</v>
      </c>
      <c r="D90" s="133" t="s">
        <v>86</v>
      </c>
      <c r="E90" s="133" t="s">
        <v>131</v>
      </c>
      <c r="F90" s="134" t="s">
        <v>11</v>
      </c>
      <c r="G90" s="111">
        <f>G91+G96</f>
        <v>50598.9</v>
      </c>
      <c r="H90" s="111">
        <f>H91+H96</f>
        <v>338.5</v>
      </c>
      <c r="I90" s="111">
        <f>I91+I96</f>
        <v>50937.4</v>
      </c>
      <c r="J90" s="114">
        <f>J91+J96</f>
        <v>0</v>
      </c>
      <c r="K90" s="111">
        <f>K91</f>
        <v>0</v>
      </c>
      <c r="L90" s="114">
        <f>L91+L96</f>
        <v>0</v>
      </c>
      <c r="M90" s="111">
        <f>M91+M96</f>
        <v>50598.9</v>
      </c>
      <c r="N90" s="111">
        <f>N91+N96</f>
        <v>338.5</v>
      </c>
      <c r="O90" s="111">
        <f>O91+O96</f>
        <v>50937.4</v>
      </c>
      <c r="P90" s="97"/>
      <c r="Q90" s="97"/>
    </row>
    <row r="91" spans="1:17" ht="15.75" x14ac:dyDescent="0.2">
      <c r="A91" s="40"/>
      <c r="B91" s="113" t="s">
        <v>132</v>
      </c>
      <c r="C91" s="113" t="s">
        <v>51</v>
      </c>
      <c r="D91" s="133" t="s">
        <v>86</v>
      </c>
      <c r="E91" s="133" t="s">
        <v>133</v>
      </c>
      <c r="F91" s="134" t="s">
        <v>11</v>
      </c>
      <c r="G91" s="111">
        <f>G92</f>
        <v>38315</v>
      </c>
      <c r="H91" s="111"/>
      <c r="I91" s="111">
        <f>I92</f>
        <v>38315</v>
      </c>
      <c r="J91" s="114">
        <f>J92</f>
        <v>0</v>
      </c>
      <c r="K91" s="111">
        <f>K92+K93+K94</f>
        <v>0</v>
      </c>
      <c r="L91" s="114">
        <f>L92</f>
        <v>0</v>
      </c>
      <c r="M91" s="111">
        <f>M92</f>
        <v>38315</v>
      </c>
      <c r="N91" s="111">
        <f>N92</f>
        <v>0</v>
      </c>
      <c r="O91" s="111">
        <f>O92</f>
        <v>38315</v>
      </c>
      <c r="P91" s="97"/>
      <c r="Q91" s="97"/>
    </row>
    <row r="92" spans="1:17" ht="31.5" x14ac:dyDescent="0.2">
      <c r="A92" s="40"/>
      <c r="B92" s="113" t="s">
        <v>134</v>
      </c>
      <c r="C92" s="113" t="s">
        <v>51</v>
      </c>
      <c r="D92" s="133" t="s">
        <v>86</v>
      </c>
      <c r="E92" s="133" t="s">
        <v>135</v>
      </c>
      <c r="F92" s="134" t="s">
        <v>11</v>
      </c>
      <c r="G92" s="111">
        <f>G93+G94+G95</f>
        <v>38315</v>
      </c>
      <c r="H92" s="111">
        <f>SUM(H93:H95)</f>
        <v>0</v>
      </c>
      <c r="I92" s="111">
        <f>I93+I94+I95</f>
        <v>38315</v>
      </c>
      <c r="J92" s="114">
        <f>J93+J94+J95</f>
        <v>0</v>
      </c>
      <c r="K92" s="111"/>
      <c r="L92" s="114">
        <f>L93+L94+L95</f>
        <v>0</v>
      </c>
      <c r="M92" s="111">
        <f>M93+M94+M95</f>
        <v>38315</v>
      </c>
      <c r="N92" s="111">
        <f>N93+N94+N95</f>
        <v>0</v>
      </c>
      <c r="O92" s="111">
        <f>O93+O94+O95</f>
        <v>38315</v>
      </c>
      <c r="P92" s="97"/>
      <c r="Q92" s="97"/>
    </row>
    <row r="93" spans="1:17" ht="37.9" customHeight="1" x14ac:dyDescent="0.2">
      <c r="A93" s="40"/>
      <c r="B93" s="113" t="s">
        <v>61</v>
      </c>
      <c r="C93" s="113" t="s">
        <v>51</v>
      </c>
      <c r="D93" s="133" t="s">
        <v>86</v>
      </c>
      <c r="E93" s="133" t="s">
        <v>135</v>
      </c>
      <c r="F93" s="134" t="s">
        <v>62</v>
      </c>
      <c r="G93" s="111">
        <v>27235.3</v>
      </c>
      <c r="H93" s="111">
        <v>-260</v>
      </c>
      <c r="I93" s="111">
        <f>SUM(G93)+H93</f>
        <v>26975.3</v>
      </c>
      <c r="J93" s="115">
        <v>0</v>
      </c>
      <c r="K93" s="111"/>
      <c r="L93" s="115">
        <v>0</v>
      </c>
      <c r="M93" s="111">
        <f t="shared" ref="M93:O94" si="14">SUM(G93)</f>
        <v>27235.3</v>
      </c>
      <c r="N93" s="111">
        <f t="shared" si="14"/>
        <v>-260</v>
      </c>
      <c r="O93" s="111">
        <f t="shared" si="14"/>
        <v>26975.3</v>
      </c>
      <c r="P93" s="97"/>
      <c r="Q93" s="97"/>
    </row>
    <row r="94" spans="1:17" ht="31.5" x14ac:dyDescent="0.2">
      <c r="A94" s="40"/>
      <c r="B94" s="113" t="s">
        <v>40</v>
      </c>
      <c r="C94" s="113" t="s">
        <v>51</v>
      </c>
      <c r="D94" s="133" t="s">
        <v>86</v>
      </c>
      <c r="E94" s="133" t="s">
        <v>135</v>
      </c>
      <c r="F94" s="134" t="s">
        <v>41</v>
      </c>
      <c r="G94" s="111">
        <v>11002.3</v>
      </c>
      <c r="H94" s="111">
        <v>260</v>
      </c>
      <c r="I94" s="111">
        <f>SUM(G94)+H94</f>
        <v>11262.3</v>
      </c>
      <c r="J94" s="115">
        <v>0</v>
      </c>
      <c r="K94" s="111"/>
      <c r="L94" s="115">
        <v>0</v>
      </c>
      <c r="M94" s="111">
        <f t="shared" si="14"/>
        <v>11002.3</v>
      </c>
      <c r="N94" s="111">
        <f t="shared" si="14"/>
        <v>260</v>
      </c>
      <c r="O94" s="111">
        <f t="shared" si="14"/>
        <v>11262.3</v>
      </c>
      <c r="P94" s="97"/>
      <c r="Q94" s="97"/>
    </row>
    <row r="95" spans="1:17" ht="15.75" x14ac:dyDescent="0.2">
      <c r="A95" s="40"/>
      <c r="B95" s="113" t="s">
        <v>70</v>
      </c>
      <c r="C95" s="113" t="s">
        <v>51</v>
      </c>
      <c r="D95" s="133" t="s">
        <v>86</v>
      </c>
      <c r="E95" s="133" t="s">
        <v>135</v>
      </c>
      <c r="F95" s="134" t="s">
        <v>71</v>
      </c>
      <c r="G95" s="111">
        <v>77.400000000000006</v>
      </c>
      <c r="H95" s="111"/>
      <c r="I95" s="111">
        <v>77.400000000000006</v>
      </c>
      <c r="J95" s="115">
        <v>0</v>
      </c>
      <c r="K95" s="111"/>
      <c r="L95" s="115">
        <v>0</v>
      </c>
      <c r="M95" s="111">
        <v>77.400000000000006</v>
      </c>
      <c r="N95" s="111"/>
      <c r="O95" s="111">
        <v>77.400000000000006</v>
      </c>
      <c r="P95" s="97"/>
      <c r="Q95" s="97"/>
    </row>
    <row r="96" spans="1:17" ht="31.5" x14ac:dyDescent="0.2">
      <c r="A96" s="40"/>
      <c r="B96" s="113" t="s">
        <v>136</v>
      </c>
      <c r="C96" s="113" t="s">
        <v>51</v>
      </c>
      <c r="D96" s="133" t="s">
        <v>86</v>
      </c>
      <c r="E96" s="133" t="s">
        <v>137</v>
      </c>
      <c r="F96" s="134" t="s">
        <v>11</v>
      </c>
      <c r="G96" s="111">
        <f>G97+G100</f>
        <v>12283.9</v>
      </c>
      <c r="H96" s="111">
        <f>H97+H100</f>
        <v>338.5</v>
      </c>
      <c r="I96" s="111">
        <f>I97+I100</f>
        <v>12622.4</v>
      </c>
      <c r="J96" s="114">
        <f>J97+J100</f>
        <v>0</v>
      </c>
      <c r="K96" s="111">
        <f>K97+K98</f>
        <v>0</v>
      </c>
      <c r="L96" s="114">
        <f>L97+L100</f>
        <v>0</v>
      </c>
      <c r="M96" s="111">
        <f>M97+M100</f>
        <v>12283.9</v>
      </c>
      <c r="N96" s="111">
        <f>N97+N100</f>
        <v>338.5</v>
      </c>
      <c r="O96" s="111">
        <f>O97+O100</f>
        <v>12622.4</v>
      </c>
      <c r="P96" s="97"/>
      <c r="Q96" s="97"/>
    </row>
    <row r="97" spans="1:17" ht="31.5" x14ac:dyDescent="0.2">
      <c r="A97" s="40"/>
      <c r="B97" s="113" t="s">
        <v>134</v>
      </c>
      <c r="C97" s="113" t="s">
        <v>51</v>
      </c>
      <c r="D97" s="133" t="s">
        <v>86</v>
      </c>
      <c r="E97" s="133" t="s">
        <v>138</v>
      </c>
      <c r="F97" s="134" t="s">
        <v>11</v>
      </c>
      <c r="G97" s="111">
        <f>G98+G99</f>
        <v>10245</v>
      </c>
      <c r="H97" s="111">
        <f>SUM(H98)+H99</f>
        <v>0</v>
      </c>
      <c r="I97" s="111">
        <f>I98+I99</f>
        <v>10245</v>
      </c>
      <c r="J97" s="114">
        <f>J98+J99</f>
        <v>0</v>
      </c>
      <c r="K97" s="111"/>
      <c r="L97" s="114">
        <f>L98+L99</f>
        <v>0</v>
      </c>
      <c r="M97" s="111">
        <f>M98+M99</f>
        <v>10245</v>
      </c>
      <c r="N97" s="111">
        <f>N98+N99</f>
        <v>0</v>
      </c>
      <c r="O97" s="111">
        <f>O98+O99</f>
        <v>10245</v>
      </c>
      <c r="P97" s="97"/>
      <c r="Q97" s="97"/>
    </row>
    <row r="98" spans="1:17" ht="78.75" x14ac:dyDescent="0.2">
      <c r="A98" s="40"/>
      <c r="B98" s="113" t="s">
        <v>61</v>
      </c>
      <c r="C98" s="113" t="s">
        <v>51</v>
      </c>
      <c r="D98" s="133" t="s">
        <v>86</v>
      </c>
      <c r="E98" s="133" t="s">
        <v>138</v>
      </c>
      <c r="F98" s="134" t="s">
        <v>62</v>
      </c>
      <c r="G98" s="111">
        <v>9545</v>
      </c>
      <c r="H98" s="111"/>
      <c r="I98" s="111">
        <f>SUM(G98)+H98</f>
        <v>9545</v>
      </c>
      <c r="J98" s="115">
        <v>0</v>
      </c>
      <c r="K98" s="111"/>
      <c r="L98" s="115">
        <v>0</v>
      </c>
      <c r="M98" s="111">
        <f>SUM(G98)</f>
        <v>9545</v>
      </c>
      <c r="N98" s="111">
        <f>SUM(H98)</f>
        <v>0</v>
      </c>
      <c r="O98" s="111">
        <f>SUM(I98)</f>
        <v>9545</v>
      </c>
      <c r="P98" s="97"/>
      <c r="Q98" s="97"/>
    </row>
    <row r="99" spans="1:17" ht="31.5" x14ac:dyDescent="0.2">
      <c r="A99" s="40"/>
      <c r="B99" s="113" t="s">
        <v>40</v>
      </c>
      <c r="C99" s="113" t="s">
        <v>51</v>
      </c>
      <c r="D99" s="133" t="s">
        <v>86</v>
      </c>
      <c r="E99" s="133" t="s">
        <v>138</v>
      </c>
      <c r="F99" s="134" t="s">
        <v>41</v>
      </c>
      <c r="G99" s="111">
        <v>700</v>
      </c>
      <c r="H99" s="111"/>
      <c r="I99" s="111">
        <f>700+H99</f>
        <v>700</v>
      </c>
      <c r="J99" s="115">
        <v>0</v>
      </c>
      <c r="K99" s="111"/>
      <c r="L99" s="115">
        <v>0</v>
      </c>
      <c r="M99" s="111">
        <v>700</v>
      </c>
      <c r="N99" s="111">
        <f>SUM(H99)</f>
        <v>0</v>
      </c>
      <c r="O99" s="111">
        <f>SUM(I99)</f>
        <v>700</v>
      </c>
      <c r="P99" s="97"/>
      <c r="Q99" s="97"/>
    </row>
    <row r="100" spans="1:17" ht="47.25" x14ac:dyDescent="0.2">
      <c r="A100" s="40"/>
      <c r="B100" s="113" t="s">
        <v>139</v>
      </c>
      <c r="C100" s="113" t="s">
        <v>51</v>
      </c>
      <c r="D100" s="133" t="s">
        <v>86</v>
      </c>
      <c r="E100" s="133" t="s">
        <v>140</v>
      </c>
      <c r="F100" s="134" t="s">
        <v>11</v>
      </c>
      <c r="G100" s="111">
        <f>G101+G102</f>
        <v>2038.9</v>
      </c>
      <c r="H100" s="111">
        <f>SUM(H101)+H102</f>
        <v>338.5</v>
      </c>
      <c r="I100" s="111">
        <f>I101+I102</f>
        <v>2377.4</v>
      </c>
      <c r="J100" s="114">
        <f>J101+J102</f>
        <v>0</v>
      </c>
      <c r="K100" s="111"/>
      <c r="L100" s="114">
        <f>L101+L102</f>
        <v>0</v>
      </c>
      <c r="M100" s="111">
        <f>M101+M102</f>
        <v>2038.9</v>
      </c>
      <c r="N100" s="111">
        <f>N101+N102</f>
        <v>338.5</v>
      </c>
      <c r="O100" s="111">
        <f>O101+O102</f>
        <v>2377.4</v>
      </c>
      <c r="P100" s="97"/>
      <c r="Q100" s="97"/>
    </row>
    <row r="101" spans="1:17" ht="31.5" x14ac:dyDescent="0.2">
      <c r="A101" s="40"/>
      <c r="B101" s="113" t="s">
        <v>40</v>
      </c>
      <c r="C101" s="113" t="s">
        <v>51</v>
      </c>
      <c r="D101" s="133" t="s">
        <v>86</v>
      </c>
      <c r="E101" s="133" t="s">
        <v>140</v>
      </c>
      <c r="F101" s="134" t="s">
        <v>41</v>
      </c>
      <c r="G101" s="111">
        <v>1203</v>
      </c>
      <c r="H101" s="111">
        <v>200</v>
      </c>
      <c r="I101" s="111">
        <f>SUM(G101)+H101</f>
        <v>1403</v>
      </c>
      <c r="J101" s="115">
        <v>0</v>
      </c>
      <c r="K101" s="111"/>
      <c r="L101" s="115">
        <v>0</v>
      </c>
      <c r="M101" s="111">
        <f t="shared" ref="M101:O102" si="15">SUM(G101)</f>
        <v>1203</v>
      </c>
      <c r="N101" s="111">
        <f t="shared" si="15"/>
        <v>200</v>
      </c>
      <c r="O101" s="111">
        <f t="shared" si="15"/>
        <v>1403</v>
      </c>
      <c r="P101" s="97"/>
      <c r="Q101" s="97"/>
    </row>
    <row r="102" spans="1:17" ht="15.75" x14ac:dyDescent="0.2">
      <c r="A102" s="40"/>
      <c r="B102" s="113" t="s">
        <v>70</v>
      </c>
      <c r="C102" s="113" t="s">
        <v>51</v>
      </c>
      <c r="D102" s="133" t="s">
        <v>86</v>
      </c>
      <c r="E102" s="133" t="s">
        <v>140</v>
      </c>
      <c r="F102" s="134" t="s">
        <v>71</v>
      </c>
      <c r="G102" s="111">
        <v>835.9</v>
      </c>
      <c r="H102" s="111">
        <v>138.5</v>
      </c>
      <c r="I102" s="111">
        <f>SUM(G102:H102)</f>
        <v>974.4</v>
      </c>
      <c r="J102" s="115">
        <v>0</v>
      </c>
      <c r="K102" s="111"/>
      <c r="L102" s="115">
        <v>0</v>
      </c>
      <c r="M102" s="111">
        <f t="shared" si="15"/>
        <v>835.9</v>
      </c>
      <c r="N102" s="111">
        <f t="shared" si="15"/>
        <v>138.5</v>
      </c>
      <c r="O102" s="111">
        <f t="shared" si="15"/>
        <v>974.4</v>
      </c>
      <c r="P102" s="97"/>
      <c r="Q102" s="97"/>
    </row>
    <row r="103" spans="1:17" ht="15.75" x14ac:dyDescent="0.2">
      <c r="A103" s="40"/>
      <c r="B103" s="113" t="s">
        <v>141</v>
      </c>
      <c r="C103" s="113" t="s">
        <v>51</v>
      </c>
      <c r="D103" s="133" t="s">
        <v>86</v>
      </c>
      <c r="E103" s="133" t="s">
        <v>142</v>
      </c>
      <c r="F103" s="134" t="s">
        <v>11</v>
      </c>
      <c r="G103" s="111">
        <f t="shared" ref="G103:O105" si="16">G104</f>
        <v>200</v>
      </c>
      <c r="H103" s="111">
        <f t="shared" si="16"/>
        <v>0</v>
      </c>
      <c r="I103" s="111">
        <f t="shared" si="16"/>
        <v>200</v>
      </c>
      <c r="J103" s="114">
        <f t="shared" si="16"/>
        <v>0</v>
      </c>
      <c r="K103" s="111">
        <f>K104</f>
        <v>0</v>
      </c>
      <c r="L103" s="114">
        <f t="shared" si="16"/>
        <v>0</v>
      </c>
      <c r="M103" s="111">
        <f t="shared" si="16"/>
        <v>200</v>
      </c>
      <c r="N103" s="111">
        <f t="shared" si="16"/>
        <v>0</v>
      </c>
      <c r="O103" s="111">
        <f t="shared" si="16"/>
        <v>200</v>
      </c>
      <c r="P103" s="97"/>
      <c r="Q103" s="97"/>
    </row>
    <row r="104" spans="1:17" ht="47.25" x14ac:dyDescent="0.2">
      <c r="A104" s="40"/>
      <c r="B104" s="113" t="s">
        <v>143</v>
      </c>
      <c r="C104" s="113" t="s">
        <v>51</v>
      </c>
      <c r="D104" s="133" t="s">
        <v>86</v>
      </c>
      <c r="E104" s="133" t="s">
        <v>144</v>
      </c>
      <c r="F104" s="134" t="s">
        <v>11</v>
      </c>
      <c r="G104" s="111">
        <f t="shared" si="16"/>
        <v>200</v>
      </c>
      <c r="H104" s="111">
        <f t="shared" si="16"/>
        <v>0</v>
      </c>
      <c r="I104" s="111">
        <f t="shared" si="16"/>
        <v>200</v>
      </c>
      <c r="J104" s="114">
        <f t="shared" si="16"/>
        <v>0</v>
      </c>
      <c r="K104" s="111">
        <f>K105</f>
        <v>0</v>
      </c>
      <c r="L104" s="114">
        <f t="shared" si="16"/>
        <v>0</v>
      </c>
      <c r="M104" s="111">
        <f t="shared" si="16"/>
        <v>200</v>
      </c>
      <c r="N104" s="111">
        <f t="shared" si="16"/>
        <v>0</v>
      </c>
      <c r="O104" s="111">
        <f t="shared" si="16"/>
        <v>200</v>
      </c>
      <c r="P104" s="97"/>
      <c r="Q104" s="97"/>
    </row>
    <row r="105" spans="1:17" ht="31.5" x14ac:dyDescent="0.2">
      <c r="A105" s="40"/>
      <c r="B105" s="113" t="s">
        <v>145</v>
      </c>
      <c r="C105" s="113" t="s">
        <v>51</v>
      </c>
      <c r="D105" s="133" t="s">
        <v>86</v>
      </c>
      <c r="E105" s="133" t="s">
        <v>146</v>
      </c>
      <c r="F105" s="134" t="s">
        <v>11</v>
      </c>
      <c r="G105" s="111">
        <f>G106</f>
        <v>200</v>
      </c>
      <c r="H105" s="111"/>
      <c r="I105" s="111">
        <f>I106</f>
        <v>200</v>
      </c>
      <c r="J105" s="114">
        <f t="shared" si="16"/>
        <v>0</v>
      </c>
      <c r="K105" s="111"/>
      <c r="L105" s="114">
        <f t="shared" si="16"/>
        <v>0</v>
      </c>
      <c r="M105" s="111">
        <f t="shared" si="16"/>
        <v>200</v>
      </c>
      <c r="N105" s="111">
        <f t="shared" si="16"/>
        <v>0</v>
      </c>
      <c r="O105" s="111">
        <f t="shared" si="16"/>
        <v>200</v>
      </c>
      <c r="P105" s="97"/>
      <c r="Q105" s="97"/>
    </row>
    <row r="106" spans="1:17" ht="31.5" x14ac:dyDescent="0.2">
      <c r="A106" s="40"/>
      <c r="B106" s="113" t="s">
        <v>40</v>
      </c>
      <c r="C106" s="113" t="s">
        <v>51</v>
      </c>
      <c r="D106" s="133" t="s">
        <v>86</v>
      </c>
      <c r="E106" s="133" t="s">
        <v>146</v>
      </c>
      <c r="F106" s="134" t="s">
        <v>41</v>
      </c>
      <c r="G106" s="111">
        <v>200</v>
      </c>
      <c r="H106" s="111"/>
      <c r="I106" s="111">
        <v>200</v>
      </c>
      <c r="J106" s="115">
        <v>0</v>
      </c>
      <c r="K106" s="111">
        <f>K111</f>
        <v>0</v>
      </c>
      <c r="L106" s="115">
        <v>0</v>
      </c>
      <c r="M106" s="111">
        <v>200</v>
      </c>
      <c r="N106" s="111"/>
      <c r="O106" s="111">
        <v>200</v>
      </c>
      <c r="P106" s="97"/>
      <c r="Q106" s="97"/>
    </row>
    <row r="107" spans="1:17" ht="31.5" x14ac:dyDescent="0.2">
      <c r="A107" s="40"/>
      <c r="B107" s="118" t="s">
        <v>66</v>
      </c>
      <c r="C107" s="118" t="s">
        <v>51</v>
      </c>
      <c r="D107" s="136" t="s">
        <v>86</v>
      </c>
      <c r="E107" s="136" t="s">
        <v>67</v>
      </c>
      <c r="F107" s="134"/>
      <c r="G107" s="111">
        <f t="shared" ref="G107:O109" si="17">G108</f>
        <v>0</v>
      </c>
      <c r="H107" s="120">
        <f t="shared" si="17"/>
        <v>15.9</v>
      </c>
      <c r="I107" s="114">
        <f t="shared" si="17"/>
        <v>15.9</v>
      </c>
      <c r="J107" s="114">
        <f t="shared" si="17"/>
        <v>0</v>
      </c>
      <c r="K107" s="114">
        <f t="shared" si="17"/>
        <v>0</v>
      </c>
      <c r="L107" s="114">
        <f t="shared" si="17"/>
        <v>0</v>
      </c>
      <c r="M107" s="114">
        <f t="shared" si="17"/>
        <v>0</v>
      </c>
      <c r="N107" s="119">
        <f t="shared" si="17"/>
        <v>15.9</v>
      </c>
      <c r="O107" s="111">
        <f t="shared" si="17"/>
        <v>15.9</v>
      </c>
      <c r="P107" s="97"/>
      <c r="Q107" s="97"/>
    </row>
    <row r="108" spans="1:17" ht="31.5" x14ac:dyDescent="0.2">
      <c r="A108" s="40"/>
      <c r="B108" s="118" t="s">
        <v>80</v>
      </c>
      <c r="C108" s="118" t="s">
        <v>51</v>
      </c>
      <c r="D108" s="136" t="s">
        <v>86</v>
      </c>
      <c r="E108" s="136" t="s">
        <v>81</v>
      </c>
      <c r="F108" s="134"/>
      <c r="G108" s="111">
        <f t="shared" si="17"/>
        <v>0</v>
      </c>
      <c r="H108" s="120">
        <f t="shared" si="17"/>
        <v>15.9</v>
      </c>
      <c r="I108" s="114">
        <f t="shared" si="17"/>
        <v>15.9</v>
      </c>
      <c r="J108" s="114">
        <f t="shared" si="17"/>
        <v>0</v>
      </c>
      <c r="K108" s="114">
        <f t="shared" si="17"/>
        <v>0</v>
      </c>
      <c r="L108" s="114">
        <f t="shared" si="17"/>
        <v>0</v>
      </c>
      <c r="M108" s="114">
        <f t="shared" si="17"/>
        <v>0</v>
      </c>
      <c r="N108" s="119">
        <f t="shared" si="17"/>
        <v>15.9</v>
      </c>
      <c r="O108" s="111">
        <f t="shared" si="17"/>
        <v>15.9</v>
      </c>
      <c r="P108" s="97"/>
      <c r="Q108" s="97"/>
    </row>
    <row r="109" spans="1:17" ht="31.5" x14ac:dyDescent="0.2">
      <c r="A109" s="40"/>
      <c r="B109" s="118" t="s">
        <v>82</v>
      </c>
      <c r="C109" s="118" t="s">
        <v>51</v>
      </c>
      <c r="D109" s="136" t="s">
        <v>86</v>
      </c>
      <c r="E109" s="136" t="s">
        <v>83</v>
      </c>
      <c r="F109" s="134"/>
      <c r="G109" s="111">
        <f t="shared" si="17"/>
        <v>0</v>
      </c>
      <c r="H109" s="120">
        <f t="shared" si="17"/>
        <v>15.9</v>
      </c>
      <c r="I109" s="114">
        <f t="shared" si="17"/>
        <v>15.9</v>
      </c>
      <c r="J109" s="114">
        <f t="shared" si="17"/>
        <v>0</v>
      </c>
      <c r="K109" s="114">
        <f t="shared" si="17"/>
        <v>0</v>
      </c>
      <c r="L109" s="114">
        <f t="shared" si="17"/>
        <v>0</v>
      </c>
      <c r="M109" s="114">
        <f t="shared" si="17"/>
        <v>0</v>
      </c>
      <c r="N109" s="119">
        <f t="shared" si="17"/>
        <v>15.9</v>
      </c>
      <c r="O109" s="111">
        <f t="shared" si="17"/>
        <v>15.9</v>
      </c>
      <c r="P109" s="97"/>
      <c r="Q109" s="97"/>
    </row>
    <row r="110" spans="1:17" ht="31.5" x14ac:dyDescent="0.2">
      <c r="A110" s="40"/>
      <c r="B110" s="113" t="s">
        <v>40</v>
      </c>
      <c r="C110" s="118" t="s">
        <v>51</v>
      </c>
      <c r="D110" s="136" t="s">
        <v>86</v>
      </c>
      <c r="E110" s="136" t="s">
        <v>83</v>
      </c>
      <c r="F110" s="134">
        <v>200</v>
      </c>
      <c r="G110" s="111"/>
      <c r="H110" s="111">
        <v>15.9</v>
      </c>
      <c r="I110" s="111">
        <f>SUM(G110:H110)</f>
        <v>15.9</v>
      </c>
      <c r="J110" s="115"/>
      <c r="K110" s="111"/>
      <c r="L110" s="115"/>
      <c r="M110" s="111">
        <f>G110+J110</f>
        <v>0</v>
      </c>
      <c r="N110" s="111">
        <f>H110+K110</f>
        <v>15.9</v>
      </c>
      <c r="O110" s="111">
        <f>SUM(M110:N110)</f>
        <v>15.9</v>
      </c>
      <c r="P110" s="97"/>
      <c r="Q110" s="97"/>
    </row>
    <row r="111" spans="1:17" ht="34.9" customHeight="1" x14ac:dyDescent="0.2">
      <c r="A111" s="40"/>
      <c r="B111" s="113" t="s">
        <v>147</v>
      </c>
      <c r="C111" s="113" t="s">
        <v>51</v>
      </c>
      <c r="D111" s="133" t="s">
        <v>86</v>
      </c>
      <c r="E111" s="133" t="s">
        <v>148</v>
      </c>
      <c r="F111" s="134" t="s">
        <v>11</v>
      </c>
      <c r="G111" s="111">
        <f t="shared" ref="G111:O113" si="18">G112</f>
        <v>773.6</v>
      </c>
      <c r="H111" s="111">
        <f t="shared" si="18"/>
        <v>2.7</v>
      </c>
      <c r="I111" s="111">
        <f t="shared" si="18"/>
        <v>776.30000000000007</v>
      </c>
      <c r="J111" s="114">
        <f t="shared" si="18"/>
        <v>0</v>
      </c>
      <c r="K111" s="111">
        <f>K112</f>
        <v>0</v>
      </c>
      <c r="L111" s="114">
        <f t="shared" si="18"/>
        <v>0</v>
      </c>
      <c r="M111" s="111">
        <f t="shared" si="18"/>
        <v>773.6</v>
      </c>
      <c r="N111" s="111">
        <f t="shared" si="18"/>
        <v>2.7</v>
      </c>
      <c r="O111" s="111">
        <f t="shared" si="18"/>
        <v>776.30000000000007</v>
      </c>
      <c r="P111" s="97"/>
      <c r="Q111" s="97"/>
    </row>
    <row r="112" spans="1:17" ht="31.5" x14ac:dyDescent="0.2">
      <c r="A112" s="40"/>
      <c r="B112" s="113" t="s">
        <v>149</v>
      </c>
      <c r="C112" s="113" t="s">
        <v>51</v>
      </c>
      <c r="D112" s="133" t="s">
        <v>86</v>
      </c>
      <c r="E112" s="133" t="s">
        <v>150</v>
      </c>
      <c r="F112" s="134" t="s">
        <v>11</v>
      </c>
      <c r="G112" s="111">
        <f t="shared" si="18"/>
        <v>773.6</v>
      </c>
      <c r="H112" s="111">
        <f t="shared" si="18"/>
        <v>2.7</v>
      </c>
      <c r="I112" s="111">
        <f t="shared" si="18"/>
        <v>776.30000000000007</v>
      </c>
      <c r="J112" s="114">
        <f t="shared" si="18"/>
        <v>0</v>
      </c>
      <c r="K112" s="111">
        <f>K113</f>
        <v>0</v>
      </c>
      <c r="L112" s="114">
        <f t="shared" si="18"/>
        <v>0</v>
      </c>
      <c r="M112" s="111">
        <f t="shared" si="18"/>
        <v>773.6</v>
      </c>
      <c r="N112" s="111">
        <f t="shared" si="18"/>
        <v>2.7</v>
      </c>
      <c r="O112" s="111">
        <f t="shared" si="18"/>
        <v>776.30000000000007</v>
      </c>
      <c r="P112" s="97"/>
      <c r="Q112" s="97"/>
    </row>
    <row r="113" spans="1:17" ht="31.5" x14ac:dyDescent="0.2">
      <c r="A113" s="40"/>
      <c r="B113" s="113" t="s">
        <v>151</v>
      </c>
      <c r="C113" s="113" t="s">
        <v>51</v>
      </c>
      <c r="D113" s="133" t="s">
        <v>86</v>
      </c>
      <c r="E113" s="133" t="s">
        <v>152</v>
      </c>
      <c r="F113" s="134" t="s">
        <v>11</v>
      </c>
      <c r="G113" s="111">
        <f>G114</f>
        <v>773.6</v>
      </c>
      <c r="H113" s="111">
        <f>SUM(H114)</f>
        <v>2.7</v>
      </c>
      <c r="I113" s="111">
        <f>I114</f>
        <v>776.30000000000007</v>
      </c>
      <c r="J113" s="114">
        <f t="shared" si="18"/>
        <v>0</v>
      </c>
      <c r="K113" s="111"/>
      <c r="L113" s="114">
        <f t="shared" si="18"/>
        <v>0</v>
      </c>
      <c r="M113" s="111">
        <f t="shared" si="18"/>
        <v>773.6</v>
      </c>
      <c r="N113" s="111">
        <f t="shared" si="18"/>
        <v>2.7</v>
      </c>
      <c r="O113" s="111">
        <f t="shared" si="18"/>
        <v>776.30000000000007</v>
      </c>
      <c r="P113" s="97"/>
      <c r="Q113" s="97"/>
    </row>
    <row r="114" spans="1:17" ht="22.5" customHeight="1" x14ac:dyDescent="0.2">
      <c r="A114" s="40"/>
      <c r="B114" s="113" t="s">
        <v>70</v>
      </c>
      <c r="C114" s="113" t="s">
        <v>51</v>
      </c>
      <c r="D114" s="133" t="s">
        <v>86</v>
      </c>
      <c r="E114" s="133" t="s">
        <v>152</v>
      </c>
      <c r="F114" s="134" t="s">
        <v>71</v>
      </c>
      <c r="G114" s="111">
        <v>773.6</v>
      </c>
      <c r="H114" s="111">
        <f>2+0.7</f>
        <v>2.7</v>
      </c>
      <c r="I114" s="111">
        <f>SUM(G114)+H114</f>
        <v>776.30000000000007</v>
      </c>
      <c r="J114" s="115">
        <v>0</v>
      </c>
      <c r="K114" s="106">
        <f>K115+K151</f>
        <v>0</v>
      </c>
      <c r="L114" s="115">
        <v>0</v>
      </c>
      <c r="M114" s="111">
        <f>SUM(G114)</f>
        <v>773.6</v>
      </c>
      <c r="N114" s="111">
        <f>SUM(H114)</f>
        <v>2.7</v>
      </c>
      <c r="O114" s="111">
        <f>SUM(I114)</f>
        <v>776.30000000000007</v>
      </c>
      <c r="P114" s="97"/>
      <c r="Q114" s="97"/>
    </row>
    <row r="115" spans="1:17" ht="31.5" x14ac:dyDescent="0.2">
      <c r="A115" s="20" t="s">
        <v>153</v>
      </c>
      <c r="B115" s="107" t="s">
        <v>154</v>
      </c>
      <c r="C115" s="107" t="s">
        <v>51</v>
      </c>
      <c r="D115" s="129" t="s">
        <v>155</v>
      </c>
      <c r="E115" s="133" t="s">
        <v>11</v>
      </c>
      <c r="F115" s="134" t="s">
        <v>11</v>
      </c>
      <c r="G115" s="106">
        <f>G122+G152+G116</f>
        <v>45438.900000000009</v>
      </c>
      <c r="H115" s="109">
        <f>SUM(H116)+H122+H152</f>
        <v>400</v>
      </c>
      <c r="I115" s="106">
        <f>I122+I152+I116</f>
        <v>45838.900000000009</v>
      </c>
      <c r="J115" s="108">
        <f>J122+J152</f>
        <v>0</v>
      </c>
      <c r="K115" s="109">
        <f>K122</f>
        <v>0</v>
      </c>
      <c r="L115" s="108">
        <f>L122+L152</f>
        <v>0</v>
      </c>
      <c r="M115" s="106">
        <f>M122+M152+M116</f>
        <v>45438.900000000009</v>
      </c>
      <c r="N115" s="106">
        <f t="shared" ref="N115:N122" si="19">SUM(H115)</f>
        <v>400</v>
      </c>
      <c r="O115" s="106">
        <f>O122+O152+O116</f>
        <v>45838.900000000009</v>
      </c>
      <c r="P115" s="97"/>
      <c r="Q115" s="97"/>
    </row>
    <row r="116" spans="1:17" ht="15.75" x14ac:dyDescent="0.2">
      <c r="A116" s="20"/>
      <c r="B116" s="116" t="s">
        <v>556</v>
      </c>
      <c r="C116" s="110">
        <v>992</v>
      </c>
      <c r="D116" s="137" t="s">
        <v>555</v>
      </c>
      <c r="E116" s="133"/>
      <c r="F116" s="134"/>
      <c r="G116" s="109">
        <v>1200</v>
      </c>
      <c r="H116" s="109">
        <f>SUM(H120)</f>
        <v>0</v>
      </c>
      <c r="I116" s="109">
        <f>SUM(I120)</f>
        <v>1200</v>
      </c>
      <c r="J116" s="112"/>
      <c r="K116" s="109"/>
      <c r="L116" s="112"/>
      <c r="M116" s="109">
        <f>SUM(G116)</f>
        <v>1200</v>
      </c>
      <c r="N116" s="109">
        <f t="shared" si="19"/>
        <v>0</v>
      </c>
      <c r="O116" s="109">
        <f>SUM(I116)</f>
        <v>1200</v>
      </c>
      <c r="P116" s="97"/>
      <c r="Q116" s="97"/>
    </row>
    <row r="117" spans="1:17" ht="31.5" x14ac:dyDescent="0.2">
      <c r="A117" s="20"/>
      <c r="B117" s="113" t="s">
        <v>159</v>
      </c>
      <c r="C117" s="113" t="s">
        <v>51</v>
      </c>
      <c r="D117" s="136" t="s">
        <v>555</v>
      </c>
      <c r="E117" s="133" t="s">
        <v>160</v>
      </c>
      <c r="F117" s="134"/>
      <c r="G117" s="114">
        <f>G118</f>
        <v>1200</v>
      </c>
      <c r="H117" s="114">
        <f>H118</f>
        <v>0</v>
      </c>
      <c r="I117" s="114">
        <f>I118</f>
        <v>1200</v>
      </c>
      <c r="J117" s="114">
        <f t="shared" ref="J117:O117" si="20">J118</f>
        <v>0</v>
      </c>
      <c r="K117" s="114">
        <f t="shared" si="20"/>
        <v>0</v>
      </c>
      <c r="L117" s="114">
        <f t="shared" si="20"/>
        <v>0</v>
      </c>
      <c r="M117" s="114">
        <f t="shared" si="20"/>
        <v>1200</v>
      </c>
      <c r="N117" s="114">
        <f t="shared" si="20"/>
        <v>0</v>
      </c>
      <c r="O117" s="114">
        <f t="shared" si="20"/>
        <v>1200</v>
      </c>
      <c r="P117" s="97"/>
      <c r="Q117" s="97"/>
    </row>
    <row r="118" spans="1:17" ht="31.5" x14ac:dyDescent="0.2">
      <c r="A118" s="20"/>
      <c r="B118" s="138" t="s">
        <v>159</v>
      </c>
      <c r="C118" s="113">
        <v>992</v>
      </c>
      <c r="D118" s="139" t="s">
        <v>555</v>
      </c>
      <c r="E118" s="136" t="s">
        <v>162</v>
      </c>
      <c r="F118" s="134"/>
      <c r="G118" s="111">
        <v>1200</v>
      </c>
      <c r="H118" s="117">
        <f>SUM(H120)</f>
        <v>0</v>
      </c>
      <c r="I118" s="117">
        <f>SUM(I120)</f>
        <v>1200</v>
      </c>
      <c r="J118" s="114"/>
      <c r="K118" s="117"/>
      <c r="L118" s="114"/>
      <c r="M118" s="111">
        <f>SUM(G118)</f>
        <v>1200</v>
      </c>
      <c r="N118" s="111">
        <f t="shared" si="19"/>
        <v>0</v>
      </c>
      <c r="O118" s="111">
        <f>SUM(I118)</f>
        <v>1200</v>
      </c>
      <c r="P118" s="97"/>
      <c r="Q118" s="97"/>
    </row>
    <row r="119" spans="1:17" ht="63" x14ac:dyDescent="0.2">
      <c r="A119" s="20"/>
      <c r="B119" s="138" t="s">
        <v>161</v>
      </c>
      <c r="C119" s="113">
        <v>992</v>
      </c>
      <c r="D119" s="139" t="s">
        <v>555</v>
      </c>
      <c r="E119" s="136" t="s">
        <v>558</v>
      </c>
      <c r="F119" s="134"/>
      <c r="G119" s="111">
        <v>1200</v>
      </c>
      <c r="H119" s="117">
        <f>SUM(H121)</f>
        <v>0</v>
      </c>
      <c r="I119" s="117">
        <f>SUM(I121)</f>
        <v>1200</v>
      </c>
      <c r="J119" s="114"/>
      <c r="K119" s="117"/>
      <c r="L119" s="114"/>
      <c r="M119" s="111">
        <f>SUM(G119)</f>
        <v>1200</v>
      </c>
      <c r="N119" s="111">
        <f t="shared" si="19"/>
        <v>0</v>
      </c>
      <c r="O119" s="111">
        <f>SUM(I119)</f>
        <v>1200</v>
      </c>
      <c r="P119" s="97"/>
      <c r="Q119" s="97"/>
    </row>
    <row r="120" spans="1:17" ht="31.5" x14ac:dyDescent="0.2">
      <c r="A120" s="20"/>
      <c r="B120" s="138" t="s">
        <v>557</v>
      </c>
      <c r="C120" s="113">
        <v>992</v>
      </c>
      <c r="D120" s="139" t="s">
        <v>555</v>
      </c>
      <c r="E120" s="136" t="s">
        <v>554</v>
      </c>
      <c r="F120" s="134"/>
      <c r="G120" s="111">
        <v>1200</v>
      </c>
      <c r="H120" s="117"/>
      <c r="I120" s="111">
        <f>SUM(G120)</f>
        <v>1200</v>
      </c>
      <c r="J120" s="114"/>
      <c r="K120" s="117"/>
      <c r="L120" s="114"/>
      <c r="M120" s="111">
        <f>SUM(G120)</f>
        <v>1200</v>
      </c>
      <c r="N120" s="111">
        <f t="shared" si="19"/>
        <v>0</v>
      </c>
      <c r="O120" s="111">
        <f>SUM(I120)</f>
        <v>1200</v>
      </c>
      <c r="P120" s="97"/>
      <c r="Q120" s="97"/>
    </row>
    <row r="121" spans="1:17" ht="31.5" x14ac:dyDescent="0.2">
      <c r="A121" s="20"/>
      <c r="B121" s="113" t="s">
        <v>40</v>
      </c>
      <c r="C121" s="113">
        <v>992</v>
      </c>
      <c r="D121" s="139" t="s">
        <v>555</v>
      </c>
      <c r="E121" s="136" t="s">
        <v>554</v>
      </c>
      <c r="F121" s="134">
        <v>200</v>
      </c>
      <c r="G121" s="111">
        <v>1200</v>
      </c>
      <c r="H121" s="117"/>
      <c r="I121" s="111">
        <f>SUM(G121)</f>
        <v>1200</v>
      </c>
      <c r="J121" s="114"/>
      <c r="K121" s="117"/>
      <c r="L121" s="114"/>
      <c r="M121" s="111">
        <f>SUM(G121)</f>
        <v>1200</v>
      </c>
      <c r="N121" s="111">
        <f t="shared" si="19"/>
        <v>0</v>
      </c>
      <c r="O121" s="111">
        <f>SUM(I121)</f>
        <v>1200</v>
      </c>
      <c r="P121" s="97"/>
      <c r="Q121" s="97"/>
    </row>
    <row r="122" spans="1:17" ht="63" x14ac:dyDescent="0.2">
      <c r="A122" s="33" t="s">
        <v>156</v>
      </c>
      <c r="B122" s="110" t="s">
        <v>157</v>
      </c>
      <c r="C122" s="110" t="s">
        <v>51</v>
      </c>
      <c r="D122" s="131" t="s">
        <v>158</v>
      </c>
      <c r="E122" s="131" t="s">
        <v>11</v>
      </c>
      <c r="F122" s="132" t="s">
        <v>11</v>
      </c>
      <c r="G122" s="109">
        <f>G123+G140</f>
        <v>37823.600000000006</v>
      </c>
      <c r="H122" s="111">
        <f>H123+H139+H140</f>
        <v>0</v>
      </c>
      <c r="I122" s="109">
        <f>I123+I140</f>
        <v>37823.600000000006</v>
      </c>
      <c r="J122" s="112">
        <f>J123</f>
        <v>0</v>
      </c>
      <c r="K122" s="111">
        <f>K123+K139+K147</f>
        <v>0</v>
      </c>
      <c r="L122" s="112">
        <f>L123</f>
        <v>0</v>
      </c>
      <c r="M122" s="109">
        <f>M123+M140</f>
        <v>37823.600000000006</v>
      </c>
      <c r="N122" s="109">
        <f t="shared" si="19"/>
        <v>0</v>
      </c>
      <c r="O122" s="109">
        <f>O123+O140</f>
        <v>37823.600000000006</v>
      </c>
      <c r="P122" s="97"/>
      <c r="Q122" s="97"/>
    </row>
    <row r="123" spans="1:17" ht="31.5" x14ac:dyDescent="0.2">
      <c r="A123" s="40"/>
      <c r="B123" s="113" t="s">
        <v>159</v>
      </c>
      <c r="C123" s="113" t="s">
        <v>51</v>
      </c>
      <c r="D123" s="133" t="s">
        <v>158</v>
      </c>
      <c r="E123" s="133" t="s">
        <v>160</v>
      </c>
      <c r="F123" s="134" t="s">
        <v>11</v>
      </c>
      <c r="G123" s="111">
        <f>G124+G144+G148</f>
        <v>37060.300000000003</v>
      </c>
      <c r="H123" s="111">
        <f>H124+H133+H136+H144</f>
        <v>0</v>
      </c>
      <c r="I123" s="111">
        <f>I124+I144+I148</f>
        <v>37060.300000000003</v>
      </c>
      <c r="J123" s="114">
        <f>J124+J144+J148</f>
        <v>0</v>
      </c>
      <c r="K123" s="111">
        <f>K124+K133+K136</f>
        <v>0</v>
      </c>
      <c r="L123" s="114">
        <f>L124+L144+L148</f>
        <v>0</v>
      </c>
      <c r="M123" s="111">
        <f>M124+M144+M148</f>
        <v>37060.300000000003</v>
      </c>
      <c r="N123" s="111">
        <f>N124+N144+N148</f>
        <v>0</v>
      </c>
      <c r="O123" s="111">
        <f>O124+O144+O148</f>
        <v>37060.300000000003</v>
      </c>
      <c r="P123" s="97"/>
      <c r="Q123" s="97"/>
    </row>
    <row r="124" spans="1:17" ht="63" x14ac:dyDescent="0.2">
      <c r="A124" s="40"/>
      <c r="B124" s="113" t="s">
        <v>161</v>
      </c>
      <c r="C124" s="113" t="s">
        <v>51</v>
      </c>
      <c r="D124" s="133" t="s">
        <v>158</v>
      </c>
      <c r="E124" s="133" t="s">
        <v>162</v>
      </c>
      <c r="F124" s="134" t="s">
        <v>11</v>
      </c>
      <c r="G124" s="111">
        <f>G125+G134+G137</f>
        <v>33299.4</v>
      </c>
      <c r="H124" s="111">
        <f>H125</f>
        <v>0</v>
      </c>
      <c r="I124" s="111">
        <f>I125+I134+I137</f>
        <v>33299.4</v>
      </c>
      <c r="J124" s="114">
        <f>J125+J134+J137</f>
        <v>0</v>
      </c>
      <c r="K124" s="111">
        <f>K125+K129+K131</f>
        <v>0</v>
      </c>
      <c r="L124" s="114">
        <f>L125+L134+L137</f>
        <v>0</v>
      </c>
      <c r="M124" s="111">
        <f>M125+M134+M137</f>
        <v>33299.4</v>
      </c>
      <c r="N124" s="111">
        <f>N125+N134+N137</f>
        <v>0</v>
      </c>
      <c r="O124" s="111">
        <f>O125+O134+O137</f>
        <v>33299.4</v>
      </c>
      <c r="P124" s="97"/>
      <c r="Q124" s="97"/>
    </row>
    <row r="125" spans="1:17" ht="63" x14ac:dyDescent="0.2">
      <c r="A125" s="40"/>
      <c r="B125" s="113" t="s">
        <v>163</v>
      </c>
      <c r="C125" s="113" t="s">
        <v>51</v>
      </c>
      <c r="D125" s="133" t="s">
        <v>158</v>
      </c>
      <c r="E125" s="133" t="s">
        <v>164</v>
      </c>
      <c r="F125" s="134" t="s">
        <v>11</v>
      </c>
      <c r="G125" s="111">
        <f>G126+G130+G132</f>
        <v>18198.7</v>
      </c>
      <c r="H125" s="111">
        <f>SUM(H126+H130)</f>
        <v>0</v>
      </c>
      <c r="I125" s="111">
        <f>I126+I130+I132</f>
        <v>18198.7</v>
      </c>
      <c r="J125" s="114">
        <f>J126+J130+J132</f>
        <v>0</v>
      </c>
      <c r="K125" s="111">
        <f>K126+K127+K128</f>
        <v>0</v>
      </c>
      <c r="L125" s="114">
        <f>L126+L130+L132</f>
        <v>0</v>
      </c>
      <c r="M125" s="111">
        <f>M126+M130+M132</f>
        <v>18198.7</v>
      </c>
      <c r="N125" s="111">
        <f>N126+N130+N132</f>
        <v>0</v>
      </c>
      <c r="O125" s="111">
        <f>O126+O130+O132</f>
        <v>18198.7</v>
      </c>
      <c r="P125" s="97"/>
      <c r="Q125" s="97"/>
    </row>
    <row r="126" spans="1:17" ht="31.5" x14ac:dyDescent="0.2">
      <c r="A126" s="40"/>
      <c r="B126" s="113" t="s">
        <v>134</v>
      </c>
      <c r="C126" s="113" t="s">
        <v>51</v>
      </c>
      <c r="D126" s="133" t="s">
        <v>158</v>
      </c>
      <c r="E126" s="133" t="s">
        <v>165</v>
      </c>
      <c r="F126" s="134" t="s">
        <v>11</v>
      </c>
      <c r="G126" s="111">
        <f>G127+G128+G129</f>
        <v>11968.5</v>
      </c>
      <c r="H126" s="111">
        <f>SUM(H127+H128)</f>
        <v>0</v>
      </c>
      <c r="I126" s="111">
        <f>I127+I128+I129</f>
        <v>11968.5</v>
      </c>
      <c r="J126" s="114">
        <f>J127+J128+J129</f>
        <v>0</v>
      </c>
      <c r="K126" s="111"/>
      <c r="L126" s="114">
        <f>L127+L128+L129</f>
        <v>0</v>
      </c>
      <c r="M126" s="111">
        <f>SUM(G126)</f>
        <v>11968.5</v>
      </c>
      <c r="N126" s="111">
        <f>N127+N128+N129</f>
        <v>0</v>
      </c>
      <c r="O126" s="111">
        <f>SUM(I126)</f>
        <v>11968.5</v>
      </c>
      <c r="P126" s="97"/>
      <c r="Q126" s="97"/>
    </row>
    <row r="127" spans="1:17" ht="42" customHeight="1" x14ac:dyDescent="0.2">
      <c r="A127" s="40"/>
      <c r="B127" s="113" t="s">
        <v>61</v>
      </c>
      <c r="C127" s="113" t="s">
        <v>51</v>
      </c>
      <c r="D127" s="133" t="s">
        <v>158</v>
      </c>
      <c r="E127" s="133" t="s">
        <v>165</v>
      </c>
      <c r="F127" s="134" t="s">
        <v>62</v>
      </c>
      <c r="G127" s="111">
        <v>10420.200000000001</v>
      </c>
      <c r="H127" s="111"/>
      <c r="I127" s="111">
        <f>SUM(G127)+H127</f>
        <v>10420.200000000001</v>
      </c>
      <c r="J127" s="115">
        <v>0</v>
      </c>
      <c r="K127" s="111"/>
      <c r="L127" s="115">
        <v>0</v>
      </c>
      <c r="M127" s="111">
        <f>SUM(G127)</f>
        <v>10420.200000000001</v>
      </c>
      <c r="N127" s="111">
        <f>SUM(H127)</f>
        <v>0</v>
      </c>
      <c r="O127" s="111">
        <f>SUM(I127)</f>
        <v>10420.200000000001</v>
      </c>
      <c r="P127" s="97"/>
      <c r="Q127" s="97"/>
    </row>
    <row r="128" spans="1:17" ht="31.5" x14ac:dyDescent="0.2">
      <c r="A128" s="40"/>
      <c r="B128" s="113" t="s">
        <v>40</v>
      </c>
      <c r="C128" s="113" t="s">
        <v>51</v>
      </c>
      <c r="D128" s="133" t="s">
        <v>158</v>
      </c>
      <c r="E128" s="133" t="s">
        <v>165</v>
      </c>
      <c r="F128" s="134" t="s">
        <v>41</v>
      </c>
      <c r="G128" s="111">
        <v>1525.3</v>
      </c>
      <c r="H128" s="111"/>
      <c r="I128" s="111">
        <f>SUM(G128)+H128</f>
        <v>1525.3</v>
      </c>
      <c r="J128" s="115">
        <v>0</v>
      </c>
      <c r="K128" s="111"/>
      <c r="L128" s="115">
        <v>0</v>
      </c>
      <c r="M128" s="111">
        <f>SUM(G128)</f>
        <v>1525.3</v>
      </c>
      <c r="N128" s="111">
        <f>SUM(H128)</f>
        <v>0</v>
      </c>
      <c r="O128" s="111">
        <f>SUM(I128)</f>
        <v>1525.3</v>
      </c>
      <c r="P128" s="97"/>
      <c r="Q128" s="97"/>
    </row>
    <row r="129" spans="1:17" ht="15.75" x14ac:dyDescent="0.2">
      <c r="A129" s="40"/>
      <c r="B129" s="113" t="s">
        <v>70</v>
      </c>
      <c r="C129" s="113" t="s">
        <v>51</v>
      </c>
      <c r="D129" s="133" t="s">
        <v>158</v>
      </c>
      <c r="E129" s="133" t="s">
        <v>165</v>
      </c>
      <c r="F129" s="134" t="s">
        <v>71</v>
      </c>
      <c r="G129" s="111">
        <v>23</v>
      </c>
      <c r="H129" s="111"/>
      <c r="I129" s="111">
        <v>23</v>
      </c>
      <c r="J129" s="115">
        <v>0</v>
      </c>
      <c r="K129" s="111"/>
      <c r="L129" s="115">
        <v>0</v>
      </c>
      <c r="M129" s="111">
        <v>23</v>
      </c>
      <c r="N129" s="111"/>
      <c r="O129" s="111">
        <v>23</v>
      </c>
      <c r="P129" s="97"/>
      <c r="Q129" s="97"/>
    </row>
    <row r="130" spans="1:17" ht="63" x14ac:dyDescent="0.2">
      <c r="A130" s="40"/>
      <c r="B130" s="113" t="s">
        <v>166</v>
      </c>
      <c r="C130" s="113" t="s">
        <v>51</v>
      </c>
      <c r="D130" s="133" t="s">
        <v>158</v>
      </c>
      <c r="E130" s="133" t="s">
        <v>167</v>
      </c>
      <c r="F130" s="134" t="s">
        <v>11</v>
      </c>
      <c r="G130" s="111">
        <f>G131</f>
        <v>5230.2</v>
      </c>
      <c r="H130" s="111">
        <f>SUM(H131)</f>
        <v>0</v>
      </c>
      <c r="I130" s="111">
        <f>I131</f>
        <v>5230.2</v>
      </c>
      <c r="J130" s="114">
        <f>J131</f>
        <v>0</v>
      </c>
      <c r="K130" s="111"/>
      <c r="L130" s="114">
        <f>L131</f>
        <v>0</v>
      </c>
      <c r="M130" s="111">
        <f>M131</f>
        <v>5230.2</v>
      </c>
      <c r="N130" s="111">
        <f>N131</f>
        <v>0</v>
      </c>
      <c r="O130" s="111">
        <f>O131</f>
        <v>5230.2</v>
      </c>
      <c r="P130" s="97"/>
      <c r="Q130" s="97"/>
    </row>
    <row r="131" spans="1:17" ht="31.5" x14ac:dyDescent="0.2">
      <c r="A131" s="40"/>
      <c r="B131" s="113" t="s">
        <v>40</v>
      </c>
      <c r="C131" s="113" t="s">
        <v>51</v>
      </c>
      <c r="D131" s="133" t="s">
        <v>158</v>
      </c>
      <c r="E131" s="133" t="s">
        <v>167</v>
      </c>
      <c r="F131" s="134" t="s">
        <v>41</v>
      </c>
      <c r="G131" s="111">
        <v>5230.2</v>
      </c>
      <c r="H131" s="111"/>
      <c r="I131" s="111">
        <f>SUM(G131)+H131</f>
        <v>5230.2</v>
      </c>
      <c r="J131" s="115"/>
      <c r="K131" s="111"/>
      <c r="L131" s="115"/>
      <c r="M131" s="111">
        <f>SUM(G131)</f>
        <v>5230.2</v>
      </c>
      <c r="N131" s="111">
        <f>SUM(H131)</f>
        <v>0</v>
      </c>
      <c r="O131" s="111">
        <f>SUM(M131)+N131</f>
        <v>5230.2</v>
      </c>
      <c r="P131" s="97"/>
      <c r="Q131" s="97"/>
    </row>
    <row r="132" spans="1:17" ht="63" x14ac:dyDescent="0.2">
      <c r="A132" s="40"/>
      <c r="B132" s="113" t="s">
        <v>168</v>
      </c>
      <c r="C132" s="113" t="s">
        <v>51</v>
      </c>
      <c r="D132" s="133" t="s">
        <v>158</v>
      </c>
      <c r="E132" s="133" t="s">
        <v>169</v>
      </c>
      <c r="F132" s="134" t="s">
        <v>11</v>
      </c>
      <c r="G132" s="111">
        <f>G133</f>
        <v>1000</v>
      </c>
      <c r="H132" s="111"/>
      <c r="I132" s="111">
        <f>I133</f>
        <v>1000</v>
      </c>
      <c r="J132" s="114">
        <f>J133</f>
        <v>0</v>
      </c>
      <c r="K132" s="111"/>
      <c r="L132" s="114">
        <f>L133</f>
        <v>0</v>
      </c>
      <c r="M132" s="111">
        <f>M133</f>
        <v>1000</v>
      </c>
      <c r="N132" s="111">
        <f>N133</f>
        <v>0</v>
      </c>
      <c r="O132" s="111">
        <f>O133</f>
        <v>1000</v>
      </c>
      <c r="P132" s="97"/>
      <c r="Q132" s="97"/>
    </row>
    <row r="133" spans="1:17" ht="31.5" x14ac:dyDescent="0.2">
      <c r="A133" s="40"/>
      <c r="B133" s="113" t="s">
        <v>40</v>
      </c>
      <c r="C133" s="113" t="s">
        <v>51</v>
      </c>
      <c r="D133" s="133" t="s">
        <v>158</v>
      </c>
      <c r="E133" s="133" t="s">
        <v>169</v>
      </c>
      <c r="F133" s="134" t="s">
        <v>41</v>
      </c>
      <c r="G133" s="111">
        <v>1000</v>
      </c>
      <c r="H133" s="111"/>
      <c r="I133" s="111">
        <v>1000</v>
      </c>
      <c r="J133" s="115"/>
      <c r="K133" s="111"/>
      <c r="L133" s="115"/>
      <c r="M133" s="111">
        <v>1000</v>
      </c>
      <c r="N133" s="111"/>
      <c r="O133" s="111">
        <v>1000</v>
      </c>
      <c r="P133" s="97"/>
      <c r="Q133" s="97"/>
    </row>
    <row r="134" spans="1:17" ht="37.9" customHeight="1" x14ac:dyDescent="0.2">
      <c r="A134" s="40"/>
      <c r="B134" s="113" t="s">
        <v>170</v>
      </c>
      <c r="C134" s="113" t="s">
        <v>51</v>
      </c>
      <c r="D134" s="133" t="s">
        <v>158</v>
      </c>
      <c r="E134" s="133" t="s">
        <v>171</v>
      </c>
      <c r="F134" s="134" t="s">
        <v>11</v>
      </c>
      <c r="G134" s="111">
        <f t="shared" ref="G134:O135" si="21">G135</f>
        <v>13584.1</v>
      </c>
      <c r="H134" s="111">
        <f t="shared" si="21"/>
        <v>0</v>
      </c>
      <c r="I134" s="111">
        <f t="shared" si="21"/>
        <v>13584.1</v>
      </c>
      <c r="J134" s="114">
        <f t="shared" si="21"/>
        <v>0</v>
      </c>
      <c r="K134" s="111">
        <f t="shared" si="21"/>
        <v>0</v>
      </c>
      <c r="L134" s="114">
        <f t="shared" si="21"/>
        <v>0</v>
      </c>
      <c r="M134" s="111">
        <f t="shared" si="21"/>
        <v>13584.1</v>
      </c>
      <c r="N134" s="111">
        <f t="shared" si="21"/>
        <v>0</v>
      </c>
      <c r="O134" s="111">
        <f t="shared" si="21"/>
        <v>13584.1</v>
      </c>
      <c r="P134" s="97"/>
      <c r="Q134" s="97"/>
    </row>
    <row r="135" spans="1:17" ht="94.5" x14ac:dyDescent="0.2">
      <c r="A135" s="40"/>
      <c r="B135" s="113" t="s">
        <v>172</v>
      </c>
      <c r="C135" s="113" t="s">
        <v>51</v>
      </c>
      <c r="D135" s="133" t="s">
        <v>158</v>
      </c>
      <c r="E135" s="133" t="s">
        <v>173</v>
      </c>
      <c r="F135" s="134" t="s">
        <v>11</v>
      </c>
      <c r="G135" s="111">
        <f t="shared" si="21"/>
        <v>13584.1</v>
      </c>
      <c r="H135" s="111"/>
      <c r="I135" s="111">
        <f t="shared" si="21"/>
        <v>13584.1</v>
      </c>
      <c r="J135" s="114">
        <f t="shared" si="21"/>
        <v>0</v>
      </c>
      <c r="K135" s="111"/>
      <c r="L135" s="114">
        <f t="shared" si="21"/>
        <v>0</v>
      </c>
      <c r="M135" s="111">
        <f t="shared" si="21"/>
        <v>13584.1</v>
      </c>
      <c r="N135" s="111">
        <f t="shared" si="21"/>
        <v>0</v>
      </c>
      <c r="O135" s="111">
        <f t="shared" si="21"/>
        <v>13584.1</v>
      </c>
      <c r="P135" s="97"/>
      <c r="Q135" s="97"/>
    </row>
    <row r="136" spans="1:17" ht="15.75" x14ac:dyDescent="0.2">
      <c r="A136" s="40"/>
      <c r="B136" s="113" t="s">
        <v>47</v>
      </c>
      <c r="C136" s="113" t="s">
        <v>51</v>
      </c>
      <c r="D136" s="133" t="s">
        <v>158</v>
      </c>
      <c r="E136" s="133" t="s">
        <v>173</v>
      </c>
      <c r="F136" s="134" t="s">
        <v>48</v>
      </c>
      <c r="G136" s="111">
        <f>13584.2-0.1</f>
        <v>13584.1</v>
      </c>
      <c r="H136" s="111">
        <f t="shared" ref="G136:O138" si="22">H137</f>
        <v>0</v>
      </c>
      <c r="I136" s="111">
        <f>13584.2-0.1</f>
        <v>13584.1</v>
      </c>
      <c r="J136" s="115">
        <v>0</v>
      </c>
      <c r="K136" s="111">
        <f t="shared" si="22"/>
        <v>0</v>
      </c>
      <c r="L136" s="115">
        <v>0</v>
      </c>
      <c r="M136" s="111">
        <f>13584.2-0.1</f>
        <v>13584.1</v>
      </c>
      <c r="N136" s="111"/>
      <c r="O136" s="111">
        <f>13584.2-0.1</f>
        <v>13584.1</v>
      </c>
      <c r="P136" s="97"/>
      <c r="Q136" s="97"/>
    </row>
    <row r="137" spans="1:17" ht="63" x14ac:dyDescent="0.2">
      <c r="A137" s="40"/>
      <c r="B137" s="113" t="s">
        <v>174</v>
      </c>
      <c r="C137" s="113" t="s">
        <v>51</v>
      </c>
      <c r="D137" s="133" t="s">
        <v>158</v>
      </c>
      <c r="E137" s="133" t="s">
        <v>175</v>
      </c>
      <c r="F137" s="134" t="s">
        <v>11</v>
      </c>
      <c r="G137" s="111">
        <f t="shared" si="22"/>
        <v>1516.6000000000001</v>
      </c>
      <c r="H137" s="111">
        <f t="shared" si="22"/>
        <v>0</v>
      </c>
      <c r="I137" s="111">
        <f t="shared" si="22"/>
        <v>1516.6000000000001</v>
      </c>
      <c r="J137" s="114">
        <f t="shared" si="22"/>
        <v>0</v>
      </c>
      <c r="K137" s="111">
        <f t="shared" si="22"/>
        <v>0</v>
      </c>
      <c r="L137" s="114">
        <f t="shared" si="22"/>
        <v>0</v>
      </c>
      <c r="M137" s="111">
        <f t="shared" si="22"/>
        <v>1516.6000000000001</v>
      </c>
      <c r="N137" s="111">
        <f t="shared" si="22"/>
        <v>0</v>
      </c>
      <c r="O137" s="111">
        <f t="shared" si="22"/>
        <v>1516.6000000000001</v>
      </c>
      <c r="P137" s="97"/>
      <c r="Q137" s="97"/>
    </row>
    <row r="138" spans="1:17" ht="78.75" x14ac:dyDescent="0.2">
      <c r="A138" s="40"/>
      <c r="B138" s="113" t="s">
        <v>176</v>
      </c>
      <c r="C138" s="113" t="s">
        <v>51</v>
      </c>
      <c r="D138" s="133" t="s">
        <v>158</v>
      </c>
      <c r="E138" s="133" t="s">
        <v>177</v>
      </c>
      <c r="F138" s="134" t="s">
        <v>11</v>
      </c>
      <c r="G138" s="111">
        <f t="shared" si="22"/>
        <v>1516.6000000000001</v>
      </c>
      <c r="H138" s="111"/>
      <c r="I138" s="111">
        <f t="shared" si="22"/>
        <v>1516.6000000000001</v>
      </c>
      <c r="J138" s="114">
        <f t="shared" si="22"/>
        <v>0</v>
      </c>
      <c r="K138" s="111"/>
      <c r="L138" s="114">
        <f t="shared" si="22"/>
        <v>0</v>
      </c>
      <c r="M138" s="111">
        <f t="shared" si="22"/>
        <v>1516.6000000000001</v>
      </c>
      <c r="N138" s="111">
        <f t="shared" si="22"/>
        <v>0</v>
      </c>
      <c r="O138" s="111">
        <f t="shared" si="22"/>
        <v>1516.6000000000001</v>
      </c>
      <c r="P138" s="97"/>
      <c r="Q138" s="97"/>
    </row>
    <row r="139" spans="1:17" ht="15.75" x14ac:dyDescent="0.2">
      <c r="A139" s="40"/>
      <c r="B139" s="113" t="s">
        <v>178</v>
      </c>
      <c r="C139" s="113" t="s">
        <v>51</v>
      </c>
      <c r="D139" s="133" t="s">
        <v>158</v>
      </c>
      <c r="E139" s="133" t="s">
        <v>177</v>
      </c>
      <c r="F139" s="134" t="s">
        <v>48</v>
      </c>
      <c r="G139" s="111">
        <f>1516.7-0.1</f>
        <v>1516.6000000000001</v>
      </c>
      <c r="H139" s="111"/>
      <c r="I139" s="111">
        <f>1516.7-0.1</f>
        <v>1516.6000000000001</v>
      </c>
      <c r="J139" s="115">
        <v>0</v>
      </c>
      <c r="K139" s="111"/>
      <c r="L139" s="115">
        <v>0</v>
      </c>
      <c r="M139" s="111">
        <f>1516.7-0.1</f>
        <v>1516.6000000000001</v>
      </c>
      <c r="N139" s="111"/>
      <c r="O139" s="111">
        <f>1516.7-0.1</f>
        <v>1516.6000000000001</v>
      </c>
      <c r="P139" s="97"/>
      <c r="Q139" s="97"/>
    </row>
    <row r="140" spans="1:17" ht="31.5" x14ac:dyDescent="0.2">
      <c r="A140" s="40"/>
      <c r="B140" s="113" t="s">
        <v>66</v>
      </c>
      <c r="C140" s="113">
        <v>992</v>
      </c>
      <c r="D140" s="133" t="s">
        <v>158</v>
      </c>
      <c r="E140" s="133">
        <v>5200000000</v>
      </c>
      <c r="F140" s="134"/>
      <c r="G140" s="111">
        <v>763.3</v>
      </c>
      <c r="H140" s="111"/>
      <c r="I140" s="111">
        <f>SUM(G140)</f>
        <v>763.3</v>
      </c>
      <c r="J140" s="115"/>
      <c r="K140" s="111"/>
      <c r="L140" s="115"/>
      <c r="M140" s="111">
        <f>SUM(G140)</f>
        <v>763.3</v>
      </c>
      <c r="N140" s="111">
        <f t="shared" ref="N140:O142" si="23">SUM(H140)</f>
        <v>0</v>
      </c>
      <c r="O140" s="111">
        <f t="shared" si="23"/>
        <v>763.3</v>
      </c>
      <c r="P140" s="97"/>
      <c r="Q140" s="97"/>
    </row>
    <row r="141" spans="1:17" ht="31.5" x14ac:dyDescent="0.2">
      <c r="A141" s="40"/>
      <c r="B141" s="113" t="s">
        <v>80</v>
      </c>
      <c r="C141" s="113">
        <v>992</v>
      </c>
      <c r="D141" s="133" t="s">
        <v>158</v>
      </c>
      <c r="E141" s="133">
        <v>5230000000</v>
      </c>
      <c r="F141" s="134"/>
      <c r="G141" s="111">
        <v>763.3</v>
      </c>
      <c r="H141" s="111"/>
      <c r="I141" s="111">
        <f>SUM(G141)</f>
        <v>763.3</v>
      </c>
      <c r="J141" s="115"/>
      <c r="K141" s="111"/>
      <c r="L141" s="115"/>
      <c r="M141" s="111">
        <f>SUM(G141)</f>
        <v>763.3</v>
      </c>
      <c r="N141" s="111">
        <f t="shared" si="23"/>
        <v>0</v>
      </c>
      <c r="O141" s="111">
        <f t="shared" si="23"/>
        <v>763.3</v>
      </c>
      <c r="P141" s="97"/>
      <c r="Q141" s="97"/>
    </row>
    <row r="142" spans="1:17" ht="31.5" x14ac:dyDescent="0.2">
      <c r="A142" s="40"/>
      <c r="B142" s="113" t="s">
        <v>82</v>
      </c>
      <c r="C142" s="113">
        <v>992</v>
      </c>
      <c r="D142" s="133" t="s">
        <v>158</v>
      </c>
      <c r="E142" s="133">
        <v>5230010490</v>
      </c>
      <c r="F142" s="134"/>
      <c r="G142" s="111">
        <v>763.3</v>
      </c>
      <c r="H142" s="111"/>
      <c r="I142" s="111">
        <f>SUM(G142)</f>
        <v>763.3</v>
      </c>
      <c r="J142" s="115"/>
      <c r="K142" s="111"/>
      <c r="L142" s="115"/>
      <c r="M142" s="111">
        <f>SUM(G142)</f>
        <v>763.3</v>
      </c>
      <c r="N142" s="111">
        <f t="shared" si="23"/>
        <v>0</v>
      </c>
      <c r="O142" s="111">
        <f t="shared" si="23"/>
        <v>763.3</v>
      </c>
      <c r="P142" s="97"/>
      <c r="Q142" s="97"/>
    </row>
    <row r="143" spans="1:17" ht="31.5" x14ac:dyDescent="0.2">
      <c r="A143" s="40"/>
      <c r="B143" s="113" t="s">
        <v>40</v>
      </c>
      <c r="C143" s="113">
        <v>992</v>
      </c>
      <c r="D143" s="133" t="s">
        <v>158</v>
      </c>
      <c r="E143" s="133">
        <v>5230010490</v>
      </c>
      <c r="F143" s="134">
        <v>200</v>
      </c>
      <c r="G143" s="111">
        <v>763.3</v>
      </c>
      <c r="H143" s="111"/>
      <c r="I143" s="111">
        <f>SUM(G143)</f>
        <v>763.3</v>
      </c>
      <c r="J143" s="115"/>
      <c r="K143" s="111"/>
      <c r="L143" s="115"/>
      <c r="M143" s="111">
        <f>SUM(G143)</f>
        <v>763.3</v>
      </c>
      <c r="N143" s="111">
        <f>SUM(H143)</f>
        <v>0</v>
      </c>
      <c r="O143" s="111">
        <f>SUM(I143)</f>
        <v>763.3</v>
      </c>
      <c r="P143" s="97"/>
      <c r="Q143" s="97"/>
    </row>
    <row r="144" spans="1:17" ht="15.75" x14ac:dyDescent="0.2">
      <c r="A144" s="40"/>
      <c r="B144" s="113" t="s">
        <v>179</v>
      </c>
      <c r="C144" s="113" t="s">
        <v>51</v>
      </c>
      <c r="D144" s="133" t="s">
        <v>158</v>
      </c>
      <c r="E144" s="133" t="s">
        <v>180</v>
      </c>
      <c r="F144" s="134" t="s">
        <v>11</v>
      </c>
      <c r="G144" s="111">
        <f t="shared" ref="G144:O146" si="24">G145</f>
        <v>394.4</v>
      </c>
      <c r="H144" s="111">
        <f t="shared" si="24"/>
        <v>0</v>
      </c>
      <c r="I144" s="111">
        <f t="shared" si="24"/>
        <v>394.4</v>
      </c>
      <c r="J144" s="114">
        <f t="shared" si="24"/>
        <v>0</v>
      </c>
      <c r="K144" s="111">
        <f>K145</f>
        <v>0</v>
      </c>
      <c r="L144" s="114">
        <f t="shared" si="24"/>
        <v>0</v>
      </c>
      <c r="M144" s="111">
        <f t="shared" si="24"/>
        <v>394.4</v>
      </c>
      <c r="N144" s="111">
        <f t="shared" si="24"/>
        <v>0</v>
      </c>
      <c r="O144" s="111">
        <f t="shared" si="24"/>
        <v>394.4</v>
      </c>
      <c r="P144" s="97"/>
      <c r="Q144" s="97"/>
    </row>
    <row r="145" spans="1:17" ht="31.5" x14ac:dyDescent="0.2">
      <c r="A145" s="40"/>
      <c r="B145" s="113" t="s">
        <v>181</v>
      </c>
      <c r="C145" s="113" t="s">
        <v>51</v>
      </c>
      <c r="D145" s="133" t="s">
        <v>158</v>
      </c>
      <c r="E145" s="133" t="s">
        <v>182</v>
      </c>
      <c r="F145" s="134" t="s">
        <v>11</v>
      </c>
      <c r="G145" s="111">
        <f t="shared" si="24"/>
        <v>394.4</v>
      </c>
      <c r="H145" s="111">
        <f t="shared" si="24"/>
        <v>0</v>
      </c>
      <c r="I145" s="111">
        <f t="shared" si="24"/>
        <v>394.4</v>
      </c>
      <c r="J145" s="114">
        <f t="shared" si="24"/>
        <v>0</v>
      </c>
      <c r="K145" s="111">
        <f>K146</f>
        <v>0</v>
      </c>
      <c r="L145" s="114">
        <f t="shared" si="24"/>
        <v>0</v>
      </c>
      <c r="M145" s="111">
        <f t="shared" si="24"/>
        <v>394.4</v>
      </c>
      <c r="N145" s="111">
        <f t="shared" si="24"/>
        <v>0</v>
      </c>
      <c r="O145" s="111">
        <f t="shared" si="24"/>
        <v>394.4</v>
      </c>
      <c r="P145" s="97"/>
      <c r="Q145" s="97"/>
    </row>
    <row r="146" spans="1:17" ht="15.75" x14ac:dyDescent="0.2">
      <c r="A146" s="40"/>
      <c r="B146" s="113" t="s">
        <v>183</v>
      </c>
      <c r="C146" s="113" t="s">
        <v>51</v>
      </c>
      <c r="D146" s="133" t="s">
        <v>158</v>
      </c>
      <c r="E146" s="133" t="s">
        <v>184</v>
      </c>
      <c r="F146" s="134" t="s">
        <v>11</v>
      </c>
      <c r="G146" s="111">
        <f>G147</f>
        <v>394.4</v>
      </c>
      <c r="H146" s="111">
        <f>H147</f>
        <v>0</v>
      </c>
      <c r="I146" s="111">
        <f>I147</f>
        <v>394.4</v>
      </c>
      <c r="J146" s="114">
        <f t="shared" si="24"/>
        <v>0</v>
      </c>
      <c r="K146" s="111"/>
      <c r="L146" s="114">
        <f t="shared" si="24"/>
        <v>0</v>
      </c>
      <c r="M146" s="111">
        <f t="shared" si="24"/>
        <v>394.4</v>
      </c>
      <c r="N146" s="111">
        <f t="shared" si="24"/>
        <v>0</v>
      </c>
      <c r="O146" s="111">
        <f t="shared" si="24"/>
        <v>394.4</v>
      </c>
      <c r="P146" s="97"/>
      <c r="Q146" s="97"/>
    </row>
    <row r="147" spans="1:17" ht="31.5" x14ac:dyDescent="0.2">
      <c r="A147" s="40"/>
      <c r="B147" s="113" t="s">
        <v>40</v>
      </c>
      <c r="C147" s="113" t="s">
        <v>51</v>
      </c>
      <c r="D147" s="133" t="s">
        <v>158</v>
      </c>
      <c r="E147" s="133" t="s">
        <v>184</v>
      </c>
      <c r="F147" s="134" t="s">
        <v>41</v>
      </c>
      <c r="G147" s="111">
        <v>394.4</v>
      </c>
      <c r="H147" s="111"/>
      <c r="I147" s="111">
        <f>SUM(G147)</f>
        <v>394.4</v>
      </c>
      <c r="J147" s="115">
        <v>0</v>
      </c>
      <c r="K147" s="111"/>
      <c r="L147" s="115">
        <v>0</v>
      </c>
      <c r="M147" s="111">
        <f>SUM(G147)</f>
        <v>394.4</v>
      </c>
      <c r="N147" s="111">
        <f>SUM(H147)</f>
        <v>0</v>
      </c>
      <c r="O147" s="111">
        <f>SUM(M147)</f>
        <v>394.4</v>
      </c>
      <c r="P147" s="97"/>
      <c r="Q147" s="97"/>
    </row>
    <row r="148" spans="1:17" ht="31.5" x14ac:dyDescent="0.2">
      <c r="A148" s="40"/>
      <c r="B148" s="113" t="s">
        <v>185</v>
      </c>
      <c r="C148" s="113" t="s">
        <v>51</v>
      </c>
      <c r="D148" s="133" t="s">
        <v>158</v>
      </c>
      <c r="E148" s="133" t="s">
        <v>186</v>
      </c>
      <c r="F148" s="134" t="s">
        <v>11</v>
      </c>
      <c r="G148" s="111">
        <f t="shared" ref="G148:O150" si="25">G149</f>
        <v>3366.5</v>
      </c>
      <c r="H148" s="111">
        <f t="shared" si="25"/>
        <v>0</v>
      </c>
      <c r="I148" s="111">
        <f t="shared" si="25"/>
        <v>3366.5</v>
      </c>
      <c r="J148" s="114">
        <f t="shared" si="25"/>
        <v>0</v>
      </c>
      <c r="K148" s="111">
        <f>K149</f>
        <v>0</v>
      </c>
      <c r="L148" s="114">
        <f t="shared" si="25"/>
        <v>0</v>
      </c>
      <c r="M148" s="111">
        <f t="shared" si="25"/>
        <v>3366.5</v>
      </c>
      <c r="N148" s="111">
        <f t="shared" si="25"/>
        <v>0</v>
      </c>
      <c r="O148" s="111">
        <f t="shared" si="25"/>
        <v>3366.5</v>
      </c>
      <c r="P148" s="97"/>
      <c r="Q148" s="97"/>
    </row>
    <row r="149" spans="1:17" ht="47.25" x14ac:dyDescent="0.2">
      <c r="A149" s="40"/>
      <c r="B149" s="113" t="s">
        <v>187</v>
      </c>
      <c r="C149" s="113" t="s">
        <v>51</v>
      </c>
      <c r="D149" s="133" t="s">
        <v>158</v>
      </c>
      <c r="E149" s="133" t="s">
        <v>188</v>
      </c>
      <c r="F149" s="134" t="s">
        <v>11</v>
      </c>
      <c r="G149" s="111">
        <f t="shared" si="25"/>
        <v>3366.5</v>
      </c>
      <c r="H149" s="111">
        <f t="shared" si="25"/>
        <v>0</v>
      </c>
      <c r="I149" s="111">
        <f t="shared" si="25"/>
        <v>3366.5</v>
      </c>
      <c r="J149" s="114">
        <f t="shared" si="25"/>
        <v>0</v>
      </c>
      <c r="K149" s="111">
        <f>K150</f>
        <v>0</v>
      </c>
      <c r="L149" s="114">
        <f t="shared" si="25"/>
        <v>0</v>
      </c>
      <c r="M149" s="111">
        <f t="shared" si="25"/>
        <v>3366.5</v>
      </c>
      <c r="N149" s="111">
        <f t="shared" si="25"/>
        <v>0</v>
      </c>
      <c r="O149" s="111">
        <f t="shared" si="25"/>
        <v>3366.5</v>
      </c>
      <c r="P149" s="97"/>
      <c r="Q149" s="97"/>
    </row>
    <row r="150" spans="1:17" ht="41.45" customHeight="1" x14ac:dyDescent="0.2">
      <c r="A150" s="40"/>
      <c r="B150" s="113" t="s">
        <v>189</v>
      </c>
      <c r="C150" s="113" t="s">
        <v>51</v>
      </c>
      <c r="D150" s="133" t="s">
        <v>158</v>
      </c>
      <c r="E150" s="133" t="s">
        <v>190</v>
      </c>
      <c r="F150" s="134" t="s">
        <v>11</v>
      </c>
      <c r="G150" s="111">
        <f>G151</f>
        <v>3366.5</v>
      </c>
      <c r="H150" s="111"/>
      <c r="I150" s="111">
        <f>I151</f>
        <v>3366.5</v>
      </c>
      <c r="J150" s="114">
        <f t="shared" si="25"/>
        <v>0</v>
      </c>
      <c r="K150" s="111"/>
      <c r="L150" s="114">
        <f t="shared" si="25"/>
        <v>0</v>
      </c>
      <c r="M150" s="111">
        <f t="shared" si="25"/>
        <v>3366.5</v>
      </c>
      <c r="N150" s="111">
        <f t="shared" si="25"/>
        <v>0</v>
      </c>
      <c r="O150" s="111">
        <f t="shared" si="25"/>
        <v>3366.5</v>
      </c>
      <c r="P150" s="97"/>
      <c r="Q150" s="97"/>
    </row>
    <row r="151" spans="1:17" ht="15.75" x14ac:dyDescent="0.2">
      <c r="A151" s="40"/>
      <c r="B151" s="113" t="s">
        <v>47</v>
      </c>
      <c r="C151" s="113" t="s">
        <v>51</v>
      </c>
      <c r="D151" s="133" t="s">
        <v>158</v>
      </c>
      <c r="E151" s="133" t="s">
        <v>190</v>
      </c>
      <c r="F151" s="134" t="s">
        <v>48</v>
      </c>
      <c r="G151" s="111">
        <v>3366.5</v>
      </c>
      <c r="H151" s="109"/>
      <c r="I151" s="111">
        <v>3366.5</v>
      </c>
      <c r="J151" s="115">
        <v>0</v>
      </c>
      <c r="K151" s="109"/>
      <c r="L151" s="115">
        <v>0</v>
      </c>
      <c r="M151" s="111">
        <v>3366.5</v>
      </c>
      <c r="N151" s="111"/>
      <c r="O151" s="111">
        <v>3366.5</v>
      </c>
      <c r="P151" s="97"/>
      <c r="Q151" s="97"/>
    </row>
    <row r="152" spans="1:17" ht="36.6" customHeight="1" x14ac:dyDescent="0.2">
      <c r="A152" s="33" t="s">
        <v>191</v>
      </c>
      <c r="B152" s="110" t="s">
        <v>192</v>
      </c>
      <c r="C152" s="110" t="s">
        <v>51</v>
      </c>
      <c r="D152" s="131" t="s">
        <v>193</v>
      </c>
      <c r="E152" s="131" t="s">
        <v>11</v>
      </c>
      <c r="F152" s="132" t="s">
        <v>11</v>
      </c>
      <c r="G152" s="109">
        <f>G153</f>
        <v>6415.3</v>
      </c>
      <c r="H152" s="109">
        <f>H153+H159+H163</f>
        <v>400</v>
      </c>
      <c r="I152" s="109">
        <f>I153</f>
        <v>6815.3</v>
      </c>
      <c r="J152" s="112">
        <f>J153</f>
        <v>0</v>
      </c>
      <c r="K152" s="111">
        <f>K153+K159+K163</f>
        <v>0</v>
      </c>
      <c r="L152" s="112">
        <f>L153</f>
        <v>0</v>
      </c>
      <c r="M152" s="109">
        <f>M153</f>
        <v>6415.3</v>
      </c>
      <c r="N152" s="109">
        <f>N153</f>
        <v>400</v>
      </c>
      <c r="O152" s="109">
        <f>O153</f>
        <v>6815.3</v>
      </c>
      <c r="P152" s="97"/>
      <c r="Q152" s="97"/>
    </row>
    <row r="153" spans="1:17" ht="31.5" x14ac:dyDescent="0.2">
      <c r="A153" s="40"/>
      <c r="B153" s="113" t="s">
        <v>159</v>
      </c>
      <c r="C153" s="113" t="s">
        <v>51</v>
      </c>
      <c r="D153" s="133" t="s">
        <v>193</v>
      </c>
      <c r="E153" s="133" t="s">
        <v>160</v>
      </c>
      <c r="F153" s="134" t="s">
        <v>11</v>
      </c>
      <c r="G153" s="111">
        <f>G154+G160+G164</f>
        <v>6415.3</v>
      </c>
      <c r="H153" s="111">
        <f>H154</f>
        <v>400</v>
      </c>
      <c r="I153" s="111">
        <f>I154+I160+I164</f>
        <v>6815.3</v>
      </c>
      <c r="J153" s="114">
        <f>J154+J160+J164</f>
        <v>0</v>
      </c>
      <c r="K153" s="111">
        <f>K154</f>
        <v>0</v>
      </c>
      <c r="L153" s="114">
        <f>L154+L160+L164</f>
        <v>0</v>
      </c>
      <c r="M153" s="111">
        <f>M154+M160+M164</f>
        <v>6415.3</v>
      </c>
      <c r="N153" s="111">
        <f>N154+N160+N164</f>
        <v>400</v>
      </c>
      <c r="O153" s="111">
        <f>O154+O160+O164</f>
        <v>6815.3</v>
      </c>
      <c r="P153" s="97"/>
      <c r="Q153" s="97"/>
    </row>
    <row r="154" spans="1:17" ht="31.5" x14ac:dyDescent="0.2">
      <c r="A154" s="40"/>
      <c r="B154" s="113" t="s">
        <v>194</v>
      </c>
      <c r="C154" s="113" t="s">
        <v>51</v>
      </c>
      <c r="D154" s="133" t="s">
        <v>193</v>
      </c>
      <c r="E154" s="133" t="s">
        <v>195</v>
      </c>
      <c r="F154" s="134" t="s">
        <v>11</v>
      </c>
      <c r="G154" s="111">
        <f>G155</f>
        <v>6300.3</v>
      </c>
      <c r="H154" s="111">
        <f>H155</f>
        <v>400</v>
      </c>
      <c r="I154" s="111">
        <f>I155</f>
        <v>6700.3</v>
      </c>
      <c r="J154" s="114">
        <f>J155</f>
        <v>0</v>
      </c>
      <c r="K154" s="111">
        <f>K155+K157</f>
        <v>0</v>
      </c>
      <c r="L154" s="114">
        <f>L155</f>
        <v>0</v>
      </c>
      <c r="M154" s="111">
        <f>M155</f>
        <v>6300.3</v>
      </c>
      <c r="N154" s="111">
        <f>N155</f>
        <v>400</v>
      </c>
      <c r="O154" s="111">
        <f>O155</f>
        <v>6700.3</v>
      </c>
      <c r="P154" s="97"/>
      <c r="Q154" s="97"/>
    </row>
    <row r="155" spans="1:17" ht="47.25" x14ac:dyDescent="0.2">
      <c r="A155" s="40"/>
      <c r="B155" s="113" t="s">
        <v>196</v>
      </c>
      <c r="C155" s="113" t="s">
        <v>51</v>
      </c>
      <c r="D155" s="133" t="s">
        <v>193</v>
      </c>
      <c r="E155" s="133" t="s">
        <v>197</v>
      </c>
      <c r="F155" s="134" t="s">
        <v>11</v>
      </c>
      <c r="G155" s="111">
        <f>G156+G158</f>
        <v>6300.3</v>
      </c>
      <c r="H155" s="111">
        <f>H156</f>
        <v>400</v>
      </c>
      <c r="I155" s="111">
        <f>I156+I158</f>
        <v>6700.3</v>
      </c>
      <c r="J155" s="114">
        <f>J156+J158</f>
        <v>0</v>
      </c>
      <c r="K155" s="111">
        <f>K156</f>
        <v>0</v>
      </c>
      <c r="L155" s="114">
        <f>L156+L158</f>
        <v>0</v>
      </c>
      <c r="M155" s="111">
        <f>M156+M158</f>
        <v>6300.3</v>
      </c>
      <c r="N155" s="111">
        <f>N156+N158</f>
        <v>400</v>
      </c>
      <c r="O155" s="111">
        <f>O156+O158</f>
        <v>6700.3</v>
      </c>
      <c r="P155" s="97"/>
      <c r="Q155" s="97"/>
    </row>
    <row r="156" spans="1:17" ht="31.5" x14ac:dyDescent="0.2">
      <c r="A156" s="40"/>
      <c r="B156" s="113" t="s">
        <v>198</v>
      </c>
      <c r="C156" s="113" t="s">
        <v>51</v>
      </c>
      <c r="D156" s="133" t="s">
        <v>193</v>
      </c>
      <c r="E156" s="133" t="s">
        <v>199</v>
      </c>
      <c r="F156" s="134" t="s">
        <v>11</v>
      </c>
      <c r="G156" s="111">
        <f>G157</f>
        <v>1435.5</v>
      </c>
      <c r="H156" s="111">
        <f>SUM(H157)</f>
        <v>400</v>
      </c>
      <c r="I156" s="111">
        <f>I157</f>
        <v>1835.5</v>
      </c>
      <c r="J156" s="114">
        <f>J157</f>
        <v>0</v>
      </c>
      <c r="K156" s="111"/>
      <c r="L156" s="114">
        <f>L157</f>
        <v>0</v>
      </c>
      <c r="M156" s="111">
        <f>M157</f>
        <v>1435.5</v>
      </c>
      <c r="N156" s="111">
        <f>N157</f>
        <v>400</v>
      </c>
      <c r="O156" s="111">
        <f>O157</f>
        <v>1835.5</v>
      </c>
      <c r="P156" s="97"/>
      <c r="Q156" s="97"/>
    </row>
    <row r="157" spans="1:17" ht="31.5" x14ac:dyDescent="0.2">
      <c r="A157" s="40"/>
      <c r="B157" s="113" t="s">
        <v>40</v>
      </c>
      <c r="C157" s="113" t="s">
        <v>51</v>
      </c>
      <c r="D157" s="133" t="s">
        <v>193</v>
      </c>
      <c r="E157" s="133" t="s">
        <v>199</v>
      </c>
      <c r="F157" s="134" t="s">
        <v>41</v>
      </c>
      <c r="G157" s="111">
        <v>1435.5</v>
      </c>
      <c r="H157" s="111">
        <v>400</v>
      </c>
      <c r="I157" s="111">
        <f>SUM(G157)+H157</f>
        <v>1835.5</v>
      </c>
      <c r="J157" s="115">
        <v>0</v>
      </c>
      <c r="K157" s="111"/>
      <c r="L157" s="115">
        <v>0</v>
      </c>
      <c r="M157" s="111">
        <f>SUM(G157)</f>
        <v>1435.5</v>
      </c>
      <c r="N157" s="111">
        <f>SUM(H157)</f>
        <v>400</v>
      </c>
      <c r="O157" s="111">
        <f>SUM(I157)</f>
        <v>1835.5</v>
      </c>
      <c r="P157" s="97"/>
      <c r="Q157" s="97"/>
    </row>
    <row r="158" spans="1:17" ht="63" x14ac:dyDescent="0.2">
      <c r="A158" s="40"/>
      <c r="B158" s="113" t="s">
        <v>200</v>
      </c>
      <c r="C158" s="113" t="s">
        <v>51</v>
      </c>
      <c r="D158" s="133" t="s">
        <v>193</v>
      </c>
      <c r="E158" s="133" t="s">
        <v>201</v>
      </c>
      <c r="F158" s="134" t="s">
        <v>11</v>
      </c>
      <c r="G158" s="111">
        <f>G159</f>
        <v>4864.8</v>
      </c>
      <c r="H158" s="111"/>
      <c r="I158" s="111">
        <f>I159</f>
        <v>4864.8</v>
      </c>
      <c r="J158" s="114">
        <f>J159</f>
        <v>0</v>
      </c>
      <c r="K158" s="111"/>
      <c r="L158" s="114">
        <f>L159</f>
        <v>0</v>
      </c>
      <c r="M158" s="111">
        <f>M159</f>
        <v>4864.8</v>
      </c>
      <c r="N158" s="111">
        <f>N159</f>
        <v>0</v>
      </c>
      <c r="O158" s="111">
        <f>O159</f>
        <v>4864.8</v>
      </c>
      <c r="P158" s="97"/>
      <c r="Q158" s="97"/>
    </row>
    <row r="159" spans="1:17" ht="15.75" x14ac:dyDescent="0.2">
      <c r="A159" s="40"/>
      <c r="B159" s="113" t="s">
        <v>47</v>
      </c>
      <c r="C159" s="113" t="s">
        <v>51</v>
      </c>
      <c r="D159" s="133" t="s">
        <v>193</v>
      </c>
      <c r="E159" s="133" t="s">
        <v>201</v>
      </c>
      <c r="F159" s="134" t="s">
        <v>48</v>
      </c>
      <c r="G159" s="111">
        <v>4864.8</v>
      </c>
      <c r="H159" s="111"/>
      <c r="I159" s="111">
        <v>4864.8</v>
      </c>
      <c r="J159" s="115">
        <v>0</v>
      </c>
      <c r="K159" s="111"/>
      <c r="L159" s="115">
        <v>0</v>
      </c>
      <c r="M159" s="111">
        <v>4864.8</v>
      </c>
      <c r="N159" s="111"/>
      <c r="O159" s="111">
        <v>4864.8</v>
      </c>
      <c r="P159" s="97"/>
      <c r="Q159" s="97"/>
    </row>
    <row r="160" spans="1:17" ht="15.75" x14ac:dyDescent="0.2">
      <c r="A160" s="40"/>
      <c r="B160" s="113" t="s">
        <v>202</v>
      </c>
      <c r="C160" s="113" t="s">
        <v>51</v>
      </c>
      <c r="D160" s="133" t="s">
        <v>193</v>
      </c>
      <c r="E160" s="133" t="s">
        <v>203</v>
      </c>
      <c r="F160" s="134" t="s">
        <v>11</v>
      </c>
      <c r="G160" s="111">
        <f t="shared" ref="G160:O162" si="26">G161</f>
        <v>20</v>
      </c>
      <c r="H160" s="111">
        <f t="shared" si="26"/>
        <v>0</v>
      </c>
      <c r="I160" s="111">
        <f t="shared" si="26"/>
        <v>20</v>
      </c>
      <c r="J160" s="114">
        <f t="shared" si="26"/>
        <v>0</v>
      </c>
      <c r="K160" s="111">
        <f>K161</f>
        <v>0</v>
      </c>
      <c r="L160" s="114">
        <f t="shared" si="26"/>
        <v>0</v>
      </c>
      <c r="M160" s="111">
        <f t="shared" si="26"/>
        <v>20</v>
      </c>
      <c r="N160" s="111">
        <f t="shared" si="26"/>
        <v>0</v>
      </c>
      <c r="O160" s="111">
        <f t="shared" si="26"/>
        <v>20</v>
      </c>
      <c r="P160" s="97"/>
      <c r="Q160" s="97"/>
    </row>
    <row r="161" spans="1:17" ht="34.9" customHeight="1" x14ac:dyDescent="0.2">
      <c r="A161" s="40"/>
      <c r="B161" s="113" t="s">
        <v>204</v>
      </c>
      <c r="C161" s="113" t="s">
        <v>51</v>
      </c>
      <c r="D161" s="133" t="s">
        <v>193</v>
      </c>
      <c r="E161" s="133" t="s">
        <v>205</v>
      </c>
      <c r="F161" s="134" t="s">
        <v>11</v>
      </c>
      <c r="G161" s="111">
        <f t="shared" si="26"/>
        <v>20</v>
      </c>
      <c r="H161" s="111">
        <f t="shared" si="26"/>
        <v>0</v>
      </c>
      <c r="I161" s="111">
        <f t="shared" si="26"/>
        <v>20</v>
      </c>
      <c r="J161" s="114">
        <f t="shared" si="26"/>
        <v>0</v>
      </c>
      <c r="K161" s="111">
        <f>K162</f>
        <v>0</v>
      </c>
      <c r="L161" s="114">
        <f t="shared" si="26"/>
        <v>0</v>
      </c>
      <c r="M161" s="111">
        <f t="shared" si="26"/>
        <v>20</v>
      </c>
      <c r="N161" s="111">
        <f t="shared" si="26"/>
        <v>0</v>
      </c>
      <c r="O161" s="111">
        <f t="shared" si="26"/>
        <v>20</v>
      </c>
      <c r="P161" s="97"/>
      <c r="Q161" s="97"/>
    </row>
    <row r="162" spans="1:17" ht="15.75" x14ac:dyDescent="0.2">
      <c r="A162" s="40"/>
      <c r="B162" s="113" t="s">
        <v>206</v>
      </c>
      <c r="C162" s="113" t="s">
        <v>51</v>
      </c>
      <c r="D162" s="133" t="s">
        <v>193</v>
      </c>
      <c r="E162" s="133" t="s">
        <v>207</v>
      </c>
      <c r="F162" s="134" t="s">
        <v>11</v>
      </c>
      <c r="G162" s="111">
        <f>G163</f>
        <v>20</v>
      </c>
      <c r="H162" s="111"/>
      <c r="I162" s="111">
        <f>I163</f>
        <v>20</v>
      </c>
      <c r="J162" s="114">
        <f t="shared" si="26"/>
        <v>0</v>
      </c>
      <c r="K162" s="111"/>
      <c r="L162" s="114">
        <f t="shared" si="26"/>
        <v>0</v>
      </c>
      <c r="M162" s="111">
        <f t="shared" si="26"/>
        <v>20</v>
      </c>
      <c r="N162" s="111">
        <f t="shared" si="26"/>
        <v>0</v>
      </c>
      <c r="O162" s="111">
        <f t="shared" si="26"/>
        <v>20</v>
      </c>
      <c r="P162" s="97"/>
      <c r="Q162" s="97"/>
    </row>
    <row r="163" spans="1:17" ht="31.5" x14ac:dyDescent="0.2">
      <c r="A163" s="40"/>
      <c r="B163" s="113" t="s">
        <v>40</v>
      </c>
      <c r="C163" s="113" t="s">
        <v>51</v>
      </c>
      <c r="D163" s="133" t="s">
        <v>193</v>
      </c>
      <c r="E163" s="133" t="s">
        <v>207</v>
      </c>
      <c r="F163" s="134" t="s">
        <v>41</v>
      </c>
      <c r="G163" s="111">
        <v>20</v>
      </c>
      <c r="H163" s="111"/>
      <c r="I163" s="111">
        <v>20</v>
      </c>
      <c r="J163" s="115">
        <v>0</v>
      </c>
      <c r="K163" s="111"/>
      <c r="L163" s="115">
        <v>0</v>
      </c>
      <c r="M163" s="111">
        <v>20</v>
      </c>
      <c r="N163" s="111"/>
      <c r="O163" s="111">
        <v>20</v>
      </c>
      <c r="P163" s="97"/>
      <c r="Q163" s="97"/>
    </row>
    <row r="164" spans="1:17" ht="31.5" x14ac:dyDescent="0.2">
      <c r="A164" s="40"/>
      <c r="B164" s="113" t="s">
        <v>185</v>
      </c>
      <c r="C164" s="113" t="s">
        <v>51</v>
      </c>
      <c r="D164" s="133" t="s">
        <v>193</v>
      </c>
      <c r="E164" s="133" t="s">
        <v>186</v>
      </c>
      <c r="F164" s="134" t="s">
        <v>11</v>
      </c>
      <c r="G164" s="111">
        <f t="shared" ref="G164:O166" si="27">G165</f>
        <v>95</v>
      </c>
      <c r="H164" s="111">
        <f t="shared" si="27"/>
        <v>0</v>
      </c>
      <c r="I164" s="111">
        <f t="shared" si="27"/>
        <v>95</v>
      </c>
      <c r="J164" s="114">
        <f t="shared" si="27"/>
        <v>0</v>
      </c>
      <c r="K164" s="111">
        <f>K165</f>
        <v>0</v>
      </c>
      <c r="L164" s="114">
        <f t="shared" si="27"/>
        <v>0</v>
      </c>
      <c r="M164" s="111">
        <f t="shared" si="27"/>
        <v>95</v>
      </c>
      <c r="N164" s="111">
        <f t="shared" si="27"/>
        <v>0</v>
      </c>
      <c r="O164" s="111">
        <f t="shared" si="27"/>
        <v>95</v>
      </c>
      <c r="P164" s="97"/>
      <c r="Q164" s="97"/>
    </row>
    <row r="165" spans="1:17" ht="52.15" customHeight="1" x14ac:dyDescent="0.2">
      <c r="A165" s="40"/>
      <c r="B165" s="113" t="s">
        <v>208</v>
      </c>
      <c r="C165" s="113" t="s">
        <v>51</v>
      </c>
      <c r="D165" s="133" t="s">
        <v>193</v>
      </c>
      <c r="E165" s="133" t="s">
        <v>209</v>
      </c>
      <c r="F165" s="134" t="s">
        <v>11</v>
      </c>
      <c r="G165" s="111">
        <f t="shared" si="27"/>
        <v>95</v>
      </c>
      <c r="H165" s="111">
        <f t="shared" si="27"/>
        <v>0</v>
      </c>
      <c r="I165" s="111">
        <f t="shared" si="27"/>
        <v>95</v>
      </c>
      <c r="J165" s="114">
        <f t="shared" si="27"/>
        <v>0</v>
      </c>
      <c r="K165" s="111">
        <f>K166</f>
        <v>0</v>
      </c>
      <c r="L165" s="114">
        <f t="shared" si="27"/>
        <v>0</v>
      </c>
      <c r="M165" s="111">
        <f t="shared" si="27"/>
        <v>95</v>
      </c>
      <c r="N165" s="111">
        <f t="shared" si="27"/>
        <v>0</v>
      </c>
      <c r="O165" s="111">
        <f t="shared" si="27"/>
        <v>95</v>
      </c>
      <c r="P165" s="97"/>
      <c r="Q165" s="97"/>
    </row>
    <row r="166" spans="1:17" ht="20.45" customHeight="1" x14ac:dyDescent="0.2">
      <c r="A166" s="40"/>
      <c r="B166" s="113" t="s">
        <v>210</v>
      </c>
      <c r="C166" s="113" t="s">
        <v>51</v>
      </c>
      <c r="D166" s="133" t="s">
        <v>193</v>
      </c>
      <c r="E166" s="133" t="s">
        <v>211</v>
      </c>
      <c r="F166" s="134" t="s">
        <v>11</v>
      </c>
      <c r="G166" s="111">
        <f>G167</f>
        <v>95</v>
      </c>
      <c r="H166" s="111"/>
      <c r="I166" s="111">
        <f>I167</f>
        <v>95</v>
      </c>
      <c r="J166" s="114">
        <f t="shared" si="27"/>
        <v>0</v>
      </c>
      <c r="K166" s="111"/>
      <c r="L166" s="114">
        <f t="shared" si="27"/>
        <v>0</v>
      </c>
      <c r="M166" s="111">
        <f t="shared" si="27"/>
        <v>95</v>
      </c>
      <c r="N166" s="111">
        <f t="shared" si="27"/>
        <v>0</v>
      </c>
      <c r="O166" s="111">
        <f t="shared" si="27"/>
        <v>95</v>
      </c>
      <c r="P166" s="97"/>
      <c r="Q166" s="97"/>
    </row>
    <row r="167" spans="1:17" ht="31.5" x14ac:dyDescent="0.2">
      <c r="A167" s="40"/>
      <c r="B167" s="113" t="s">
        <v>40</v>
      </c>
      <c r="C167" s="113" t="s">
        <v>51</v>
      </c>
      <c r="D167" s="133" t="s">
        <v>193</v>
      </c>
      <c r="E167" s="133" t="s">
        <v>211</v>
      </c>
      <c r="F167" s="134" t="s">
        <v>41</v>
      </c>
      <c r="G167" s="111">
        <v>95</v>
      </c>
      <c r="H167" s="106"/>
      <c r="I167" s="111">
        <v>95</v>
      </c>
      <c r="J167" s="115">
        <v>0</v>
      </c>
      <c r="K167" s="106"/>
      <c r="L167" s="115">
        <v>0</v>
      </c>
      <c r="M167" s="111">
        <v>95</v>
      </c>
      <c r="N167" s="111"/>
      <c r="O167" s="111">
        <v>95</v>
      </c>
      <c r="P167" s="97"/>
      <c r="Q167" s="97"/>
    </row>
    <row r="168" spans="1:17" ht="15.75" x14ac:dyDescent="0.2">
      <c r="A168" s="20" t="s">
        <v>212</v>
      </c>
      <c r="B168" s="107" t="s">
        <v>213</v>
      </c>
      <c r="C168" s="107" t="s">
        <v>51</v>
      </c>
      <c r="D168" s="129" t="s">
        <v>214</v>
      </c>
      <c r="E168" s="129" t="s">
        <v>11</v>
      </c>
      <c r="F168" s="130" t="s">
        <v>11</v>
      </c>
      <c r="G168" s="106">
        <f t="shared" ref="G168:O168" si="28">G169+G177+G200+G206</f>
        <v>77733</v>
      </c>
      <c r="H168" s="106">
        <f t="shared" si="28"/>
        <v>-307</v>
      </c>
      <c r="I168" s="106">
        <f t="shared" si="28"/>
        <v>77426</v>
      </c>
      <c r="J168" s="108">
        <f t="shared" si="28"/>
        <v>205446.9</v>
      </c>
      <c r="K168" s="108">
        <f t="shared" si="28"/>
        <v>0</v>
      </c>
      <c r="L168" s="108">
        <f t="shared" si="28"/>
        <v>205446.9</v>
      </c>
      <c r="M168" s="106">
        <f t="shared" si="28"/>
        <v>283179.90000000002</v>
      </c>
      <c r="N168" s="106">
        <f t="shared" si="28"/>
        <v>-307</v>
      </c>
      <c r="O168" s="106">
        <f t="shared" si="28"/>
        <v>282872.90000000002</v>
      </c>
      <c r="P168" s="97"/>
      <c r="Q168" s="97"/>
    </row>
    <row r="169" spans="1:17" ht="15.75" x14ac:dyDescent="0.2">
      <c r="A169" s="33" t="s">
        <v>215</v>
      </c>
      <c r="B169" s="110" t="s">
        <v>216</v>
      </c>
      <c r="C169" s="110" t="s">
        <v>51</v>
      </c>
      <c r="D169" s="131" t="s">
        <v>217</v>
      </c>
      <c r="E169" s="131" t="s">
        <v>11</v>
      </c>
      <c r="F169" s="132" t="s">
        <v>11</v>
      </c>
      <c r="G169" s="109">
        <f t="shared" ref="G169:O173" si="29">G170</f>
        <v>10929.4</v>
      </c>
      <c r="H169" s="111">
        <f t="shared" si="29"/>
        <v>293</v>
      </c>
      <c r="I169" s="109">
        <f t="shared" si="29"/>
        <v>11222.4</v>
      </c>
      <c r="J169" s="112">
        <f t="shared" si="29"/>
        <v>148194</v>
      </c>
      <c r="K169" s="111">
        <f>K170</f>
        <v>0</v>
      </c>
      <c r="L169" s="112">
        <f t="shared" si="29"/>
        <v>148194</v>
      </c>
      <c r="M169" s="109">
        <f>M170</f>
        <v>159123.4</v>
      </c>
      <c r="N169" s="109">
        <f t="shared" si="29"/>
        <v>293</v>
      </c>
      <c r="O169" s="109">
        <f t="shared" si="29"/>
        <v>159416.4</v>
      </c>
      <c r="P169" s="97"/>
      <c r="Q169" s="97"/>
    </row>
    <row r="170" spans="1:17" ht="31.5" x14ac:dyDescent="0.2">
      <c r="A170" s="40"/>
      <c r="B170" s="113" t="s">
        <v>218</v>
      </c>
      <c r="C170" s="113" t="s">
        <v>51</v>
      </c>
      <c r="D170" s="133" t="s">
        <v>217</v>
      </c>
      <c r="E170" s="133" t="s">
        <v>219</v>
      </c>
      <c r="F170" s="134" t="s">
        <v>11</v>
      </c>
      <c r="G170" s="111">
        <f t="shared" si="29"/>
        <v>10929.4</v>
      </c>
      <c r="H170" s="111">
        <f t="shared" si="29"/>
        <v>293</v>
      </c>
      <c r="I170" s="111">
        <f t="shared" si="29"/>
        <v>11222.4</v>
      </c>
      <c r="J170" s="114">
        <f t="shared" si="29"/>
        <v>148194</v>
      </c>
      <c r="K170" s="111">
        <f>K171</f>
        <v>0</v>
      </c>
      <c r="L170" s="114">
        <f t="shared" si="29"/>
        <v>148194</v>
      </c>
      <c r="M170" s="111">
        <f t="shared" si="29"/>
        <v>159123.4</v>
      </c>
      <c r="N170" s="111">
        <f t="shared" si="29"/>
        <v>293</v>
      </c>
      <c r="O170" s="111">
        <f t="shared" si="29"/>
        <v>159416.4</v>
      </c>
      <c r="P170" s="97"/>
      <c r="Q170" s="97"/>
    </row>
    <row r="171" spans="1:17" ht="31.5" x14ac:dyDescent="0.2">
      <c r="A171" s="40"/>
      <c r="B171" s="113" t="s">
        <v>185</v>
      </c>
      <c r="C171" s="113" t="s">
        <v>51</v>
      </c>
      <c r="D171" s="133" t="s">
        <v>217</v>
      </c>
      <c r="E171" s="133" t="s">
        <v>220</v>
      </c>
      <c r="F171" s="134" t="s">
        <v>11</v>
      </c>
      <c r="G171" s="111">
        <f t="shared" si="29"/>
        <v>10929.4</v>
      </c>
      <c r="H171" s="111">
        <f t="shared" si="29"/>
        <v>293</v>
      </c>
      <c r="I171" s="111">
        <f t="shared" si="29"/>
        <v>11222.4</v>
      </c>
      <c r="J171" s="114">
        <f t="shared" si="29"/>
        <v>148194</v>
      </c>
      <c r="K171" s="111">
        <f>K172</f>
        <v>0</v>
      </c>
      <c r="L171" s="114">
        <f t="shared" si="29"/>
        <v>148194</v>
      </c>
      <c r="M171" s="111">
        <f t="shared" si="29"/>
        <v>159123.4</v>
      </c>
      <c r="N171" s="111">
        <f t="shared" si="29"/>
        <v>293</v>
      </c>
      <c r="O171" s="111">
        <f t="shared" si="29"/>
        <v>159416.4</v>
      </c>
      <c r="P171" s="97"/>
      <c r="Q171" s="97"/>
    </row>
    <row r="172" spans="1:17" ht="31.5" x14ac:dyDescent="0.2">
      <c r="A172" s="40"/>
      <c r="B172" s="113" t="s">
        <v>221</v>
      </c>
      <c r="C172" s="113" t="s">
        <v>51</v>
      </c>
      <c r="D172" s="133" t="s">
        <v>217</v>
      </c>
      <c r="E172" s="133" t="s">
        <v>222</v>
      </c>
      <c r="F172" s="134" t="s">
        <v>11</v>
      </c>
      <c r="G172" s="111">
        <f>G173+G175</f>
        <v>10929.4</v>
      </c>
      <c r="H172" s="111">
        <f>H173+H175</f>
        <v>293</v>
      </c>
      <c r="I172" s="111">
        <f>I173+I175</f>
        <v>11222.4</v>
      </c>
      <c r="J172" s="114">
        <f t="shared" si="29"/>
        <v>148194</v>
      </c>
      <c r="K172" s="111">
        <f>K173</f>
        <v>0</v>
      </c>
      <c r="L172" s="114">
        <f t="shared" si="29"/>
        <v>148194</v>
      </c>
      <c r="M172" s="111">
        <f>SUM(G172+J172)</f>
        <v>159123.4</v>
      </c>
      <c r="N172" s="111">
        <f>N173+N175</f>
        <v>293</v>
      </c>
      <c r="O172" s="111">
        <f>SUM(I172+L172)</f>
        <v>159416.4</v>
      </c>
      <c r="P172" s="97"/>
      <c r="Q172" s="97"/>
    </row>
    <row r="173" spans="1:17" ht="84" customHeight="1" x14ac:dyDescent="0.2">
      <c r="A173" s="40"/>
      <c r="B173" s="113" t="s">
        <v>577</v>
      </c>
      <c r="C173" s="113" t="s">
        <v>51</v>
      </c>
      <c r="D173" s="133" t="s">
        <v>217</v>
      </c>
      <c r="E173" s="133" t="s">
        <v>224</v>
      </c>
      <c r="F173" s="134" t="s">
        <v>11</v>
      </c>
      <c r="G173" s="111">
        <f>G174</f>
        <v>7799.8</v>
      </c>
      <c r="H173" s="111"/>
      <c r="I173" s="111">
        <f>I174</f>
        <v>7799.8</v>
      </c>
      <c r="J173" s="114">
        <f t="shared" si="29"/>
        <v>148194</v>
      </c>
      <c r="K173" s="111">
        <f>SUM(K174)</f>
        <v>0</v>
      </c>
      <c r="L173" s="114">
        <f t="shared" si="29"/>
        <v>148194</v>
      </c>
      <c r="M173" s="111">
        <f t="shared" si="29"/>
        <v>155993.79999999999</v>
      </c>
      <c r="N173" s="111">
        <f>N174</f>
        <v>0</v>
      </c>
      <c r="O173" s="111">
        <f t="shared" si="29"/>
        <v>155993.79999999999</v>
      </c>
      <c r="P173" s="97"/>
      <c r="Q173" s="97"/>
    </row>
    <row r="174" spans="1:17" ht="31.5" x14ac:dyDescent="0.2">
      <c r="A174" s="40"/>
      <c r="B174" s="113" t="s">
        <v>225</v>
      </c>
      <c r="C174" s="113" t="s">
        <v>51</v>
      </c>
      <c r="D174" s="133" t="s">
        <v>217</v>
      </c>
      <c r="E174" s="133" t="s">
        <v>224</v>
      </c>
      <c r="F174" s="134" t="s">
        <v>226</v>
      </c>
      <c r="G174" s="111">
        <v>7799.8</v>
      </c>
      <c r="H174" s="109"/>
      <c r="I174" s="111">
        <f>487.6+7312.2</f>
        <v>7799.8</v>
      </c>
      <c r="J174" s="115">
        <v>148194</v>
      </c>
      <c r="K174" s="109"/>
      <c r="L174" s="115">
        <f>SUM(J174)</f>
        <v>148194</v>
      </c>
      <c r="M174" s="111">
        <f>SUM(G174+J174)</f>
        <v>155993.79999999999</v>
      </c>
      <c r="N174" s="111">
        <f>SUM(K174)+H174</f>
        <v>0</v>
      </c>
      <c r="O174" s="111">
        <f>SUM(N174)+M174</f>
        <v>155993.79999999999</v>
      </c>
      <c r="P174" s="97"/>
      <c r="Q174" s="97"/>
    </row>
    <row r="175" spans="1:17" ht="110.25" x14ac:dyDescent="0.2">
      <c r="A175" s="40"/>
      <c r="B175" s="140" t="s">
        <v>576</v>
      </c>
      <c r="C175" s="113">
        <v>992</v>
      </c>
      <c r="D175" s="133" t="s">
        <v>217</v>
      </c>
      <c r="E175" s="136" t="s">
        <v>562</v>
      </c>
      <c r="F175" s="134"/>
      <c r="G175" s="111">
        <f>SUM(G176)</f>
        <v>3129.6</v>
      </c>
      <c r="H175" s="111">
        <f>H176</f>
        <v>293</v>
      </c>
      <c r="I175" s="111">
        <f>SUM(G175:H175)</f>
        <v>3422.6</v>
      </c>
      <c r="J175" s="115"/>
      <c r="K175" s="109"/>
      <c r="L175" s="115"/>
      <c r="M175" s="111">
        <f>M176</f>
        <v>3129.6</v>
      </c>
      <c r="N175" s="111">
        <f t="shared" ref="M175:O176" si="30">SUM(H175)</f>
        <v>293</v>
      </c>
      <c r="O175" s="111">
        <f>SUM(I175)</f>
        <v>3422.6</v>
      </c>
      <c r="P175" s="97"/>
      <c r="Q175" s="97"/>
    </row>
    <row r="176" spans="1:17" ht="31.5" x14ac:dyDescent="0.2">
      <c r="A176" s="40"/>
      <c r="B176" s="113" t="s">
        <v>225</v>
      </c>
      <c r="C176" s="113">
        <v>992</v>
      </c>
      <c r="D176" s="133" t="s">
        <v>217</v>
      </c>
      <c r="E176" s="136" t="s">
        <v>562</v>
      </c>
      <c r="F176" s="134">
        <v>400</v>
      </c>
      <c r="G176" s="111">
        <v>3129.6</v>
      </c>
      <c r="H176" s="111">
        <v>293</v>
      </c>
      <c r="I176" s="111">
        <f>SUM(H176)+G176</f>
        <v>3422.6</v>
      </c>
      <c r="J176" s="115"/>
      <c r="K176" s="109"/>
      <c r="L176" s="115"/>
      <c r="M176" s="111">
        <f t="shared" si="30"/>
        <v>3129.6</v>
      </c>
      <c r="N176" s="111">
        <f t="shared" si="30"/>
        <v>293</v>
      </c>
      <c r="O176" s="111">
        <f t="shared" si="30"/>
        <v>3422.6</v>
      </c>
      <c r="P176" s="97"/>
      <c r="Q176" s="97"/>
    </row>
    <row r="177" spans="1:17" ht="15.75" x14ac:dyDescent="0.2">
      <c r="A177" s="33" t="s">
        <v>227</v>
      </c>
      <c r="B177" s="110" t="s">
        <v>228</v>
      </c>
      <c r="C177" s="110" t="s">
        <v>51</v>
      </c>
      <c r="D177" s="131" t="s">
        <v>229</v>
      </c>
      <c r="E177" s="131" t="s">
        <v>11</v>
      </c>
      <c r="F177" s="132" t="s">
        <v>11</v>
      </c>
      <c r="G177" s="109">
        <f>G178+G191+G197</f>
        <v>34350.199999999997</v>
      </c>
      <c r="H177" s="111">
        <f>H178+H191+H198</f>
        <v>-600</v>
      </c>
      <c r="I177" s="109">
        <f>I178+I191+I197</f>
        <v>33750.199999999997</v>
      </c>
      <c r="J177" s="112">
        <f>J178+J191</f>
        <v>43692.5</v>
      </c>
      <c r="K177" s="111">
        <f>K178</f>
        <v>0</v>
      </c>
      <c r="L177" s="112">
        <f>L178+L191</f>
        <v>43692.5</v>
      </c>
      <c r="M177" s="109">
        <f>M178+M191+M197</f>
        <v>78042.700000000012</v>
      </c>
      <c r="N177" s="111">
        <f>N178+N191+N198</f>
        <v>-600</v>
      </c>
      <c r="O177" s="109">
        <f>O178+O191+O197</f>
        <v>77442.700000000012</v>
      </c>
      <c r="P177" s="97"/>
      <c r="Q177" s="97"/>
    </row>
    <row r="178" spans="1:17" ht="47.25" x14ac:dyDescent="0.2">
      <c r="A178" s="40"/>
      <c r="B178" s="113" t="s">
        <v>230</v>
      </c>
      <c r="C178" s="113" t="s">
        <v>51</v>
      </c>
      <c r="D178" s="133" t="s">
        <v>229</v>
      </c>
      <c r="E178" s="133" t="s">
        <v>231</v>
      </c>
      <c r="F178" s="134" t="s">
        <v>11</v>
      </c>
      <c r="G178" s="111">
        <f>G179</f>
        <v>17273.599999999999</v>
      </c>
      <c r="H178" s="111">
        <f>H179+H187</f>
        <v>-600</v>
      </c>
      <c r="I178" s="111">
        <f>I179</f>
        <v>16673.599999999999</v>
      </c>
      <c r="J178" s="114">
        <f>J179</f>
        <v>43692.5</v>
      </c>
      <c r="K178" s="111">
        <f>K179+K187</f>
        <v>0</v>
      </c>
      <c r="L178" s="114">
        <f>L179</f>
        <v>43692.5</v>
      </c>
      <c r="M178" s="111">
        <f>M179</f>
        <v>60966.1</v>
      </c>
      <c r="N178" s="111">
        <f>N179</f>
        <v>-600</v>
      </c>
      <c r="O178" s="111">
        <f>O179</f>
        <v>60366.1</v>
      </c>
      <c r="P178" s="97"/>
      <c r="Q178" s="97"/>
    </row>
    <row r="179" spans="1:17" ht="47.25" x14ac:dyDescent="0.2">
      <c r="A179" s="40"/>
      <c r="B179" s="113" t="s">
        <v>232</v>
      </c>
      <c r="C179" s="113" t="s">
        <v>51</v>
      </c>
      <c r="D179" s="133" t="s">
        <v>229</v>
      </c>
      <c r="E179" s="133" t="s">
        <v>233</v>
      </c>
      <c r="F179" s="134" t="s">
        <v>11</v>
      </c>
      <c r="G179" s="111">
        <f>G180+G188</f>
        <v>17273.599999999999</v>
      </c>
      <c r="H179" s="111">
        <f>H180+H188</f>
        <v>-600</v>
      </c>
      <c r="I179" s="111">
        <f>I180+I188</f>
        <v>16673.599999999999</v>
      </c>
      <c r="J179" s="114">
        <f>J180+J188</f>
        <v>43692.5</v>
      </c>
      <c r="K179" s="111">
        <f>K180</f>
        <v>0</v>
      </c>
      <c r="L179" s="114">
        <f>L180+L188</f>
        <v>43692.5</v>
      </c>
      <c r="M179" s="111">
        <f>M180+M188</f>
        <v>60966.1</v>
      </c>
      <c r="N179" s="111">
        <f>N180+N188</f>
        <v>-600</v>
      </c>
      <c r="O179" s="111">
        <f>O180+O188</f>
        <v>60366.1</v>
      </c>
      <c r="P179" s="97"/>
      <c r="Q179" s="97"/>
    </row>
    <row r="180" spans="1:17" ht="31.5" x14ac:dyDescent="0.2">
      <c r="A180" s="40"/>
      <c r="B180" s="113" t="s">
        <v>234</v>
      </c>
      <c r="C180" s="113" t="s">
        <v>51</v>
      </c>
      <c r="D180" s="133" t="s">
        <v>229</v>
      </c>
      <c r="E180" s="133" t="s">
        <v>235</v>
      </c>
      <c r="F180" s="134" t="s">
        <v>11</v>
      </c>
      <c r="G180" s="111">
        <f>G181+G186+G184</f>
        <v>10440.6</v>
      </c>
      <c r="H180" s="111">
        <f t="shared" ref="H180:O180" si="31">H181+H186+H184</f>
        <v>-600</v>
      </c>
      <c r="I180" s="111">
        <f t="shared" si="31"/>
        <v>9840.6</v>
      </c>
      <c r="J180" s="111">
        <f t="shared" si="31"/>
        <v>43692.5</v>
      </c>
      <c r="K180" s="111">
        <f t="shared" si="31"/>
        <v>0</v>
      </c>
      <c r="L180" s="111">
        <f t="shared" si="31"/>
        <v>43692.5</v>
      </c>
      <c r="M180" s="111">
        <f t="shared" si="31"/>
        <v>54133.1</v>
      </c>
      <c r="N180" s="111">
        <f t="shared" si="31"/>
        <v>-600</v>
      </c>
      <c r="O180" s="111">
        <f t="shared" si="31"/>
        <v>53533.1</v>
      </c>
      <c r="P180" s="97"/>
      <c r="Q180" s="97"/>
    </row>
    <row r="181" spans="1:17" ht="63" x14ac:dyDescent="0.2">
      <c r="A181" s="40"/>
      <c r="B181" s="113" t="s">
        <v>236</v>
      </c>
      <c r="C181" s="113" t="s">
        <v>51</v>
      </c>
      <c r="D181" s="133" t="s">
        <v>229</v>
      </c>
      <c r="E181" s="133" t="s">
        <v>237</v>
      </c>
      <c r="F181" s="134" t="s">
        <v>11</v>
      </c>
      <c r="G181" s="111">
        <f>G182+G183</f>
        <v>10140.6</v>
      </c>
      <c r="H181" s="111">
        <f>H182+H183</f>
        <v>-600</v>
      </c>
      <c r="I181" s="111">
        <f t="shared" ref="I181:O181" si="32">I182+I183</f>
        <v>9540.6</v>
      </c>
      <c r="J181" s="114">
        <f t="shared" si="32"/>
        <v>17036</v>
      </c>
      <c r="K181" s="114">
        <f t="shared" si="32"/>
        <v>0</v>
      </c>
      <c r="L181" s="114">
        <f t="shared" si="32"/>
        <v>17036</v>
      </c>
      <c r="M181" s="111">
        <f t="shared" si="32"/>
        <v>27176.6</v>
      </c>
      <c r="N181" s="111">
        <f t="shared" si="32"/>
        <v>-600</v>
      </c>
      <c r="O181" s="111">
        <f t="shared" si="32"/>
        <v>26576.6</v>
      </c>
      <c r="P181" s="97"/>
      <c r="Q181" s="97"/>
    </row>
    <row r="182" spans="1:17" ht="31.5" x14ac:dyDescent="0.2">
      <c r="A182" s="40"/>
      <c r="B182" s="113" t="s">
        <v>40</v>
      </c>
      <c r="C182" s="113" t="s">
        <v>51</v>
      </c>
      <c r="D182" s="133" t="s">
        <v>229</v>
      </c>
      <c r="E182" s="133" t="s">
        <v>237</v>
      </c>
      <c r="F182" s="134" t="s">
        <v>41</v>
      </c>
      <c r="G182" s="111">
        <v>9000.4</v>
      </c>
      <c r="H182" s="111">
        <v>60.2</v>
      </c>
      <c r="I182" s="111">
        <f>SUM(G182)+H182</f>
        <v>9060.6</v>
      </c>
      <c r="J182" s="115">
        <v>0</v>
      </c>
      <c r="K182" s="111">
        <f>26656.5-26656.5</f>
        <v>0</v>
      </c>
      <c r="L182" s="115">
        <f>SUM(K182)</f>
        <v>0</v>
      </c>
      <c r="M182" s="111">
        <f>SUM(G182)</f>
        <v>9000.4</v>
      </c>
      <c r="N182" s="111">
        <f>SUM(K182)+H182</f>
        <v>60.2</v>
      </c>
      <c r="O182" s="111">
        <f>SUM(I182+L182)</f>
        <v>9060.6</v>
      </c>
      <c r="P182" s="97"/>
      <c r="Q182" s="97"/>
    </row>
    <row r="183" spans="1:17" ht="31.5" x14ac:dyDescent="0.2">
      <c r="A183" s="40"/>
      <c r="B183" s="113" t="s">
        <v>225</v>
      </c>
      <c r="C183" s="118">
        <v>992</v>
      </c>
      <c r="D183" s="136" t="s">
        <v>229</v>
      </c>
      <c r="E183" s="136" t="s">
        <v>237</v>
      </c>
      <c r="F183" s="141" t="s">
        <v>226</v>
      </c>
      <c r="G183" s="111">
        <v>1140.2</v>
      </c>
      <c r="H183" s="111">
        <f>-600-60.2</f>
        <v>-660.2</v>
      </c>
      <c r="I183" s="111">
        <f>SUM(G183)+H183</f>
        <v>480</v>
      </c>
      <c r="J183" s="115">
        <v>17036</v>
      </c>
      <c r="K183" s="111"/>
      <c r="L183" s="115">
        <f>SUM(J183)</f>
        <v>17036</v>
      </c>
      <c r="M183" s="111">
        <f>SUM(G183+J183)</f>
        <v>18176.2</v>
      </c>
      <c r="N183" s="111">
        <f>SUM(K183)+H183</f>
        <v>-660.2</v>
      </c>
      <c r="O183" s="111">
        <f>SUM(M183)+N183</f>
        <v>17516</v>
      </c>
      <c r="P183" s="97"/>
      <c r="Q183" s="97"/>
    </row>
    <row r="184" spans="1:17" ht="110.25" x14ac:dyDescent="0.2">
      <c r="A184" s="40"/>
      <c r="B184" s="135" t="s">
        <v>238</v>
      </c>
      <c r="C184" s="118">
        <v>992</v>
      </c>
      <c r="D184" s="136" t="s">
        <v>229</v>
      </c>
      <c r="E184" s="136" t="s">
        <v>239</v>
      </c>
      <c r="F184" s="141"/>
      <c r="G184" s="111">
        <f t="shared" ref="G184:O184" si="33">G185</f>
        <v>0</v>
      </c>
      <c r="H184" s="111">
        <f t="shared" si="33"/>
        <v>0</v>
      </c>
      <c r="I184" s="111">
        <f t="shared" si="33"/>
        <v>0</v>
      </c>
      <c r="J184" s="115">
        <f t="shared" si="33"/>
        <v>26656.5</v>
      </c>
      <c r="K184" s="111">
        <f t="shared" si="33"/>
        <v>0</v>
      </c>
      <c r="L184" s="115">
        <f t="shared" si="33"/>
        <v>26656.5</v>
      </c>
      <c r="M184" s="111">
        <f t="shared" si="33"/>
        <v>26656.5</v>
      </c>
      <c r="N184" s="111">
        <f t="shared" si="33"/>
        <v>0</v>
      </c>
      <c r="O184" s="111">
        <f t="shared" si="33"/>
        <v>26656.5</v>
      </c>
      <c r="P184" s="97"/>
      <c r="Q184" s="97"/>
    </row>
    <row r="185" spans="1:17" ht="31.5" x14ac:dyDescent="0.2">
      <c r="A185" s="40"/>
      <c r="B185" s="135" t="s">
        <v>40</v>
      </c>
      <c r="C185" s="118">
        <v>992</v>
      </c>
      <c r="D185" s="136" t="s">
        <v>229</v>
      </c>
      <c r="E185" s="136" t="s">
        <v>239</v>
      </c>
      <c r="F185" s="141" t="s">
        <v>41</v>
      </c>
      <c r="G185" s="111"/>
      <c r="H185" s="111"/>
      <c r="I185" s="111">
        <f>SUM(G185:H185)</f>
        <v>0</v>
      </c>
      <c r="J185" s="115">
        <v>26656.5</v>
      </c>
      <c r="K185" s="111"/>
      <c r="L185" s="115">
        <f>SUM(J185:K185)</f>
        <v>26656.5</v>
      </c>
      <c r="M185" s="111">
        <f>SUM(J185)</f>
        <v>26656.5</v>
      </c>
      <c r="N185" s="111">
        <f>H185+K185</f>
        <v>0</v>
      </c>
      <c r="O185" s="111">
        <f>I185+L185</f>
        <v>26656.5</v>
      </c>
      <c r="P185" s="97"/>
      <c r="Q185" s="97"/>
    </row>
    <row r="186" spans="1:17" ht="78.75" x14ac:dyDescent="0.2">
      <c r="A186" s="40"/>
      <c r="B186" s="113" t="s">
        <v>240</v>
      </c>
      <c r="C186" s="113" t="s">
        <v>51</v>
      </c>
      <c r="D186" s="133" t="s">
        <v>229</v>
      </c>
      <c r="E186" s="133" t="s">
        <v>241</v>
      </c>
      <c r="F186" s="134" t="s">
        <v>11</v>
      </c>
      <c r="G186" s="111">
        <f>G187</f>
        <v>300</v>
      </c>
      <c r="H186" s="111"/>
      <c r="I186" s="111">
        <f>I187</f>
        <v>300</v>
      </c>
      <c r="J186" s="114">
        <f>J187</f>
        <v>0</v>
      </c>
      <c r="K186" s="111"/>
      <c r="L186" s="114">
        <f>L187</f>
        <v>0</v>
      </c>
      <c r="M186" s="111">
        <f>M187</f>
        <v>300</v>
      </c>
      <c r="N186" s="111">
        <f>N187</f>
        <v>0</v>
      </c>
      <c r="O186" s="111">
        <f>O187</f>
        <v>300</v>
      </c>
      <c r="P186" s="97"/>
      <c r="Q186" s="97"/>
    </row>
    <row r="187" spans="1:17" ht="31.5" x14ac:dyDescent="0.2">
      <c r="A187" s="40"/>
      <c r="B187" s="113" t="s">
        <v>40</v>
      </c>
      <c r="C187" s="113" t="s">
        <v>51</v>
      </c>
      <c r="D187" s="133" t="s">
        <v>229</v>
      </c>
      <c r="E187" s="133" t="s">
        <v>241</v>
      </c>
      <c r="F187" s="134" t="s">
        <v>41</v>
      </c>
      <c r="G187" s="111">
        <v>300</v>
      </c>
      <c r="H187" s="111"/>
      <c r="I187" s="111">
        <v>300</v>
      </c>
      <c r="J187" s="115">
        <v>0</v>
      </c>
      <c r="K187" s="111">
        <f t="shared" ref="G187:O189" si="34">K188</f>
        <v>0</v>
      </c>
      <c r="L187" s="115">
        <v>0</v>
      </c>
      <c r="M187" s="111">
        <v>300</v>
      </c>
      <c r="N187" s="111"/>
      <c r="O187" s="111">
        <v>300</v>
      </c>
      <c r="P187" s="97"/>
      <c r="Q187" s="97"/>
    </row>
    <row r="188" spans="1:17" ht="31.5" x14ac:dyDescent="0.2">
      <c r="A188" s="40"/>
      <c r="B188" s="113" t="s">
        <v>242</v>
      </c>
      <c r="C188" s="113" t="s">
        <v>51</v>
      </c>
      <c r="D188" s="133" t="s">
        <v>229</v>
      </c>
      <c r="E188" s="133" t="s">
        <v>243</v>
      </c>
      <c r="F188" s="134" t="s">
        <v>11</v>
      </c>
      <c r="G188" s="111">
        <f t="shared" si="34"/>
        <v>6833</v>
      </c>
      <c r="H188" s="111">
        <f t="shared" si="34"/>
        <v>0</v>
      </c>
      <c r="I188" s="111">
        <f t="shared" si="34"/>
        <v>6833</v>
      </c>
      <c r="J188" s="114">
        <f t="shared" si="34"/>
        <v>0</v>
      </c>
      <c r="K188" s="111">
        <f t="shared" si="34"/>
        <v>0</v>
      </c>
      <c r="L188" s="114">
        <f t="shared" si="34"/>
        <v>0</v>
      </c>
      <c r="M188" s="111">
        <f t="shared" si="34"/>
        <v>6833</v>
      </c>
      <c r="N188" s="111">
        <f t="shared" si="34"/>
        <v>0</v>
      </c>
      <c r="O188" s="111">
        <f t="shared" si="34"/>
        <v>6833</v>
      </c>
      <c r="P188" s="97"/>
      <c r="Q188" s="97"/>
    </row>
    <row r="189" spans="1:17" ht="78.75" x14ac:dyDescent="0.2">
      <c r="A189" s="40"/>
      <c r="B189" s="113" t="s">
        <v>240</v>
      </c>
      <c r="C189" s="113" t="s">
        <v>51</v>
      </c>
      <c r="D189" s="133" t="s">
        <v>229</v>
      </c>
      <c r="E189" s="133" t="s">
        <v>244</v>
      </c>
      <c r="F189" s="134" t="s">
        <v>11</v>
      </c>
      <c r="G189" s="111">
        <f t="shared" si="34"/>
        <v>6833</v>
      </c>
      <c r="H189" s="111">
        <f>SUM(H190)</f>
        <v>0</v>
      </c>
      <c r="I189" s="111">
        <f t="shared" si="34"/>
        <v>6833</v>
      </c>
      <c r="J189" s="114">
        <f t="shared" si="34"/>
        <v>0</v>
      </c>
      <c r="K189" s="111"/>
      <c r="L189" s="114">
        <f t="shared" si="34"/>
        <v>0</v>
      </c>
      <c r="M189" s="111">
        <f t="shared" si="34"/>
        <v>6833</v>
      </c>
      <c r="N189" s="111">
        <f t="shared" si="34"/>
        <v>0</v>
      </c>
      <c r="O189" s="111">
        <f t="shared" si="34"/>
        <v>6833</v>
      </c>
      <c r="P189" s="97"/>
      <c r="Q189" s="97"/>
    </row>
    <row r="190" spans="1:17" ht="31.5" x14ac:dyDescent="0.2">
      <c r="A190" s="40"/>
      <c r="B190" s="113" t="s">
        <v>40</v>
      </c>
      <c r="C190" s="113" t="s">
        <v>51</v>
      </c>
      <c r="D190" s="133" t="s">
        <v>229</v>
      </c>
      <c r="E190" s="133" t="s">
        <v>244</v>
      </c>
      <c r="F190" s="134" t="s">
        <v>41</v>
      </c>
      <c r="G190" s="111">
        <v>6833</v>
      </c>
      <c r="H190" s="111"/>
      <c r="I190" s="111">
        <f>SUM(G190)</f>
        <v>6833</v>
      </c>
      <c r="J190" s="115">
        <v>0</v>
      </c>
      <c r="K190" s="111"/>
      <c r="L190" s="115">
        <v>0</v>
      </c>
      <c r="M190" s="111">
        <f>SUM(G190)</f>
        <v>6833</v>
      </c>
      <c r="N190" s="111">
        <f>SUM(H190)</f>
        <v>0</v>
      </c>
      <c r="O190" s="111">
        <f>SUM(I190)</f>
        <v>6833</v>
      </c>
      <c r="P190" s="97"/>
      <c r="Q190" s="97"/>
    </row>
    <row r="191" spans="1:17" ht="31.5" x14ac:dyDescent="0.2">
      <c r="A191" s="40"/>
      <c r="B191" s="113" t="s">
        <v>245</v>
      </c>
      <c r="C191" s="113" t="s">
        <v>51</v>
      </c>
      <c r="D191" s="133" t="s">
        <v>229</v>
      </c>
      <c r="E191" s="133" t="s">
        <v>246</v>
      </c>
      <c r="F191" s="134" t="s">
        <v>11</v>
      </c>
      <c r="G191" s="111">
        <f t="shared" ref="G191:O194" si="35">G192</f>
        <v>15743</v>
      </c>
      <c r="H191" s="111">
        <f t="shared" si="35"/>
        <v>0</v>
      </c>
      <c r="I191" s="111">
        <f t="shared" si="35"/>
        <v>15743</v>
      </c>
      <c r="J191" s="114">
        <f t="shared" si="35"/>
        <v>0</v>
      </c>
      <c r="K191" s="111">
        <f>K192</f>
        <v>0</v>
      </c>
      <c r="L191" s="114">
        <f t="shared" si="35"/>
        <v>0</v>
      </c>
      <c r="M191" s="111">
        <f t="shared" si="35"/>
        <v>15743</v>
      </c>
      <c r="N191" s="111">
        <f t="shared" si="35"/>
        <v>0</v>
      </c>
      <c r="O191" s="111">
        <f t="shared" si="35"/>
        <v>15743</v>
      </c>
      <c r="P191" s="97"/>
      <c r="Q191" s="97"/>
    </row>
    <row r="192" spans="1:17" ht="15.75" x14ac:dyDescent="0.2">
      <c r="A192" s="40"/>
      <c r="B192" s="113" t="s">
        <v>247</v>
      </c>
      <c r="C192" s="113" t="s">
        <v>51</v>
      </c>
      <c r="D192" s="133" t="s">
        <v>229</v>
      </c>
      <c r="E192" s="133" t="s">
        <v>248</v>
      </c>
      <c r="F192" s="134" t="s">
        <v>11</v>
      </c>
      <c r="G192" s="111">
        <f t="shared" si="35"/>
        <v>15743</v>
      </c>
      <c r="H192" s="111">
        <f t="shared" si="35"/>
        <v>0</v>
      </c>
      <c r="I192" s="111">
        <f t="shared" si="35"/>
        <v>15743</v>
      </c>
      <c r="J192" s="114">
        <f t="shared" si="35"/>
        <v>0</v>
      </c>
      <c r="K192" s="111">
        <f>K193</f>
        <v>0</v>
      </c>
      <c r="L192" s="114">
        <f t="shared" si="35"/>
        <v>0</v>
      </c>
      <c r="M192" s="111">
        <f t="shared" si="35"/>
        <v>15743</v>
      </c>
      <c r="N192" s="111">
        <f t="shared" si="35"/>
        <v>0</v>
      </c>
      <c r="O192" s="111">
        <f t="shared" si="35"/>
        <v>15743</v>
      </c>
      <c r="P192" s="97"/>
      <c r="Q192" s="97"/>
    </row>
    <row r="193" spans="1:17" ht="47.25" x14ac:dyDescent="0.2">
      <c r="A193" s="40"/>
      <c r="B193" s="113" t="s">
        <v>249</v>
      </c>
      <c r="C193" s="113" t="s">
        <v>51</v>
      </c>
      <c r="D193" s="133" t="s">
        <v>229</v>
      </c>
      <c r="E193" s="133" t="s">
        <v>250</v>
      </c>
      <c r="F193" s="134" t="s">
        <v>11</v>
      </c>
      <c r="G193" s="111">
        <f t="shared" si="35"/>
        <v>15743</v>
      </c>
      <c r="H193" s="111">
        <f>SUM(H194)</f>
        <v>0</v>
      </c>
      <c r="I193" s="111">
        <f t="shared" si="35"/>
        <v>15743</v>
      </c>
      <c r="J193" s="114">
        <f t="shared" si="35"/>
        <v>0</v>
      </c>
      <c r="K193" s="111">
        <f>K194</f>
        <v>0</v>
      </c>
      <c r="L193" s="114">
        <f t="shared" si="35"/>
        <v>0</v>
      </c>
      <c r="M193" s="111">
        <f t="shared" si="35"/>
        <v>15743</v>
      </c>
      <c r="N193" s="111">
        <f>SUM(H193)</f>
        <v>0</v>
      </c>
      <c r="O193" s="111">
        <f t="shared" si="35"/>
        <v>15743</v>
      </c>
      <c r="P193" s="97"/>
      <c r="Q193" s="97"/>
    </row>
    <row r="194" spans="1:17" ht="31.5" x14ac:dyDescent="0.2">
      <c r="A194" s="40"/>
      <c r="B194" s="113" t="s">
        <v>134</v>
      </c>
      <c r="C194" s="113" t="s">
        <v>51</v>
      </c>
      <c r="D194" s="133" t="s">
        <v>229</v>
      </c>
      <c r="E194" s="133" t="s">
        <v>251</v>
      </c>
      <c r="F194" s="134" t="s">
        <v>11</v>
      </c>
      <c r="G194" s="111">
        <f>G195</f>
        <v>15743</v>
      </c>
      <c r="H194" s="111">
        <f>SUM(H195)</f>
        <v>0</v>
      </c>
      <c r="I194" s="111">
        <f>I195</f>
        <v>15743</v>
      </c>
      <c r="J194" s="114">
        <f t="shared" si="35"/>
        <v>0</v>
      </c>
      <c r="K194" s="111"/>
      <c r="L194" s="114">
        <f t="shared" si="35"/>
        <v>0</v>
      </c>
      <c r="M194" s="111">
        <f t="shared" si="35"/>
        <v>15743</v>
      </c>
      <c r="N194" s="111">
        <f t="shared" si="35"/>
        <v>0</v>
      </c>
      <c r="O194" s="111">
        <f t="shared" si="35"/>
        <v>15743</v>
      </c>
      <c r="P194" s="97"/>
      <c r="Q194" s="97"/>
    </row>
    <row r="195" spans="1:17" ht="34.9" customHeight="1" x14ac:dyDescent="0.2">
      <c r="A195" s="40"/>
      <c r="B195" s="113" t="s">
        <v>95</v>
      </c>
      <c r="C195" s="113" t="s">
        <v>51</v>
      </c>
      <c r="D195" s="133" t="s">
        <v>229</v>
      </c>
      <c r="E195" s="133" t="s">
        <v>251</v>
      </c>
      <c r="F195" s="134" t="s">
        <v>96</v>
      </c>
      <c r="G195" s="111">
        <v>15743</v>
      </c>
      <c r="H195" s="117"/>
      <c r="I195" s="111">
        <f>SUM(G195)+H195</f>
        <v>15743</v>
      </c>
      <c r="J195" s="115">
        <v>0</v>
      </c>
      <c r="K195" s="109"/>
      <c r="L195" s="115">
        <v>0</v>
      </c>
      <c r="M195" s="111">
        <f>SUM(G195)</f>
        <v>15743</v>
      </c>
      <c r="N195" s="111">
        <f>SUM(H195)</f>
        <v>0</v>
      </c>
      <c r="O195" s="111">
        <f>SUM(M195)+N195</f>
        <v>15743</v>
      </c>
      <c r="P195" s="97"/>
      <c r="Q195" s="97"/>
    </row>
    <row r="196" spans="1:17" ht="21" customHeight="1" x14ac:dyDescent="0.2">
      <c r="A196" s="40"/>
      <c r="B196" s="118" t="s">
        <v>583</v>
      </c>
      <c r="C196" s="118" t="s">
        <v>51</v>
      </c>
      <c r="D196" s="136" t="s">
        <v>229</v>
      </c>
      <c r="E196" s="136" t="s">
        <v>460</v>
      </c>
      <c r="F196" s="134"/>
      <c r="G196" s="111"/>
      <c r="H196" s="117"/>
      <c r="I196" s="111"/>
      <c r="J196" s="115"/>
      <c r="K196" s="109"/>
      <c r="L196" s="115"/>
      <c r="M196" s="111"/>
      <c r="N196" s="111"/>
      <c r="O196" s="111"/>
      <c r="P196" s="97"/>
      <c r="Q196" s="97"/>
    </row>
    <row r="197" spans="1:17" ht="34.9" customHeight="1" x14ac:dyDescent="0.2">
      <c r="A197" s="40"/>
      <c r="B197" s="135" t="s">
        <v>461</v>
      </c>
      <c r="C197" s="113">
        <v>992</v>
      </c>
      <c r="D197" s="133" t="s">
        <v>229</v>
      </c>
      <c r="E197" s="136" t="s">
        <v>462</v>
      </c>
      <c r="F197" s="134"/>
      <c r="G197" s="117">
        <f t="shared" ref="G197:I198" si="36">SUM(G198)</f>
        <v>1333.6</v>
      </c>
      <c r="H197" s="117">
        <f t="shared" si="36"/>
        <v>0</v>
      </c>
      <c r="I197" s="117">
        <f t="shared" si="36"/>
        <v>1333.6</v>
      </c>
      <c r="J197" s="115"/>
      <c r="K197" s="109"/>
      <c r="L197" s="115"/>
      <c r="M197" s="111">
        <f>SUM(G197)</f>
        <v>1333.6</v>
      </c>
      <c r="N197" s="111">
        <f t="shared" ref="N197:O199" si="37">SUM(H197)</f>
        <v>0</v>
      </c>
      <c r="O197" s="111">
        <f t="shared" si="37"/>
        <v>1333.6</v>
      </c>
      <c r="P197" s="97"/>
      <c r="Q197" s="97"/>
    </row>
    <row r="198" spans="1:17" ht="37.15" customHeight="1" x14ac:dyDescent="0.2">
      <c r="A198" s="40"/>
      <c r="B198" s="135" t="s">
        <v>463</v>
      </c>
      <c r="C198" s="113">
        <v>992</v>
      </c>
      <c r="D198" s="133" t="s">
        <v>229</v>
      </c>
      <c r="E198" s="133">
        <v>1300122640</v>
      </c>
      <c r="F198" s="134"/>
      <c r="G198" s="117">
        <f t="shared" si="36"/>
        <v>1333.6</v>
      </c>
      <c r="H198" s="117">
        <f t="shared" si="36"/>
        <v>0</v>
      </c>
      <c r="I198" s="117">
        <f t="shared" si="36"/>
        <v>1333.6</v>
      </c>
      <c r="J198" s="115"/>
      <c r="K198" s="109"/>
      <c r="L198" s="115"/>
      <c r="M198" s="111">
        <f>SUM(G198)</f>
        <v>1333.6</v>
      </c>
      <c r="N198" s="111">
        <f t="shared" si="37"/>
        <v>0</v>
      </c>
      <c r="O198" s="111">
        <f t="shared" si="37"/>
        <v>1333.6</v>
      </c>
      <c r="P198" s="97"/>
      <c r="Q198" s="97"/>
    </row>
    <row r="199" spans="1:17" ht="34.5" customHeight="1" x14ac:dyDescent="0.2">
      <c r="A199" s="40"/>
      <c r="B199" s="113" t="s">
        <v>95</v>
      </c>
      <c r="C199" s="113">
        <v>992</v>
      </c>
      <c r="D199" s="133" t="s">
        <v>229</v>
      </c>
      <c r="E199" s="133">
        <v>1300122640</v>
      </c>
      <c r="F199" s="134">
        <v>200</v>
      </c>
      <c r="G199" s="111">
        <v>1333.6</v>
      </c>
      <c r="H199" s="117"/>
      <c r="I199" s="117">
        <f>SUM(G199)+H199</f>
        <v>1333.6</v>
      </c>
      <c r="J199" s="115"/>
      <c r="K199" s="109"/>
      <c r="L199" s="115"/>
      <c r="M199" s="111">
        <f>SUM(G199)</f>
        <v>1333.6</v>
      </c>
      <c r="N199" s="111">
        <f t="shared" si="37"/>
        <v>0</v>
      </c>
      <c r="O199" s="111">
        <f t="shared" si="37"/>
        <v>1333.6</v>
      </c>
      <c r="P199" s="97"/>
      <c r="Q199" s="97"/>
    </row>
    <row r="200" spans="1:17" ht="23.25" customHeight="1" x14ac:dyDescent="0.2">
      <c r="A200" s="33" t="s">
        <v>252</v>
      </c>
      <c r="B200" s="110" t="s">
        <v>253</v>
      </c>
      <c r="C200" s="110" t="s">
        <v>51</v>
      </c>
      <c r="D200" s="131" t="s">
        <v>254</v>
      </c>
      <c r="E200" s="131" t="s">
        <v>11</v>
      </c>
      <c r="F200" s="132" t="s">
        <v>11</v>
      </c>
      <c r="G200" s="109">
        <f t="shared" ref="G200:O204" si="38">G201</f>
        <v>1966</v>
      </c>
      <c r="H200" s="111">
        <f t="shared" si="38"/>
        <v>0</v>
      </c>
      <c r="I200" s="109">
        <f t="shared" si="38"/>
        <v>1966</v>
      </c>
      <c r="J200" s="112">
        <f t="shared" si="38"/>
        <v>0</v>
      </c>
      <c r="K200" s="111">
        <f>K201</f>
        <v>0</v>
      </c>
      <c r="L200" s="112">
        <f t="shared" si="38"/>
        <v>0</v>
      </c>
      <c r="M200" s="109">
        <f t="shared" si="38"/>
        <v>1966</v>
      </c>
      <c r="N200" s="109">
        <f t="shared" si="38"/>
        <v>0</v>
      </c>
      <c r="O200" s="109">
        <f t="shared" si="38"/>
        <v>1966</v>
      </c>
      <c r="P200" s="97"/>
      <c r="Q200" s="97"/>
    </row>
    <row r="201" spans="1:17" ht="31.5" x14ac:dyDescent="0.2">
      <c r="A201" s="40"/>
      <c r="B201" s="113" t="s">
        <v>97</v>
      </c>
      <c r="C201" s="113" t="s">
        <v>51</v>
      </c>
      <c r="D201" s="133" t="s">
        <v>254</v>
      </c>
      <c r="E201" s="133" t="s">
        <v>98</v>
      </c>
      <c r="F201" s="134" t="s">
        <v>11</v>
      </c>
      <c r="G201" s="111">
        <f t="shared" si="38"/>
        <v>1966</v>
      </c>
      <c r="H201" s="111">
        <f t="shared" si="38"/>
        <v>0</v>
      </c>
      <c r="I201" s="111">
        <f t="shared" si="38"/>
        <v>1966</v>
      </c>
      <c r="J201" s="114">
        <f t="shared" si="38"/>
        <v>0</v>
      </c>
      <c r="K201" s="111">
        <f>K202</f>
        <v>0</v>
      </c>
      <c r="L201" s="114">
        <f t="shared" si="38"/>
        <v>0</v>
      </c>
      <c r="M201" s="111">
        <f t="shared" si="38"/>
        <v>1966</v>
      </c>
      <c r="N201" s="111">
        <f t="shared" si="38"/>
        <v>0</v>
      </c>
      <c r="O201" s="111">
        <f t="shared" si="38"/>
        <v>1966</v>
      </c>
      <c r="P201" s="97"/>
      <c r="Q201" s="97"/>
    </row>
    <row r="202" spans="1:17" ht="15.75" x14ac:dyDescent="0.2">
      <c r="A202" s="40"/>
      <c r="B202" s="113" t="s">
        <v>255</v>
      </c>
      <c r="C202" s="113" t="s">
        <v>51</v>
      </c>
      <c r="D202" s="133" t="s">
        <v>254</v>
      </c>
      <c r="E202" s="133" t="s">
        <v>256</v>
      </c>
      <c r="F202" s="134" t="s">
        <v>11</v>
      </c>
      <c r="G202" s="111">
        <f t="shared" si="38"/>
        <v>1966</v>
      </c>
      <c r="H202" s="111">
        <f t="shared" si="38"/>
        <v>0</v>
      </c>
      <c r="I202" s="111">
        <f t="shared" si="38"/>
        <v>1966</v>
      </c>
      <c r="J202" s="114">
        <f t="shared" si="38"/>
        <v>0</v>
      </c>
      <c r="K202" s="111">
        <f>K203</f>
        <v>0</v>
      </c>
      <c r="L202" s="114">
        <f t="shared" si="38"/>
        <v>0</v>
      </c>
      <c r="M202" s="111">
        <f t="shared" si="38"/>
        <v>1966</v>
      </c>
      <c r="N202" s="111">
        <f t="shared" si="38"/>
        <v>0</v>
      </c>
      <c r="O202" s="111">
        <f t="shared" si="38"/>
        <v>1966</v>
      </c>
      <c r="P202" s="97"/>
      <c r="Q202" s="97"/>
    </row>
    <row r="203" spans="1:17" ht="31.5" x14ac:dyDescent="0.2">
      <c r="A203" s="40"/>
      <c r="B203" s="113" t="s">
        <v>257</v>
      </c>
      <c r="C203" s="113" t="s">
        <v>51</v>
      </c>
      <c r="D203" s="133" t="s">
        <v>254</v>
      </c>
      <c r="E203" s="133" t="s">
        <v>258</v>
      </c>
      <c r="F203" s="134" t="s">
        <v>11</v>
      </c>
      <c r="G203" s="111">
        <f t="shared" si="38"/>
        <v>1966</v>
      </c>
      <c r="H203" s="111">
        <f t="shared" si="38"/>
        <v>0</v>
      </c>
      <c r="I203" s="111">
        <f t="shared" si="38"/>
        <v>1966</v>
      </c>
      <c r="J203" s="114">
        <f t="shared" si="38"/>
        <v>0</v>
      </c>
      <c r="K203" s="111">
        <f>K204</f>
        <v>0</v>
      </c>
      <c r="L203" s="114">
        <f t="shared" si="38"/>
        <v>0</v>
      </c>
      <c r="M203" s="111">
        <f t="shared" si="38"/>
        <v>1966</v>
      </c>
      <c r="N203" s="111">
        <f t="shared" si="38"/>
        <v>0</v>
      </c>
      <c r="O203" s="111">
        <f t="shared" si="38"/>
        <v>1966</v>
      </c>
      <c r="P203" s="97"/>
      <c r="Q203" s="97"/>
    </row>
    <row r="204" spans="1:17" ht="32.450000000000003" customHeight="1" x14ac:dyDescent="0.2">
      <c r="A204" s="40"/>
      <c r="B204" s="113" t="s">
        <v>103</v>
      </c>
      <c r="C204" s="113" t="s">
        <v>51</v>
      </c>
      <c r="D204" s="133" t="s">
        <v>254</v>
      </c>
      <c r="E204" s="133" t="s">
        <v>259</v>
      </c>
      <c r="F204" s="134" t="s">
        <v>11</v>
      </c>
      <c r="G204" s="111">
        <f>G205</f>
        <v>1966</v>
      </c>
      <c r="H204" s="109"/>
      <c r="I204" s="111">
        <f>I205</f>
        <v>1966</v>
      </c>
      <c r="J204" s="114">
        <f t="shared" si="38"/>
        <v>0</v>
      </c>
      <c r="K204" s="111"/>
      <c r="L204" s="114">
        <f t="shared" si="38"/>
        <v>0</v>
      </c>
      <c r="M204" s="111">
        <f t="shared" si="38"/>
        <v>1966</v>
      </c>
      <c r="N204" s="111">
        <f t="shared" si="38"/>
        <v>0</v>
      </c>
      <c r="O204" s="111">
        <f t="shared" si="38"/>
        <v>1966</v>
      </c>
      <c r="P204" s="97"/>
      <c r="Q204" s="97"/>
    </row>
    <row r="205" spans="1:17" ht="31.5" x14ac:dyDescent="0.2">
      <c r="A205" s="40"/>
      <c r="B205" s="113" t="s">
        <v>40</v>
      </c>
      <c r="C205" s="113" t="s">
        <v>51</v>
      </c>
      <c r="D205" s="133" t="s">
        <v>254</v>
      </c>
      <c r="E205" s="133" t="s">
        <v>259</v>
      </c>
      <c r="F205" s="134" t="s">
        <v>41</v>
      </c>
      <c r="G205" s="111">
        <v>1966</v>
      </c>
      <c r="H205" s="109"/>
      <c r="I205" s="111">
        <f>SUM(G205)</f>
        <v>1966</v>
      </c>
      <c r="J205" s="115">
        <v>0</v>
      </c>
      <c r="K205" s="109"/>
      <c r="L205" s="115">
        <v>0</v>
      </c>
      <c r="M205" s="111">
        <f>SUM(G205)</f>
        <v>1966</v>
      </c>
      <c r="N205" s="111">
        <f>SUM(H205)</f>
        <v>0</v>
      </c>
      <c r="O205" s="111">
        <f>SUM(I205)</f>
        <v>1966</v>
      </c>
      <c r="P205" s="97"/>
      <c r="Q205" s="97"/>
    </row>
    <row r="206" spans="1:17" ht="24" customHeight="1" x14ac:dyDescent="0.2">
      <c r="A206" s="33" t="s">
        <v>260</v>
      </c>
      <c r="B206" s="110" t="s">
        <v>261</v>
      </c>
      <c r="C206" s="110" t="s">
        <v>51</v>
      </c>
      <c r="D206" s="131" t="s">
        <v>262</v>
      </c>
      <c r="E206" s="131" t="s">
        <v>11</v>
      </c>
      <c r="F206" s="132" t="s">
        <v>11</v>
      </c>
      <c r="G206" s="109">
        <f>G207+G235+G230</f>
        <v>30487.399999999998</v>
      </c>
      <c r="H206" s="111">
        <f>H207+H248+H246+H231+H241</f>
        <v>0</v>
      </c>
      <c r="I206" s="109">
        <f>I207+I235+I230</f>
        <v>30487.399999999998</v>
      </c>
      <c r="J206" s="112">
        <f>J207+J235</f>
        <v>13560.400000000001</v>
      </c>
      <c r="K206" s="111">
        <f>K207</f>
        <v>0</v>
      </c>
      <c r="L206" s="112">
        <f>L207+L235</f>
        <v>13560.400000000001</v>
      </c>
      <c r="M206" s="109">
        <f>M207+M230+M235</f>
        <v>44047.799999999996</v>
      </c>
      <c r="N206" s="111">
        <f>N207+N248+N246+N231+N241</f>
        <v>0</v>
      </c>
      <c r="O206" s="109">
        <f>O207+O230+O235</f>
        <v>44047.799999999996</v>
      </c>
      <c r="P206" s="97"/>
      <c r="Q206" s="97"/>
    </row>
    <row r="207" spans="1:17" ht="47.25" x14ac:dyDescent="0.2">
      <c r="A207" s="40"/>
      <c r="B207" s="113" t="s">
        <v>230</v>
      </c>
      <c r="C207" s="113" t="s">
        <v>51</v>
      </c>
      <c r="D207" s="133" t="s">
        <v>262</v>
      </c>
      <c r="E207" s="133" t="s">
        <v>231</v>
      </c>
      <c r="F207" s="134" t="s">
        <v>11</v>
      </c>
      <c r="G207" s="111">
        <f>G208+G218</f>
        <v>18704.599999999999</v>
      </c>
      <c r="H207" s="111">
        <f>H208+H218</f>
        <v>0</v>
      </c>
      <c r="I207" s="111">
        <f>I208+I218</f>
        <v>18704.599999999999</v>
      </c>
      <c r="J207" s="114">
        <f>J208+J218</f>
        <v>13560.400000000001</v>
      </c>
      <c r="K207" s="111">
        <f>K208</f>
        <v>0</v>
      </c>
      <c r="L207" s="114">
        <f>L208+L218</f>
        <v>13560.400000000001</v>
      </c>
      <c r="M207" s="111">
        <f>M208+M218</f>
        <v>32265</v>
      </c>
      <c r="N207" s="111">
        <f>N208+N218</f>
        <v>0</v>
      </c>
      <c r="O207" s="111">
        <f>O208+O218</f>
        <v>32265</v>
      </c>
      <c r="P207" s="97"/>
      <c r="Q207" s="97"/>
    </row>
    <row r="208" spans="1:17" ht="36" customHeight="1" x14ac:dyDescent="0.2">
      <c r="A208" s="40"/>
      <c r="B208" s="113" t="s">
        <v>263</v>
      </c>
      <c r="C208" s="113" t="s">
        <v>51</v>
      </c>
      <c r="D208" s="133" t="s">
        <v>262</v>
      </c>
      <c r="E208" s="133" t="s">
        <v>264</v>
      </c>
      <c r="F208" s="134" t="s">
        <v>11</v>
      </c>
      <c r="G208" s="111">
        <f>G209</f>
        <v>1449.1000000000001</v>
      </c>
      <c r="H208" s="111">
        <f>H209</f>
        <v>0</v>
      </c>
      <c r="I208" s="111">
        <f>I209</f>
        <v>1449.1000000000001</v>
      </c>
      <c r="J208" s="114">
        <f>J209</f>
        <v>13560.400000000001</v>
      </c>
      <c r="K208" s="111">
        <f>K209</f>
        <v>0</v>
      </c>
      <c r="L208" s="114">
        <f>L209</f>
        <v>13560.400000000001</v>
      </c>
      <c r="M208" s="111">
        <f>M209</f>
        <v>15009.500000000002</v>
      </c>
      <c r="N208" s="111">
        <f>N209</f>
        <v>0</v>
      </c>
      <c r="O208" s="111">
        <f>O209</f>
        <v>15009.500000000002</v>
      </c>
      <c r="P208" s="97"/>
      <c r="Q208" s="97"/>
    </row>
    <row r="209" spans="1:17" ht="47.25" x14ac:dyDescent="0.2">
      <c r="A209" s="40"/>
      <c r="B209" s="113" t="s">
        <v>265</v>
      </c>
      <c r="C209" s="113" t="s">
        <v>51</v>
      </c>
      <c r="D209" s="133" t="s">
        <v>262</v>
      </c>
      <c r="E209" s="133" t="s">
        <v>266</v>
      </c>
      <c r="F209" s="134" t="s">
        <v>11</v>
      </c>
      <c r="G209" s="111">
        <f>G216+G210+G212+G214</f>
        <v>1449.1000000000001</v>
      </c>
      <c r="H209" s="111">
        <f>H216+H210+H212+H214</f>
        <v>0</v>
      </c>
      <c r="I209" s="111">
        <f>I216+I210+I212+I214</f>
        <v>1449.1000000000001</v>
      </c>
      <c r="J209" s="114">
        <f>SUM(J216)+J212+J214</f>
        <v>13560.400000000001</v>
      </c>
      <c r="K209" s="111">
        <f>K216+K210+K212+K214</f>
        <v>0</v>
      </c>
      <c r="L209" s="114">
        <f>SUM(L216)+L212+L214</f>
        <v>13560.400000000001</v>
      </c>
      <c r="M209" s="111">
        <f>SUM(G208+J208)</f>
        <v>15009.500000000002</v>
      </c>
      <c r="N209" s="111">
        <f>SUM(H209+K209)</f>
        <v>0</v>
      </c>
      <c r="O209" s="111">
        <f>SUM(I208+L208)</f>
        <v>15009.500000000002</v>
      </c>
      <c r="P209" s="97"/>
      <c r="Q209" s="97"/>
    </row>
    <row r="210" spans="1:17" ht="31.5" x14ac:dyDescent="0.2">
      <c r="A210" s="40"/>
      <c r="B210" s="140" t="s">
        <v>267</v>
      </c>
      <c r="C210" s="113">
        <v>992</v>
      </c>
      <c r="D210" s="133" t="s">
        <v>262</v>
      </c>
      <c r="E210" s="136" t="s">
        <v>268</v>
      </c>
      <c r="F210" s="134"/>
      <c r="G210" s="111">
        <v>735.3</v>
      </c>
      <c r="H210" s="111">
        <f>SUM(H211)</f>
        <v>0</v>
      </c>
      <c r="I210" s="111">
        <f>SUM(G210)</f>
        <v>735.3</v>
      </c>
      <c r="J210" s="114"/>
      <c r="K210" s="111"/>
      <c r="L210" s="114"/>
      <c r="M210" s="111">
        <f>SUM(G210)</f>
        <v>735.3</v>
      </c>
      <c r="N210" s="111">
        <f>SUM(N211)</f>
        <v>0</v>
      </c>
      <c r="O210" s="111">
        <f>SUM(M210)</f>
        <v>735.3</v>
      </c>
      <c r="P210" s="97"/>
      <c r="Q210" s="97"/>
    </row>
    <row r="211" spans="1:17" ht="31.5" x14ac:dyDescent="0.2">
      <c r="A211" s="40"/>
      <c r="B211" s="113" t="s">
        <v>40</v>
      </c>
      <c r="C211" s="113">
        <v>992</v>
      </c>
      <c r="D211" s="133" t="s">
        <v>262</v>
      </c>
      <c r="E211" s="136" t="s">
        <v>268</v>
      </c>
      <c r="F211" s="134">
        <v>200</v>
      </c>
      <c r="G211" s="111">
        <v>735.3</v>
      </c>
      <c r="H211" s="111"/>
      <c r="I211" s="111">
        <f>SUM(G211)</f>
        <v>735.3</v>
      </c>
      <c r="J211" s="114"/>
      <c r="K211" s="111"/>
      <c r="L211" s="114"/>
      <c r="M211" s="111">
        <f>SUM(G211)</f>
        <v>735.3</v>
      </c>
      <c r="N211" s="111">
        <f>SUM(H211)</f>
        <v>0</v>
      </c>
      <c r="O211" s="111">
        <f>SUM(M211)</f>
        <v>735.3</v>
      </c>
      <c r="P211" s="97"/>
      <c r="Q211" s="97"/>
    </row>
    <row r="212" spans="1:17" ht="30.75" customHeight="1" x14ac:dyDescent="0.2">
      <c r="A212" s="40"/>
      <c r="B212" s="113" t="s">
        <v>548</v>
      </c>
      <c r="C212" s="113">
        <v>992</v>
      </c>
      <c r="D212" s="133" t="s">
        <v>262</v>
      </c>
      <c r="E212" s="133" t="s">
        <v>547</v>
      </c>
      <c r="F212" s="134"/>
      <c r="G212" s="111">
        <v>0</v>
      </c>
      <c r="H212" s="111"/>
      <c r="I212" s="111">
        <f>SUM(G213)+H212</f>
        <v>0</v>
      </c>
      <c r="J212" s="114">
        <f>SUM(J213)</f>
        <v>0</v>
      </c>
      <c r="K212" s="111"/>
      <c r="L212" s="114">
        <f>SUM(J212)+K212</f>
        <v>0</v>
      </c>
      <c r="M212" s="111">
        <f t="shared" ref="M212:O213" si="39">SUM(G212+J212)</f>
        <v>0</v>
      </c>
      <c r="N212" s="111">
        <f t="shared" si="39"/>
        <v>0</v>
      </c>
      <c r="O212" s="111">
        <f t="shared" si="39"/>
        <v>0</v>
      </c>
      <c r="P212" s="97"/>
      <c r="Q212" s="97"/>
    </row>
    <row r="213" spans="1:17" ht="30.75" customHeight="1" x14ac:dyDescent="0.2">
      <c r="A213" s="40"/>
      <c r="B213" s="113" t="s">
        <v>40</v>
      </c>
      <c r="C213" s="113">
        <v>992</v>
      </c>
      <c r="D213" s="133" t="s">
        <v>262</v>
      </c>
      <c r="E213" s="133" t="s">
        <v>547</v>
      </c>
      <c r="F213" s="134">
        <v>200</v>
      </c>
      <c r="G213" s="111">
        <v>0</v>
      </c>
      <c r="H213" s="111"/>
      <c r="I213" s="111">
        <v>0</v>
      </c>
      <c r="J213" s="114">
        <v>0</v>
      </c>
      <c r="K213" s="111"/>
      <c r="L213" s="114">
        <f>SUM(J213)+K213</f>
        <v>0</v>
      </c>
      <c r="M213" s="111">
        <f t="shared" si="39"/>
        <v>0</v>
      </c>
      <c r="N213" s="111">
        <f t="shared" si="39"/>
        <v>0</v>
      </c>
      <c r="O213" s="111">
        <f t="shared" si="39"/>
        <v>0</v>
      </c>
      <c r="P213" s="97"/>
      <c r="Q213" s="97"/>
    </row>
    <row r="214" spans="1:17" ht="30.75" customHeight="1" x14ac:dyDescent="0.2">
      <c r="A214" s="40"/>
      <c r="B214" s="113" t="s">
        <v>548</v>
      </c>
      <c r="C214" s="113">
        <v>992</v>
      </c>
      <c r="D214" s="133" t="s">
        <v>262</v>
      </c>
      <c r="E214" s="133" t="s">
        <v>561</v>
      </c>
      <c r="F214" s="134"/>
      <c r="G214" s="111">
        <v>294.2</v>
      </c>
      <c r="H214" s="111"/>
      <c r="I214" s="111">
        <f>SUM(G214)</f>
        <v>294.2</v>
      </c>
      <c r="J214" s="114">
        <v>5589.3</v>
      </c>
      <c r="K214" s="111"/>
      <c r="L214" s="114">
        <f>SUM(J214)</f>
        <v>5589.3</v>
      </c>
      <c r="M214" s="111">
        <f t="shared" ref="M214:O215" si="40">SUM(G214)+J214</f>
        <v>5883.5</v>
      </c>
      <c r="N214" s="111">
        <f t="shared" si="40"/>
        <v>0</v>
      </c>
      <c r="O214" s="111">
        <f t="shared" si="40"/>
        <v>5883.5</v>
      </c>
      <c r="P214" s="97"/>
      <c r="Q214" s="97"/>
    </row>
    <row r="215" spans="1:17" ht="30.75" customHeight="1" x14ac:dyDescent="0.2">
      <c r="A215" s="40"/>
      <c r="B215" s="113" t="s">
        <v>40</v>
      </c>
      <c r="C215" s="113">
        <v>992</v>
      </c>
      <c r="D215" s="133" t="s">
        <v>262</v>
      </c>
      <c r="E215" s="133" t="s">
        <v>561</v>
      </c>
      <c r="F215" s="134">
        <v>200</v>
      </c>
      <c r="G215" s="111">
        <v>294.2</v>
      </c>
      <c r="H215" s="111"/>
      <c r="I215" s="111">
        <f>SUM(G215)</f>
        <v>294.2</v>
      </c>
      <c r="J215" s="114">
        <v>5589.3</v>
      </c>
      <c r="K215" s="111"/>
      <c r="L215" s="114">
        <f>SUM(J215)</f>
        <v>5589.3</v>
      </c>
      <c r="M215" s="111">
        <f t="shared" si="40"/>
        <v>5883.5</v>
      </c>
      <c r="N215" s="111">
        <f t="shared" si="40"/>
        <v>0</v>
      </c>
      <c r="O215" s="111">
        <f t="shared" si="40"/>
        <v>5883.5</v>
      </c>
      <c r="P215" s="97"/>
      <c r="Q215" s="97"/>
    </row>
    <row r="216" spans="1:17" ht="47.25" x14ac:dyDescent="0.2">
      <c r="A216" s="40"/>
      <c r="B216" s="113" t="s">
        <v>269</v>
      </c>
      <c r="C216" s="113" t="s">
        <v>51</v>
      </c>
      <c r="D216" s="133" t="s">
        <v>262</v>
      </c>
      <c r="E216" s="133" t="s">
        <v>270</v>
      </c>
      <c r="F216" s="134" t="s">
        <v>11</v>
      </c>
      <c r="G216" s="111">
        <f>G217</f>
        <v>419.6</v>
      </c>
      <c r="H216" s="111">
        <f>SUM(H217)</f>
        <v>0</v>
      </c>
      <c r="I216" s="111">
        <f>I217</f>
        <v>419.6</v>
      </c>
      <c r="J216" s="114">
        <f>J217</f>
        <v>7971.1</v>
      </c>
      <c r="K216" s="111">
        <f>SUM(K217)</f>
        <v>0</v>
      </c>
      <c r="L216" s="114">
        <f>L217</f>
        <v>7971.1</v>
      </c>
      <c r="M216" s="111">
        <f>M217</f>
        <v>8390.7000000000007</v>
      </c>
      <c r="N216" s="111">
        <f>N217</f>
        <v>0</v>
      </c>
      <c r="O216" s="111">
        <f>O217</f>
        <v>8390.7000000000007</v>
      </c>
      <c r="P216" s="97"/>
      <c r="Q216" s="97"/>
    </row>
    <row r="217" spans="1:17" ht="31.5" x14ac:dyDescent="0.2">
      <c r="A217" s="40"/>
      <c r="B217" s="113" t="s">
        <v>40</v>
      </c>
      <c r="C217" s="113" t="s">
        <v>51</v>
      </c>
      <c r="D217" s="133" t="s">
        <v>262</v>
      </c>
      <c r="E217" s="133" t="s">
        <v>270</v>
      </c>
      <c r="F217" s="134" t="s">
        <v>41</v>
      </c>
      <c r="G217" s="111">
        <v>419.6</v>
      </c>
      <c r="H217" s="111"/>
      <c r="I217" s="111">
        <f>419.6+H217</f>
        <v>419.6</v>
      </c>
      <c r="J217" s="115">
        <v>7971.1</v>
      </c>
      <c r="K217" s="111"/>
      <c r="L217" s="115">
        <f>7971.1+K217</f>
        <v>7971.1</v>
      </c>
      <c r="M217" s="111">
        <f>419.6+J217</f>
        <v>8390.7000000000007</v>
      </c>
      <c r="N217" s="111">
        <f>SUM(H217+K217)</f>
        <v>0</v>
      </c>
      <c r="O217" s="111">
        <f>SUM(I217+L217)</f>
        <v>8390.7000000000007</v>
      </c>
      <c r="P217" s="97"/>
      <c r="Q217" s="97"/>
    </row>
    <row r="218" spans="1:17" ht="31.5" x14ac:dyDescent="0.2">
      <c r="A218" s="40"/>
      <c r="B218" s="113" t="s">
        <v>185</v>
      </c>
      <c r="C218" s="113" t="s">
        <v>51</v>
      </c>
      <c r="D218" s="133" t="s">
        <v>262</v>
      </c>
      <c r="E218" s="133" t="s">
        <v>271</v>
      </c>
      <c r="F218" s="134" t="s">
        <v>11</v>
      </c>
      <c r="G218" s="111">
        <f>G219+G226+G223</f>
        <v>17255.5</v>
      </c>
      <c r="H218" s="111">
        <f>H219+H223+H226</f>
        <v>0</v>
      </c>
      <c r="I218" s="111">
        <f>I219+I226+I223</f>
        <v>17255.5</v>
      </c>
      <c r="J218" s="114">
        <f>J219+J226</f>
        <v>0</v>
      </c>
      <c r="K218" s="111">
        <f>K219</f>
        <v>0</v>
      </c>
      <c r="L218" s="114">
        <f>L219+L226</f>
        <v>0</v>
      </c>
      <c r="M218" s="111">
        <f>M219+M226+M223</f>
        <v>17255.5</v>
      </c>
      <c r="N218" s="111">
        <f>SUM(H218)</f>
        <v>0</v>
      </c>
      <c r="O218" s="111">
        <f>O219+O226+O223</f>
        <v>17255.5</v>
      </c>
      <c r="P218" s="97"/>
      <c r="Q218" s="97"/>
    </row>
    <row r="219" spans="1:17" ht="51.6" customHeight="1" x14ac:dyDescent="0.2">
      <c r="A219" s="40"/>
      <c r="B219" s="113" t="s">
        <v>272</v>
      </c>
      <c r="C219" s="113" t="s">
        <v>51</v>
      </c>
      <c r="D219" s="133" t="s">
        <v>262</v>
      </c>
      <c r="E219" s="133" t="s">
        <v>273</v>
      </c>
      <c r="F219" s="134" t="s">
        <v>11</v>
      </c>
      <c r="G219" s="111">
        <f>G220</f>
        <v>9124.6</v>
      </c>
      <c r="H219" s="111">
        <f>H220+H221</f>
        <v>0</v>
      </c>
      <c r="I219" s="111">
        <f>I220</f>
        <v>9124.6</v>
      </c>
      <c r="J219" s="114">
        <f>J220</f>
        <v>0</v>
      </c>
      <c r="K219" s="111">
        <f>K220+K221</f>
        <v>0</v>
      </c>
      <c r="L219" s="114">
        <f>L220</f>
        <v>0</v>
      </c>
      <c r="M219" s="111">
        <f>M220</f>
        <v>9124.6</v>
      </c>
      <c r="N219" s="111">
        <f>N220</f>
        <v>0</v>
      </c>
      <c r="O219" s="111">
        <f>O220</f>
        <v>9124.6</v>
      </c>
      <c r="P219" s="97"/>
      <c r="Q219" s="97"/>
    </row>
    <row r="220" spans="1:17" ht="31.5" x14ac:dyDescent="0.2">
      <c r="A220" s="40"/>
      <c r="B220" s="113" t="s">
        <v>134</v>
      </c>
      <c r="C220" s="113" t="s">
        <v>51</v>
      </c>
      <c r="D220" s="133" t="s">
        <v>262</v>
      </c>
      <c r="E220" s="133" t="s">
        <v>274</v>
      </c>
      <c r="F220" s="134" t="s">
        <v>11</v>
      </c>
      <c r="G220" s="111">
        <f>G221+G222</f>
        <v>9124.6</v>
      </c>
      <c r="H220" s="111">
        <f>SUM(H222)</f>
        <v>0</v>
      </c>
      <c r="I220" s="111">
        <f>I221+I222</f>
        <v>9124.6</v>
      </c>
      <c r="J220" s="114">
        <f>J221+J222</f>
        <v>0</v>
      </c>
      <c r="K220" s="111"/>
      <c r="L220" s="114">
        <f>L221+L222</f>
        <v>0</v>
      </c>
      <c r="M220" s="111">
        <f>M221+M222</f>
        <v>9124.6</v>
      </c>
      <c r="N220" s="111">
        <f>N221+N222</f>
        <v>0</v>
      </c>
      <c r="O220" s="111">
        <f>O221+O222</f>
        <v>9124.6</v>
      </c>
      <c r="P220" s="97"/>
      <c r="Q220" s="97"/>
    </row>
    <row r="221" spans="1:17" ht="25.9" customHeight="1" x14ac:dyDescent="0.2">
      <c r="A221" s="40"/>
      <c r="B221" s="113" t="s">
        <v>61</v>
      </c>
      <c r="C221" s="113" t="s">
        <v>51</v>
      </c>
      <c r="D221" s="133" t="s">
        <v>262</v>
      </c>
      <c r="E221" s="133" t="s">
        <v>274</v>
      </c>
      <c r="F221" s="134" t="s">
        <v>62</v>
      </c>
      <c r="G221" s="111">
        <v>8871.2000000000007</v>
      </c>
      <c r="H221" s="111"/>
      <c r="I221" s="111">
        <f>SUM(G221)</f>
        <v>8871.2000000000007</v>
      </c>
      <c r="J221" s="115">
        <v>0</v>
      </c>
      <c r="K221" s="111"/>
      <c r="L221" s="115">
        <v>0</v>
      </c>
      <c r="M221" s="111">
        <f>SUM(G221)</f>
        <v>8871.2000000000007</v>
      </c>
      <c r="N221" s="111">
        <f>SUM(H221)</f>
        <v>0</v>
      </c>
      <c r="O221" s="111">
        <f>SUM(M221)</f>
        <v>8871.2000000000007</v>
      </c>
      <c r="P221" s="97"/>
      <c r="Q221" s="97"/>
    </row>
    <row r="222" spans="1:17" ht="31.5" x14ac:dyDescent="0.2">
      <c r="A222" s="40"/>
      <c r="B222" s="113" t="s">
        <v>40</v>
      </c>
      <c r="C222" s="113" t="s">
        <v>51</v>
      </c>
      <c r="D222" s="133" t="s">
        <v>262</v>
      </c>
      <c r="E222" s="133" t="s">
        <v>274</v>
      </c>
      <c r="F222" s="134" t="s">
        <v>41</v>
      </c>
      <c r="G222" s="111">
        <v>253.4</v>
      </c>
      <c r="H222" s="111"/>
      <c r="I222" s="111">
        <f>SUM(G222)</f>
        <v>253.4</v>
      </c>
      <c r="J222" s="115">
        <v>0</v>
      </c>
      <c r="K222" s="111"/>
      <c r="L222" s="115">
        <v>0</v>
      </c>
      <c r="M222" s="111">
        <f t="shared" ref="M222:N225" si="41">SUM(G222)</f>
        <v>253.4</v>
      </c>
      <c r="N222" s="111">
        <f t="shared" si="41"/>
        <v>0</v>
      </c>
      <c r="O222" s="111">
        <f>SUM(M222)</f>
        <v>253.4</v>
      </c>
      <c r="P222" s="97"/>
      <c r="Q222" s="97"/>
    </row>
    <row r="223" spans="1:17" ht="15.75" x14ac:dyDescent="0.2">
      <c r="A223" s="40"/>
      <c r="B223" s="113" t="s">
        <v>275</v>
      </c>
      <c r="C223" s="113">
        <v>992</v>
      </c>
      <c r="D223" s="133" t="s">
        <v>262</v>
      </c>
      <c r="E223" s="136" t="s">
        <v>276</v>
      </c>
      <c r="F223" s="134"/>
      <c r="G223" s="111">
        <f>SUM(G225)</f>
        <v>600</v>
      </c>
      <c r="H223" s="111"/>
      <c r="I223" s="111">
        <f>SUM(H223)+G223</f>
        <v>600</v>
      </c>
      <c r="J223" s="115"/>
      <c r="K223" s="111"/>
      <c r="L223" s="115"/>
      <c r="M223" s="111">
        <f t="shared" si="41"/>
        <v>600</v>
      </c>
      <c r="N223" s="111">
        <f t="shared" si="41"/>
        <v>0</v>
      </c>
      <c r="O223" s="111">
        <f>SUM(I223)</f>
        <v>600</v>
      </c>
      <c r="P223" s="97"/>
      <c r="Q223" s="97"/>
    </row>
    <row r="224" spans="1:17" ht="15.75" x14ac:dyDescent="0.2">
      <c r="A224" s="40"/>
      <c r="B224" s="113" t="s">
        <v>277</v>
      </c>
      <c r="C224" s="113">
        <v>992</v>
      </c>
      <c r="D224" s="133" t="s">
        <v>262</v>
      </c>
      <c r="E224" s="136" t="s">
        <v>276</v>
      </c>
      <c r="F224" s="134"/>
      <c r="G224" s="111">
        <f>SUM(F224)+G225</f>
        <v>600</v>
      </c>
      <c r="H224" s="111"/>
      <c r="I224" s="111">
        <f>SUM(H224)+G224</f>
        <v>600</v>
      </c>
      <c r="J224" s="115"/>
      <c r="K224" s="111"/>
      <c r="L224" s="115"/>
      <c r="M224" s="111">
        <f t="shared" si="41"/>
        <v>600</v>
      </c>
      <c r="N224" s="111">
        <f t="shared" si="41"/>
        <v>0</v>
      </c>
      <c r="O224" s="111">
        <f>SUM(I224)</f>
        <v>600</v>
      </c>
      <c r="P224" s="97"/>
      <c r="Q224" s="97"/>
    </row>
    <row r="225" spans="1:17" ht="31.5" x14ac:dyDescent="0.2">
      <c r="A225" s="40"/>
      <c r="B225" s="113" t="s">
        <v>40</v>
      </c>
      <c r="C225" s="113">
        <v>992</v>
      </c>
      <c r="D225" s="133" t="s">
        <v>262</v>
      </c>
      <c r="E225" s="136" t="s">
        <v>278</v>
      </c>
      <c r="F225" s="134">
        <v>200</v>
      </c>
      <c r="G225" s="111">
        <v>600</v>
      </c>
      <c r="H225" s="111"/>
      <c r="I225" s="111">
        <f>SUM(H225)+G225</f>
        <v>600</v>
      </c>
      <c r="J225" s="115"/>
      <c r="K225" s="111"/>
      <c r="L225" s="115"/>
      <c r="M225" s="111">
        <f t="shared" si="41"/>
        <v>600</v>
      </c>
      <c r="N225" s="111">
        <f t="shared" si="41"/>
        <v>0</v>
      </c>
      <c r="O225" s="111">
        <f>SUM(I225)</f>
        <v>600</v>
      </c>
      <c r="P225" s="97"/>
      <c r="Q225" s="97"/>
    </row>
    <row r="226" spans="1:17" ht="52.15" customHeight="1" x14ac:dyDescent="0.2">
      <c r="A226" s="40"/>
      <c r="B226" s="113" t="s">
        <v>279</v>
      </c>
      <c r="C226" s="113" t="s">
        <v>51</v>
      </c>
      <c r="D226" s="133" t="s">
        <v>262</v>
      </c>
      <c r="E226" s="133" t="s">
        <v>280</v>
      </c>
      <c r="F226" s="134" t="s">
        <v>11</v>
      </c>
      <c r="G226" s="111">
        <f t="shared" ref="G226:O227" si="42">G227</f>
        <v>7530.9</v>
      </c>
      <c r="H226" s="111">
        <f t="shared" si="42"/>
        <v>0</v>
      </c>
      <c r="I226" s="111">
        <f t="shared" si="42"/>
        <v>7530.9</v>
      </c>
      <c r="J226" s="114">
        <f t="shared" si="42"/>
        <v>0</v>
      </c>
      <c r="K226" s="111">
        <f t="shared" si="42"/>
        <v>0</v>
      </c>
      <c r="L226" s="114">
        <f t="shared" si="42"/>
        <v>0</v>
      </c>
      <c r="M226" s="111">
        <f t="shared" si="42"/>
        <v>7530.9</v>
      </c>
      <c r="N226" s="111">
        <f t="shared" si="42"/>
        <v>0</v>
      </c>
      <c r="O226" s="111">
        <f t="shared" si="42"/>
        <v>7530.9</v>
      </c>
      <c r="P226" s="97"/>
      <c r="Q226" s="97"/>
    </row>
    <row r="227" spans="1:17" ht="31.5" x14ac:dyDescent="0.2">
      <c r="A227" s="40"/>
      <c r="B227" s="113" t="s">
        <v>134</v>
      </c>
      <c r="C227" s="113" t="s">
        <v>51</v>
      </c>
      <c r="D227" s="133" t="s">
        <v>262</v>
      </c>
      <c r="E227" s="133" t="s">
        <v>281</v>
      </c>
      <c r="F227" s="134" t="s">
        <v>11</v>
      </c>
      <c r="G227" s="111">
        <f t="shared" si="42"/>
        <v>7530.9</v>
      </c>
      <c r="H227" s="111">
        <f>SUM(H228)</f>
        <v>0</v>
      </c>
      <c r="I227" s="111">
        <f t="shared" si="42"/>
        <v>7530.9</v>
      </c>
      <c r="J227" s="114">
        <f t="shared" si="42"/>
        <v>0</v>
      </c>
      <c r="K227" s="111"/>
      <c r="L227" s="114">
        <f t="shared" si="42"/>
        <v>0</v>
      </c>
      <c r="M227" s="111">
        <f t="shared" si="42"/>
        <v>7530.9</v>
      </c>
      <c r="N227" s="111">
        <f t="shared" si="42"/>
        <v>0</v>
      </c>
      <c r="O227" s="111">
        <f t="shared" si="42"/>
        <v>7530.9</v>
      </c>
      <c r="P227" s="97"/>
      <c r="Q227" s="97"/>
    </row>
    <row r="228" spans="1:17" ht="37.9" customHeight="1" x14ac:dyDescent="0.2">
      <c r="A228" s="40"/>
      <c r="B228" s="113" t="s">
        <v>95</v>
      </c>
      <c r="C228" s="113" t="s">
        <v>51</v>
      </c>
      <c r="D228" s="133" t="s">
        <v>262</v>
      </c>
      <c r="E228" s="133" t="s">
        <v>281</v>
      </c>
      <c r="F228" s="134" t="s">
        <v>96</v>
      </c>
      <c r="G228" s="111">
        <v>7530.9</v>
      </c>
      <c r="H228" s="111"/>
      <c r="I228" s="111">
        <f>SUM(G228)</f>
        <v>7530.9</v>
      </c>
      <c r="J228" s="115">
        <v>0</v>
      </c>
      <c r="K228" s="111"/>
      <c r="L228" s="115">
        <v>0</v>
      </c>
      <c r="M228" s="111">
        <f>SUM(G228)</f>
        <v>7530.9</v>
      </c>
      <c r="N228" s="111">
        <f>SUM(H228)</f>
        <v>0</v>
      </c>
      <c r="O228" s="111">
        <f>SUM(M228)</f>
        <v>7530.9</v>
      </c>
      <c r="P228" s="97"/>
      <c r="Q228" s="97"/>
    </row>
    <row r="229" spans="1:17" ht="37.9" customHeight="1" x14ac:dyDescent="0.2">
      <c r="A229" s="40"/>
      <c r="B229" s="118" t="s">
        <v>245</v>
      </c>
      <c r="C229" s="118">
        <v>992</v>
      </c>
      <c r="D229" s="136" t="s">
        <v>262</v>
      </c>
      <c r="E229" s="136" t="s">
        <v>246</v>
      </c>
      <c r="F229" s="141"/>
      <c r="G229" s="111">
        <f t="shared" ref="G229:O229" si="43">G230</f>
        <v>6256.7</v>
      </c>
      <c r="H229" s="111">
        <f t="shared" si="43"/>
        <v>0</v>
      </c>
      <c r="I229" s="111">
        <f t="shared" si="43"/>
        <v>6256.7</v>
      </c>
      <c r="J229" s="115">
        <f t="shared" si="43"/>
        <v>0</v>
      </c>
      <c r="K229" s="111">
        <f t="shared" si="43"/>
        <v>0</v>
      </c>
      <c r="L229" s="115">
        <f t="shared" si="43"/>
        <v>0</v>
      </c>
      <c r="M229" s="111">
        <f t="shared" si="43"/>
        <v>6256.7</v>
      </c>
      <c r="N229" s="111">
        <f t="shared" si="43"/>
        <v>0</v>
      </c>
      <c r="O229" s="111">
        <f t="shared" si="43"/>
        <v>6256.7</v>
      </c>
      <c r="P229" s="97"/>
      <c r="Q229" s="97"/>
    </row>
    <row r="230" spans="1:17" ht="37.9" customHeight="1" x14ac:dyDescent="0.2">
      <c r="A230" s="40"/>
      <c r="B230" s="96" t="s">
        <v>282</v>
      </c>
      <c r="C230" s="113">
        <v>992</v>
      </c>
      <c r="D230" s="133" t="s">
        <v>262</v>
      </c>
      <c r="E230" s="136" t="s">
        <v>248</v>
      </c>
      <c r="F230" s="134"/>
      <c r="G230" s="111">
        <f>SUM(G233)+G231</f>
        <v>6256.7</v>
      </c>
      <c r="H230" s="111">
        <f>SUM(H233)+H231</f>
        <v>0</v>
      </c>
      <c r="I230" s="111">
        <f>SUM(G230)+H230</f>
        <v>6256.7</v>
      </c>
      <c r="J230" s="115"/>
      <c r="K230" s="111"/>
      <c r="L230" s="115"/>
      <c r="M230" s="111">
        <f>SUM(G230)</f>
        <v>6256.7</v>
      </c>
      <c r="N230" s="111">
        <f t="shared" ref="N230:O234" si="44">SUM(H230)</f>
        <v>0</v>
      </c>
      <c r="O230" s="111">
        <f t="shared" si="44"/>
        <v>6256.7</v>
      </c>
      <c r="P230" s="97"/>
      <c r="Q230" s="97"/>
    </row>
    <row r="231" spans="1:17" ht="43.5" customHeight="1" x14ac:dyDescent="0.2">
      <c r="A231" s="40"/>
      <c r="B231" s="135" t="s">
        <v>134</v>
      </c>
      <c r="C231" s="113">
        <v>992</v>
      </c>
      <c r="D231" s="133" t="s">
        <v>262</v>
      </c>
      <c r="E231" s="136" t="s">
        <v>251</v>
      </c>
      <c r="F231" s="134"/>
      <c r="G231" s="111">
        <f>SUM(G232)</f>
        <v>5097.7</v>
      </c>
      <c r="H231" s="111">
        <f>SUM(H232)</f>
        <v>0</v>
      </c>
      <c r="I231" s="111">
        <f>SUM(I232)</f>
        <v>5097.7</v>
      </c>
      <c r="J231" s="115"/>
      <c r="K231" s="111"/>
      <c r="L231" s="115"/>
      <c r="M231" s="111">
        <f>SUM(G231)</f>
        <v>5097.7</v>
      </c>
      <c r="N231" s="111">
        <f>SUM(H231)</f>
        <v>0</v>
      </c>
      <c r="O231" s="111">
        <f>SUM(I231)</f>
        <v>5097.7</v>
      </c>
      <c r="P231" s="97"/>
      <c r="Q231" s="97"/>
    </row>
    <row r="232" spans="1:17" ht="46.5" customHeight="1" x14ac:dyDescent="0.2">
      <c r="A232" s="40"/>
      <c r="B232" s="113" t="s">
        <v>95</v>
      </c>
      <c r="C232" s="113">
        <v>992</v>
      </c>
      <c r="D232" s="133" t="s">
        <v>262</v>
      </c>
      <c r="E232" s="136" t="s">
        <v>251</v>
      </c>
      <c r="F232" s="134">
        <v>600</v>
      </c>
      <c r="G232" s="111">
        <v>5097.7</v>
      </c>
      <c r="H232" s="111"/>
      <c r="I232" s="111">
        <v>5097.7</v>
      </c>
      <c r="J232" s="115"/>
      <c r="K232" s="111"/>
      <c r="L232" s="115"/>
      <c r="M232" s="111">
        <f>SUM(G232)</f>
        <v>5097.7</v>
      </c>
      <c r="N232" s="111">
        <f>SUM(H232)</f>
        <v>0</v>
      </c>
      <c r="O232" s="111">
        <f>SUM(I232)</f>
        <v>5097.7</v>
      </c>
      <c r="P232" s="97"/>
      <c r="Q232" s="97"/>
    </row>
    <row r="233" spans="1:17" ht="54" customHeight="1" x14ac:dyDescent="0.2">
      <c r="A233" s="40"/>
      <c r="B233" s="142" t="s">
        <v>283</v>
      </c>
      <c r="C233" s="113">
        <v>992</v>
      </c>
      <c r="D233" s="133" t="s">
        <v>262</v>
      </c>
      <c r="E233" s="136" t="s">
        <v>284</v>
      </c>
      <c r="F233" s="134"/>
      <c r="G233" s="111">
        <f>SUM(G234)</f>
        <v>1159</v>
      </c>
      <c r="H233" s="111">
        <f>SUM(H234)</f>
        <v>0</v>
      </c>
      <c r="I233" s="111">
        <f>SUM(G233)+H233</f>
        <v>1159</v>
      </c>
      <c r="J233" s="115"/>
      <c r="K233" s="111"/>
      <c r="L233" s="115"/>
      <c r="M233" s="111">
        <f>SUM(G234)</f>
        <v>1159</v>
      </c>
      <c r="N233" s="111">
        <f t="shared" si="44"/>
        <v>0</v>
      </c>
      <c r="O233" s="111">
        <f t="shared" si="44"/>
        <v>1159</v>
      </c>
      <c r="P233" s="97"/>
      <c r="Q233" s="97"/>
    </row>
    <row r="234" spans="1:17" ht="37.9" customHeight="1" x14ac:dyDescent="0.2">
      <c r="A234" s="40"/>
      <c r="B234" s="113" t="s">
        <v>95</v>
      </c>
      <c r="C234" s="113">
        <v>992</v>
      </c>
      <c r="D234" s="133" t="s">
        <v>262</v>
      </c>
      <c r="E234" s="136" t="s">
        <v>284</v>
      </c>
      <c r="F234" s="134">
        <v>600</v>
      </c>
      <c r="G234" s="111">
        <v>1159</v>
      </c>
      <c r="H234" s="111"/>
      <c r="I234" s="111">
        <f>SUM(G234)+H234</f>
        <v>1159</v>
      </c>
      <c r="J234" s="115"/>
      <c r="K234" s="111"/>
      <c r="L234" s="115"/>
      <c r="M234" s="111">
        <f>SUM(G234)</f>
        <v>1159</v>
      </c>
      <c r="N234" s="111">
        <f t="shared" si="44"/>
        <v>0</v>
      </c>
      <c r="O234" s="111">
        <f t="shared" si="44"/>
        <v>1159</v>
      </c>
      <c r="P234" s="97"/>
      <c r="Q234" s="97"/>
    </row>
    <row r="235" spans="1:17" ht="31.5" x14ac:dyDescent="0.2">
      <c r="A235" s="40"/>
      <c r="B235" s="113" t="s">
        <v>218</v>
      </c>
      <c r="C235" s="113" t="s">
        <v>51</v>
      </c>
      <c r="D235" s="133" t="s">
        <v>262</v>
      </c>
      <c r="E235" s="133" t="s">
        <v>219</v>
      </c>
      <c r="F235" s="134" t="s">
        <v>11</v>
      </c>
      <c r="G235" s="111">
        <f>G236+G241+G248</f>
        <v>5526.1</v>
      </c>
      <c r="H235" s="111">
        <f>H236+H241</f>
        <v>0</v>
      </c>
      <c r="I235" s="111">
        <f>I236+I241+I248</f>
        <v>5526.1</v>
      </c>
      <c r="J235" s="114">
        <f>J236+J241+J248</f>
        <v>0</v>
      </c>
      <c r="K235" s="111">
        <f>K236</f>
        <v>0</v>
      </c>
      <c r="L235" s="114">
        <f>L236+L241+L248</f>
        <v>0</v>
      </c>
      <c r="M235" s="111">
        <f>M236+M241+M248</f>
        <v>5526.1</v>
      </c>
      <c r="N235" s="111">
        <f>N236+N241+N248</f>
        <v>0</v>
      </c>
      <c r="O235" s="111">
        <f>O236+O241+O248</f>
        <v>5526.1</v>
      </c>
      <c r="P235" s="97"/>
      <c r="Q235" s="97"/>
    </row>
    <row r="236" spans="1:17" ht="31.5" x14ac:dyDescent="0.2">
      <c r="A236" s="40"/>
      <c r="B236" s="113" t="s">
        <v>285</v>
      </c>
      <c r="C236" s="113" t="s">
        <v>51</v>
      </c>
      <c r="D236" s="133" t="s">
        <v>262</v>
      </c>
      <c r="E236" s="133" t="s">
        <v>286</v>
      </c>
      <c r="F236" s="134" t="s">
        <v>11</v>
      </c>
      <c r="G236" s="111">
        <f>G237</f>
        <v>330</v>
      </c>
      <c r="H236" s="111">
        <f>H237</f>
        <v>0</v>
      </c>
      <c r="I236" s="111">
        <f>I237</f>
        <v>330</v>
      </c>
      <c r="J236" s="114">
        <f t="shared" ref="J236:O237" si="45">J237</f>
        <v>0</v>
      </c>
      <c r="K236" s="111">
        <f>K237</f>
        <v>0</v>
      </c>
      <c r="L236" s="114">
        <f t="shared" si="45"/>
        <v>0</v>
      </c>
      <c r="M236" s="111">
        <f t="shared" si="45"/>
        <v>330</v>
      </c>
      <c r="N236" s="111">
        <f t="shared" si="45"/>
        <v>0</v>
      </c>
      <c r="O236" s="111">
        <f t="shared" si="45"/>
        <v>330</v>
      </c>
      <c r="P236" s="97"/>
      <c r="Q236" s="97"/>
    </row>
    <row r="237" spans="1:17" ht="31.5" x14ac:dyDescent="0.2">
      <c r="A237" s="40"/>
      <c r="B237" s="113" t="s">
        <v>287</v>
      </c>
      <c r="C237" s="113" t="s">
        <v>51</v>
      </c>
      <c r="D237" s="133" t="s">
        <v>262</v>
      </c>
      <c r="E237" s="133" t="s">
        <v>288</v>
      </c>
      <c r="F237" s="134" t="s">
        <v>11</v>
      </c>
      <c r="G237" s="111">
        <f>G238</f>
        <v>330</v>
      </c>
      <c r="H237" s="111">
        <f>H239+H238</f>
        <v>0</v>
      </c>
      <c r="I237" s="111">
        <f>I238</f>
        <v>330</v>
      </c>
      <c r="J237" s="114">
        <f t="shared" si="45"/>
        <v>0</v>
      </c>
      <c r="K237" s="111">
        <f>K239+K238</f>
        <v>0</v>
      </c>
      <c r="L237" s="114">
        <f t="shared" si="45"/>
        <v>0</v>
      </c>
      <c r="M237" s="111">
        <f t="shared" si="45"/>
        <v>330</v>
      </c>
      <c r="N237" s="111">
        <f t="shared" si="45"/>
        <v>0</v>
      </c>
      <c r="O237" s="111">
        <f t="shared" si="45"/>
        <v>330</v>
      </c>
      <c r="P237" s="97"/>
      <c r="Q237" s="97"/>
    </row>
    <row r="238" spans="1:17" ht="31.5" x14ac:dyDescent="0.2">
      <c r="A238" s="40"/>
      <c r="B238" s="113" t="s">
        <v>285</v>
      </c>
      <c r="C238" s="113" t="s">
        <v>51</v>
      </c>
      <c r="D238" s="133" t="s">
        <v>262</v>
      </c>
      <c r="E238" s="133" t="s">
        <v>289</v>
      </c>
      <c r="F238" s="134" t="s">
        <v>11</v>
      </c>
      <c r="G238" s="111">
        <f>G240+G239</f>
        <v>330</v>
      </c>
      <c r="H238" s="111"/>
      <c r="I238" s="111">
        <f>I240+I239</f>
        <v>330</v>
      </c>
      <c r="J238" s="114">
        <f>J240+J239</f>
        <v>0</v>
      </c>
      <c r="K238" s="111"/>
      <c r="L238" s="114">
        <f>L240+L239</f>
        <v>0</v>
      </c>
      <c r="M238" s="111">
        <f>M240+M239</f>
        <v>330</v>
      </c>
      <c r="N238" s="111">
        <f>N240+N239</f>
        <v>0</v>
      </c>
      <c r="O238" s="111">
        <f>O240+O239</f>
        <v>330</v>
      </c>
      <c r="P238" s="97"/>
      <c r="Q238" s="97"/>
    </row>
    <row r="239" spans="1:17" ht="31.5" x14ac:dyDescent="0.2">
      <c r="A239" s="40"/>
      <c r="B239" s="113" t="s">
        <v>40</v>
      </c>
      <c r="C239" s="113" t="s">
        <v>51</v>
      </c>
      <c r="D239" s="133" t="s">
        <v>262</v>
      </c>
      <c r="E239" s="133" t="s">
        <v>289</v>
      </c>
      <c r="F239" s="134">
        <v>200</v>
      </c>
      <c r="G239" s="111">
        <v>200</v>
      </c>
      <c r="H239" s="111"/>
      <c r="I239" s="111">
        <v>200</v>
      </c>
      <c r="J239" s="114">
        <v>0</v>
      </c>
      <c r="K239" s="111"/>
      <c r="L239" s="114">
        <v>0</v>
      </c>
      <c r="M239" s="111">
        <v>200</v>
      </c>
      <c r="N239" s="111"/>
      <c r="O239" s="111">
        <v>200</v>
      </c>
      <c r="P239" s="97"/>
      <c r="Q239" s="97"/>
    </row>
    <row r="240" spans="1:17" ht="15.75" x14ac:dyDescent="0.2">
      <c r="A240" s="40"/>
      <c r="B240" s="113" t="s">
        <v>70</v>
      </c>
      <c r="C240" s="113" t="s">
        <v>51</v>
      </c>
      <c r="D240" s="133" t="s">
        <v>262</v>
      </c>
      <c r="E240" s="133" t="s">
        <v>289</v>
      </c>
      <c r="F240" s="134" t="s">
        <v>71</v>
      </c>
      <c r="G240" s="111">
        <v>130</v>
      </c>
      <c r="H240" s="111"/>
      <c r="I240" s="111">
        <v>130</v>
      </c>
      <c r="J240" s="115">
        <v>0</v>
      </c>
      <c r="K240" s="111"/>
      <c r="L240" s="115">
        <v>0</v>
      </c>
      <c r="M240" s="111">
        <v>130</v>
      </c>
      <c r="N240" s="111"/>
      <c r="O240" s="111">
        <v>130</v>
      </c>
      <c r="P240" s="97"/>
      <c r="Q240" s="97"/>
    </row>
    <row r="241" spans="1:17" ht="31.5" x14ac:dyDescent="0.2">
      <c r="A241" s="40"/>
      <c r="B241" s="113" t="s">
        <v>290</v>
      </c>
      <c r="C241" s="113" t="s">
        <v>51</v>
      </c>
      <c r="D241" s="133" t="s">
        <v>262</v>
      </c>
      <c r="E241" s="133" t="s">
        <v>291</v>
      </c>
      <c r="F241" s="134" t="s">
        <v>11</v>
      </c>
      <c r="G241" s="111">
        <f t="shared" ref="G241:O242" si="46">G242</f>
        <v>4396.1000000000004</v>
      </c>
      <c r="H241" s="111">
        <f t="shared" si="46"/>
        <v>0</v>
      </c>
      <c r="I241" s="111">
        <f t="shared" si="46"/>
        <v>4396.1000000000004</v>
      </c>
      <c r="J241" s="114">
        <f t="shared" si="46"/>
        <v>0</v>
      </c>
      <c r="K241" s="111">
        <f t="shared" si="46"/>
        <v>0</v>
      </c>
      <c r="L241" s="114">
        <f t="shared" si="46"/>
        <v>0</v>
      </c>
      <c r="M241" s="111">
        <f t="shared" si="46"/>
        <v>4396.1000000000004</v>
      </c>
      <c r="N241" s="111">
        <f t="shared" si="46"/>
        <v>0</v>
      </c>
      <c r="O241" s="111">
        <f t="shared" si="46"/>
        <v>4396.1000000000004</v>
      </c>
      <c r="P241" s="97"/>
      <c r="Q241" s="97"/>
    </row>
    <row r="242" spans="1:17" ht="47.25" x14ac:dyDescent="0.2">
      <c r="A242" s="40"/>
      <c r="B242" s="113" t="s">
        <v>292</v>
      </c>
      <c r="C242" s="113" t="s">
        <v>51</v>
      </c>
      <c r="D242" s="133" t="s">
        <v>262</v>
      </c>
      <c r="E242" s="133" t="s">
        <v>293</v>
      </c>
      <c r="F242" s="134" t="s">
        <v>11</v>
      </c>
      <c r="G242" s="111">
        <f t="shared" si="46"/>
        <v>4396.1000000000004</v>
      </c>
      <c r="H242" s="111">
        <f t="shared" si="46"/>
        <v>0</v>
      </c>
      <c r="I242" s="111">
        <f t="shared" si="46"/>
        <v>4396.1000000000004</v>
      </c>
      <c r="J242" s="114">
        <f t="shared" si="46"/>
        <v>0</v>
      </c>
      <c r="K242" s="111">
        <f>K243+K244</f>
        <v>0</v>
      </c>
      <c r="L242" s="114">
        <f t="shared" si="46"/>
        <v>0</v>
      </c>
      <c r="M242" s="111">
        <f t="shared" si="46"/>
        <v>4396.1000000000004</v>
      </c>
      <c r="N242" s="111">
        <f>SUM(H242)</f>
        <v>0</v>
      </c>
      <c r="O242" s="111">
        <f t="shared" si="46"/>
        <v>4396.1000000000004</v>
      </c>
      <c r="P242" s="97"/>
      <c r="Q242" s="97"/>
    </row>
    <row r="243" spans="1:17" ht="31.5" x14ac:dyDescent="0.2">
      <c r="A243" s="40"/>
      <c r="B243" s="113" t="s">
        <v>134</v>
      </c>
      <c r="C243" s="113" t="s">
        <v>51</v>
      </c>
      <c r="D243" s="133" t="s">
        <v>262</v>
      </c>
      <c r="E243" s="133" t="s">
        <v>294</v>
      </c>
      <c r="F243" s="134" t="s">
        <v>11</v>
      </c>
      <c r="G243" s="111">
        <f>G244+G245</f>
        <v>4396.1000000000004</v>
      </c>
      <c r="H243" s="111"/>
      <c r="I243" s="111">
        <f>I244+I245</f>
        <v>4396.1000000000004</v>
      </c>
      <c r="J243" s="114">
        <f>J244+J245</f>
        <v>0</v>
      </c>
      <c r="K243" s="111"/>
      <c r="L243" s="114">
        <f>L244+L245</f>
        <v>0</v>
      </c>
      <c r="M243" s="111">
        <f>M244+M245</f>
        <v>4396.1000000000004</v>
      </c>
      <c r="N243" s="111">
        <f>N244+N245</f>
        <v>0</v>
      </c>
      <c r="O243" s="111">
        <f>O244+O245</f>
        <v>4396.1000000000004</v>
      </c>
      <c r="P243" s="97"/>
      <c r="Q243" s="97"/>
    </row>
    <row r="244" spans="1:17" ht="31.9" customHeight="1" x14ac:dyDescent="0.2">
      <c r="A244" s="40"/>
      <c r="B244" s="113" t="s">
        <v>61</v>
      </c>
      <c r="C244" s="113" t="s">
        <v>51</v>
      </c>
      <c r="D244" s="133" t="s">
        <v>262</v>
      </c>
      <c r="E244" s="133" t="s">
        <v>294</v>
      </c>
      <c r="F244" s="134" t="s">
        <v>62</v>
      </c>
      <c r="G244" s="111">
        <v>4250.6000000000004</v>
      </c>
      <c r="H244" s="111"/>
      <c r="I244" s="111">
        <f>SUM(G244)</f>
        <v>4250.6000000000004</v>
      </c>
      <c r="J244" s="115">
        <v>0</v>
      </c>
      <c r="K244" s="111"/>
      <c r="L244" s="115">
        <v>0</v>
      </c>
      <c r="M244" s="111">
        <f>SUM(G244)</f>
        <v>4250.6000000000004</v>
      </c>
      <c r="N244" s="111">
        <f>SUM(H244)</f>
        <v>0</v>
      </c>
      <c r="O244" s="111">
        <f>SUM(I244)</f>
        <v>4250.6000000000004</v>
      </c>
      <c r="P244" s="97"/>
      <c r="Q244" s="97"/>
    </row>
    <row r="245" spans="1:17" ht="31.5" x14ac:dyDescent="0.2">
      <c r="A245" s="40"/>
      <c r="B245" s="113" t="s">
        <v>40</v>
      </c>
      <c r="C245" s="113" t="s">
        <v>51</v>
      </c>
      <c r="D245" s="133" t="s">
        <v>262</v>
      </c>
      <c r="E245" s="133" t="s">
        <v>294</v>
      </c>
      <c r="F245" s="134" t="s">
        <v>41</v>
      </c>
      <c r="G245" s="111">
        <v>145.5</v>
      </c>
      <c r="H245" s="111"/>
      <c r="I245" s="111">
        <v>145.5</v>
      </c>
      <c r="J245" s="115">
        <v>0</v>
      </c>
      <c r="K245" s="111"/>
      <c r="L245" s="115">
        <v>0</v>
      </c>
      <c r="M245" s="111">
        <v>145.5</v>
      </c>
      <c r="N245" s="111"/>
      <c r="O245" s="111">
        <v>145.5</v>
      </c>
      <c r="P245" s="97"/>
      <c r="Q245" s="97"/>
    </row>
    <row r="246" spans="1:17" ht="63" hidden="1" x14ac:dyDescent="0.2">
      <c r="A246" s="40"/>
      <c r="B246" s="135" t="s">
        <v>560</v>
      </c>
      <c r="C246" s="113">
        <v>992</v>
      </c>
      <c r="D246" s="133" t="s">
        <v>262</v>
      </c>
      <c r="E246" s="133" t="s">
        <v>559</v>
      </c>
      <c r="F246" s="134"/>
      <c r="G246" s="111"/>
      <c r="H246" s="111"/>
      <c r="I246" s="111">
        <f>SUM(H246)</f>
        <v>0</v>
      </c>
      <c r="J246" s="115"/>
      <c r="K246" s="111"/>
      <c r="L246" s="115"/>
      <c r="M246" s="111"/>
      <c r="N246" s="111">
        <f>SUM(H246)</f>
        <v>0</v>
      </c>
      <c r="O246" s="111">
        <f>SUM(H246)</f>
        <v>0</v>
      </c>
      <c r="P246" s="97"/>
      <c r="Q246" s="97"/>
    </row>
    <row r="247" spans="1:17" ht="15.75" hidden="1" x14ac:dyDescent="0.2">
      <c r="A247" s="40"/>
      <c r="B247" s="113" t="s">
        <v>47</v>
      </c>
      <c r="C247" s="113">
        <v>992</v>
      </c>
      <c r="D247" s="133" t="s">
        <v>262</v>
      </c>
      <c r="E247" s="133" t="s">
        <v>559</v>
      </c>
      <c r="F247" s="134">
        <v>500</v>
      </c>
      <c r="G247" s="111"/>
      <c r="H247" s="111"/>
      <c r="I247" s="111">
        <f>SUM(H247)</f>
        <v>0</v>
      </c>
      <c r="J247" s="115"/>
      <c r="K247" s="111"/>
      <c r="L247" s="115"/>
      <c r="M247" s="111"/>
      <c r="N247" s="111">
        <f>SUM(H247)</f>
        <v>0</v>
      </c>
      <c r="O247" s="111">
        <f>SUM(H247)</f>
        <v>0</v>
      </c>
      <c r="P247" s="97"/>
      <c r="Q247" s="97"/>
    </row>
    <row r="248" spans="1:17" ht="63" x14ac:dyDescent="0.2">
      <c r="A248" s="40"/>
      <c r="B248" s="113" t="s">
        <v>295</v>
      </c>
      <c r="C248" s="113" t="s">
        <v>51</v>
      </c>
      <c r="D248" s="133" t="s">
        <v>262</v>
      </c>
      <c r="E248" s="133" t="s">
        <v>296</v>
      </c>
      <c r="F248" s="134" t="s">
        <v>11</v>
      </c>
      <c r="G248" s="111">
        <f t="shared" ref="G248:O250" si="47">G249</f>
        <v>800</v>
      </c>
      <c r="H248" s="111">
        <f t="shared" si="47"/>
        <v>0</v>
      </c>
      <c r="I248" s="111">
        <f t="shared" si="47"/>
        <v>800</v>
      </c>
      <c r="J248" s="114">
        <f t="shared" si="47"/>
        <v>0</v>
      </c>
      <c r="K248" s="111">
        <f>K249</f>
        <v>0</v>
      </c>
      <c r="L248" s="114">
        <f t="shared" si="47"/>
        <v>0</v>
      </c>
      <c r="M248" s="111">
        <f t="shared" si="47"/>
        <v>800</v>
      </c>
      <c r="N248" s="111">
        <f t="shared" si="47"/>
        <v>0</v>
      </c>
      <c r="O248" s="111">
        <f t="shared" si="47"/>
        <v>800</v>
      </c>
      <c r="P248" s="97"/>
      <c r="Q248" s="97"/>
    </row>
    <row r="249" spans="1:17" ht="47.25" x14ac:dyDescent="0.2">
      <c r="A249" s="40"/>
      <c r="B249" s="113" t="s">
        <v>297</v>
      </c>
      <c r="C249" s="113" t="s">
        <v>51</v>
      </c>
      <c r="D249" s="133" t="s">
        <v>262</v>
      </c>
      <c r="E249" s="133" t="s">
        <v>298</v>
      </c>
      <c r="F249" s="134" t="s">
        <v>11</v>
      </c>
      <c r="G249" s="111">
        <f t="shared" si="47"/>
        <v>800</v>
      </c>
      <c r="H249" s="111">
        <f>H250</f>
        <v>0</v>
      </c>
      <c r="I249" s="111">
        <f t="shared" si="47"/>
        <v>800</v>
      </c>
      <c r="J249" s="114">
        <f t="shared" si="47"/>
        <v>0</v>
      </c>
      <c r="K249" s="111">
        <f>K250</f>
        <v>0</v>
      </c>
      <c r="L249" s="114">
        <f t="shared" si="47"/>
        <v>0</v>
      </c>
      <c r="M249" s="111">
        <f t="shared" si="47"/>
        <v>800</v>
      </c>
      <c r="N249" s="111">
        <f t="shared" si="47"/>
        <v>0</v>
      </c>
      <c r="O249" s="111">
        <f t="shared" si="47"/>
        <v>800</v>
      </c>
      <c r="P249" s="97"/>
      <c r="Q249" s="97"/>
    </row>
    <row r="250" spans="1:17" ht="31.5" x14ac:dyDescent="0.2">
      <c r="A250" s="40"/>
      <c r="B250" s="113" t="s">
        <v>299</v>
      </c>
      <c r="C250" s="113" t="s">
        <v>51</v>
      </c>
      <c r="D250" s="133" t="s">
        <v>262</v>
      </c>
      <c r="E250" s="133" t="s">
        <v>300</v>
      </c>
      <c r="F250" s="134" t="s">
        <v>11</v>
      </c>
      <c r="G250" s="111">
        <f>G251</f>
        <v>800</v>
      </c>
      <c r="H250" s="106"/>
      <c r="I250" s="111">
        <f>I251</f>
        <v>800</v>
      </c>
      <c r="J250" s="114">
        <f t="shared" si="47"/>
        <v>0</v>
      </c>
      <c r="K250" s="111"/>
      <c r="L250" s="114">
        <f t="shared" si="47"/>
        <v>0</v>
      </c>
      <c r="M250" s="111">
        <f t="shared" si="47"/>
        <v>800</v>
      </c>
      <c r="N250" s="111">
        <f t="shared" si="47"/>
        <v>0</v>
      </c>
      <c r="O250" s="111">
        <f t="shared" si="47"/>
        <v>800</v>
      </c>
      <c r="P250" s="97"/>
      <c r="Q250" s="97"/>
    </row>
    <row r="251" spans="1:17" ht="31.5" x14ac:dyDescent="0.2">
      <c r="A251" s="40"/>
      <c r="B251" s="113" t="s">
        <v>40</v>
      </c>
      <c r="C251" s="113" t="s">
        <v>51</v>
      </c>
      <c r="D251" s="133" t="s">
        <v>262</v>
      </c>
      <c r="E251" s="133" t="s">
        <v>300</v>
      </c>
      <c r="F251" s="134" t="s">
        <v>41</v>
      </c>
      <c r="G251" s="111">
        <v>800</v>
      </c>
      <c r="H251" s="106"/>
      <c r="I251" s="111">
        <f>SUM(G251)</f>
        <v>800</v>
      </c>
      <c r="J251" s="115"/>
      <c r="K251" s="106"/>
      <c r="L251" s="115"/>
      <c r="M251" s="111">
        <f>SUM(G251)</f>
        <v>800</v>
      </c>
      <c r="N251" s="111">
        <f>SUM(H251)</f>
        <v>0</v>
      </c>
      <c r="O251" s="111">
        <f>SUM(I251)</f>
        <v>800</v>
      </c>
      <c r="P251" s="97"/>
      <c r="Q251" s="97"/>
    </row>
    <row r="252" spans="1:17" ht="15.75" x14ac:dyDescent="0.2">
      <c r="A252" s="20" t="s">
        <v>301</v>
      </c>
      <c r="B252" s="107" t="s">
        <v>302</v>
      </c>
      <c r="C252" s="107" t="s">
        <v>51</v>
      </c>
      <c r="D252" s="129" t="s">
        <v>303</v>
      </c>
      <c r="E252" s="129" t="s">
        <v>11</v>
      </c>
      <c r="F252" s="134" t="s">
        <v>11</v>
      </c>
      <c r="G252" s="106">
        <f>G253+G267+G303+G364</f>
        <v>235842</v>
      </c>
      <c r="H252" s="106">
        <f>H253+H267+H303+H364</f>
        <v>7105.4</v>
      </c>
      <c r="I252" s="106">
        <f>I253+I267+I303+I364</f>
        <v>242947.4</v>
      </c>
      <c r="J252" s="108">
        <f>J253+J267+J303+J364</f>
        <v>2426119.4000000004</v>
      </c>
      <c r="K252" s="109">
        <f>K253+K267+K303</f>
        <v>7326.8</v>
      </c>
      <c r="L252" s="108">
        <f>L253+L267+L303+L364</f>
        <v>2433446.2000000002</v>
      </c>
      <c r="M252" s="106">
        <f>M253+M267+M303+M364</f>
        <v>2661961.4</v>
      </c>
      <c r="N252" s="106">
        <f>N253+N267+N303+N364</f>
        <v>14432.2</v>
      </c>
      <c r="O252" s="106">
        <f>O253+O267+O303+O364</f>
        <v>2676393.5999999996</v>
      </c>
      <c r="P252" s="97"/>
      <c r="Q252" s="97"/>
    </row>
    <row r="253" spans="1:17" ht="15.75" x14ac:dyDescent="0.2">
      <c r="A253" s="33" t="s">
        <v>304</v>
      </c>
      <c r="B253" s="110" t="s">
        <v>305</v>
      </c>
      <c r="C253" s="110" t="s">
        <v>51</v>
      </c>
      <c r="D253" s="131" t="s">
        <v>306</v>
      </c>
      <c r="E253" s="137" t="s">
        <v>231</v>
      </c>
      <c r="F253" s="134" t="s">
        <v>11</v>
      </c>
      <c r="G253" s="109">
        <f>G260+G255</f>
        <v>9442.5</v>
      </c>
      <c r="H253" s="109">
        <f>H260+H255</f>
        <v>-969.1</v>
      </c>
      <c r="I253" s="109">
        <f>I260+I255</f>
        <v>8473.4</v>
      </c>
      <c r="J253" s="112">
        <f>J260</f>
        <v>0</v>
      </c>
      <c r="K253" s="111">
        <f>K260</f>
        <v>0</v>
      </c>
      <c r="L253" s="112">
        <f>L260</f>
        <v>0</v>
      </c>
      <c r="M253" s="109">
        <f>M260+M255</f>
        <v>9442.5</v>
      </c>
      <c r="N253" s="109">
        <f>N260+N255</f>
        <v>-969.1</v>
      </c>
      <c r="O253" s="109">
        <f>O260+O255</f>
        <v>8473.4</v>
      </c>
      <c r="P253" s="97"/>
      <c r="Q253" s="97"/>
    </row>
    <row r="254" spans="1:17" ht="31.5" x14ac:dyDescent="0.2">
      <c r="A254" s="33"/>
      <c r="B254" s="113" t="s">
        <v>185</v>
      </c>
      <c r="C254" s="118">
        <v>992</v>
      </c>
      <c r="D254" s="136" t="s">
        <v>306</v>
      </c>
      <c r="E254" s="136" t="s">
        <v>271</v>
      </c>
      <c r="F254" s="134"/>
      <c r="G254" s="111">
        <f>G255</f>
        <v>1070</v>
      </c>
      <c r="H254" s="111">
        <f>H255</f>
        <v>-618.70000000000005</v>
      </c>
      <c r="I254" s="111">
        <f>I255</f>
        <v>451.29999999999995</v>
      </c>
      <c r="J254" s="112"/>
      <c r="K254" s="111"/>
      <c r="L254" s="112"/>
      <c r="M254" s="111">
        <f>M255</f>
        <v>1070</v>
      </c>
      <c r="N254" s="111">
        <f>N255</f>
        <v>-618.70000000000005</v>
      </c>
      <c r="O254" s="111">
        <f>O255</f>
        <v>451.29999999999995</v>
      </c>
      <c r="P254" s="97"/>
      <c r="Q254" s="97"/>
    </row>
    <row r="255" spans="1:17" ht="31.5" x14ac:dyDescent="0.2">
      <c r="A255" s="33"/>
      <c r="B255" s="113" t="s">
        <v>307</v>
      </c>
      <c r="C255" s="113">
        <v>992</v>
      </c>
      <c r="D255" s="133" t="s">
        <v>306</v>
      </c>
      <c r="E255" s="136" t="s">
        <v>308</v>
      </c>
      <c r="F255" s="134"/>
      <c r="G255" s="111">
        <f>SUM(G256)</f>
        <v>1070</v>
      </c>
      <c r="H255" s="111">
        <f>SUM(H256)</f>
        <v>-618.70000000000005</v>
      </c>
      <c r="I255" s="111">
        <f>SUM(G255:H255)</f>
        <v>451.29999999999995</v>
      </c>
      <c r="J255" s="112"/>
      <c r="K255" s="111"/>
      <c r="L255" s="112"/>
      <c r="M255" s="111">
        <f t="shared" ref="M255:O258" si="48">SUM(G255)</f>
        <v>1070</v>
      </c>
      <c r="N255" s="111">
        <f t="shared" si="48"/>
        <v>-618.70000000000005</v>
      </c>
      <c r="O255" s="111">
        <f t="shared" si="48"/>
        <v>451.29999999999995</v>
      </c>
      <c r="P255" s="97"/>
      <c r="Q255" s="97"/>
    </row>
    <row r="256" spans="1:17" ht="31.5" x14ac:dyDescent="0.2">
      <c r="A256" s="33"/>
      <c r="B256" s="135" t="s">
        <v>309</v>
      </c>
      <c r="C256" s="113">
        <v>992</v>
      </c>
      <c r="D256" s="133" t="s">
        <v>306</v>
      </c>
      <c r="E256" s="136" t="s">
        <v>310</v>
      </c>
      <c r="F256" s="134"/>
      <c r="G256" s="111">
        <f>SUM(G258)+G257</f>
        <v>1070</v>
      </c>
      <c r="H256" s="111">
        <f>SUM(H258)+H257</f>
        <v>-618.70000000000005</v>
      </c>
      <c r="I256" s="111">
        <f>SUM(G256:H256)</f>
        <v>451.29999999999995</v>
      </c>
      <c r="J256" s="112"/>
      <c r="K256" s="111"/>
      <c r="L256" s="112"/>
      <c r="M256" s="111">
        <f>SUM(G256)</f>
        <v>1070</v>
      </c>
      <c r="N256" s="111">
        <f t="shared" si="48"/>
        <v>-618.70000000000005</v>
      </c>
      <c r="O256" s="111">
        <f>SUM(I256)</f>
        <v>451.29999999999995</v>
      </c>
      <c r="P256" s="97"/>
      <c r="Q256" s="97"/>
    </row>
    <row r="257" spans="1:17" ht="31.5" x14ac:dyDescent="0.2">
      <c r="A257" s="33"/>
      <c r="B257" s="113" t="s">
        <v>40</v>
      </c>
      <c r="C257" s="113">
        <v>992</v>
      </c>
      <c r="D257" s="133" t="s">
        <v>306</v>
      </c>
      <c r="E257" s="136" t="s">
        <v>310</v>
      </c>
      <c r="F257" s="134">
        <v>200</v>
      </c>
      <c r="G257" s="111">
        <v>151.30000000000001</v>
      </c>
      <c r="H257" s="111"/>
      <c r="I257" s="111">
        <f>SUM(G257)+H257</f>
        <v>151.30000000000001</v>
      </c>
      <c r="J257" s="112"/>
      <c r="K257" s="111"/>
      <c r="L257" s="112"/>
      <c r="M257" s="111">
        <f>SUM(G257)</f>
        <v>151.30000000000001</v>
      </c>
      <c r="N257" s="111">
        <f>SUM(H257)</f>
        <v>0</v>
      </c>
      <c r="O257" s="111">
        <f t="shared" si="48"/>
        <v>151.30000000000001</v>
      </c>
      <c r="P257" s="97"/>
      <c r="Q257" s="97"/>
    </row>
    <row r="258" spans="1:17" ht="30" customHeight="1" x14ac:dyDescent="0.2">
      <c r="A258" s="33"/>
      <c r="B258" s="113" t="s">
        <v>225</v>
      </c>
      <c r="C258" s="113">
        <v>992</v>
      </c>
      <c r="D258" s="133" t="s">
        <v>306</v>
      </c>
      <c r="E258" s="136" t="s">
        <v>308</v>
      </c>
      <c r="F258" s="134">
        <v>400</v>
      </c>
      <c r="G258" s="111">
        <v>918.7</v>
      </c>
      <c r="H258" s="111">
        <v>-618.70000000000005</v>
      </c>
      <c r="I258" s="111">
        <f>SUM(G258)+H258</f>
        <v>300</v>
      </c>
      <c r="J258" s="112"/>
      <c r="K258" s="111"/>
      <c r="L258" s="112"/>
      <c r="M258" s="111">
        <f>SUM(G258)</f>
        <v>918.7</v>
      </c>
      <c r="N258" s="111">
        <f t="shared" si="48"/>
        <v>-618.70000000000005</v>
      </c>
      <c r="O258" s="111">
        <f t="shared" si="48"/>
        <v>300</v>
      </c>
      <c r="P258" s="97"/>
      <c r="Q258" s="97"/>
    </row>
    <row r="259" spans="1:17" ht="15.75" hidden="1" x14ac:dyDescent="0.2">
      <c r="A259" s="33"/>
      <c r="B259" s="110"/>
      <c r="C259" s="110"/>
      <c r="D259" s="131"/>
      <c r="E259" s="131"/>
      <c r="F259" s="132"/>
      <c r="G259" s="111"/>
      <c r="H259" s="111"/>
      <c r="I259" s="111"/>
      <c r="J259" s="112"/>
      <c r="K259" s="111"/>
      <c r="L259" s="112"/>
      <c r="M259" s="109"/>
      <c r="N259" s="109"/>
      <c r="O259" s="109"/>
      <c r="P259" s="97"/>
      <c r="Q259" s="97"/>
    </row>
    <row r="260" spans="1:17" ht="31.5" x14ac:dyDescent="0.2">
      <c r="A260" s="40"/>
      <c r="B260" s="113" t="s">
        <v>245</v>
      </c>
      <c r="C260" s="113" t="s">
        <v>51</v>
      </c>
      <c r="D260" s="133" t="s">
        <v>306</v>
      </c>
      <c r="E260" s="133" t="s">
        <v>246</v>
      </c>
      <c r="F260" s="134" t="s">
        <v>11</v>
      </c>
      <c r="G260" s="111">
        <f t="shared" ref="G260:O261" si="49">G261</f>
        <v>8372.5</v>
      </c>
      <c r="H260" s="111">
        <f t="shared" si="49"/>
        <v>-350.4</v>
      </c>
      <c r="I260" s="111">
        <f t="shared" si="49"/>
        <v>8022.1</v>
      </c>
      <c r="J260" s="114">
        <f t="shared" si="49"/>
        <v>0</v>
      </c>
      <c r="K260" s="111">
        <f>K261</f>
        <v>0</v>
      </c>
      <c r="L260" s="114">
        <f t="shared" si="49"/>
        <v>0</v>
      </c>
      <c r="M260" s="111">
        <f t="shared" si="49"/>
        <v>8372.5</v>
      </c>
      <c r="N260" s="111">
        <f t="shared" si="49"/>
        <v>-350.4</v>
      </c>
      <c r="O260" s="111">
        <f t="shared" si="49"/>
        <v>8022.1</v>
      </c>
      <c r="P260" s="97"/>
      <c r="Q260" s="97"/>
    </row>
    <row r="261" spans="1:17" ht="31.5" x14ac:dyDescent="0.2">
      <c r="A261" s="40"/>
      <c r="B261" s="113" t="s">
        <v>311</v>
      </c>
      <c r="C261" s="113" t="s">
        <v>51</v>
      </c>
      <c r="D261" s="133" t="s">
        <v>306</v>
      </c>
      <c r="E261" s="133" t="s">
        <v>312</v>
      </c>
      <c r="F261" s="134" t="s">
        <v>11</v>
      </c>
      <c r="G261" s="111">
        <f>G262</f>
        <v>8372.5</v>
      </c>
      <c r="H261" s="111">
        <f>H262+H264</f>
        <v>-350.4</v>
      </c>
      <c r="I261" s="111">
        <f>I262</f>
        <v>8022.1</v>
      </c>
      <c r="J261" s="114">
        <f t="shared" si="49"/>
        <v>0</v>
      </c>
      <c r="K261" s="111">
        <f>K262+K264</f>
        <v>0</v>
      </c>
      <c r="L261" s="114">
        <f t="shared" si="49"/>
        <v>0</v>
      </c>
      <c r="M261" s="111">
        <f t="shared" si="49"/>
        <v>8372.5</v>
      </c>
      <c r="N261" s="111">
        <f t="shared" si="49"/>
        <v>-350.4</v>
      </c>
      <c r="O261" s="111">
        <f t="shared" si="49"/>
        <v>8022.1</v>
      </c>
      <c r="P261" s="97"/>
      <c r="Q261" s="97"/>
    </row>
    <row r="262" spans="1:17" ht="31.5" x14ac:dyDescent="0.2">
      <c r="A262" s="40"/>
      <c r="B262" s="113" t="s">
        <v>313</v>
      </c>
      <c r="C262" s="113" t="s">
        <v>51</v>
      </c>
      <c r="D262" s="133" t="s">
        <v>306</v>
      </c>
      <c r="E262" s="133" t="s">
        <v>314</v>
      </c>
      <c r="F262" s="134" t="s">
        <v>11</v>
      </c>
      <c r="G262" s="111">
        <f>G263+G265</f>
        <v>8372.5</v>
      </c>
      <c r="H262" s="111">
        <f>H263+H265</f>
        <v>-350.4</v>
      </c>
      <c r="I262" s="111">
        <f>I263+I265</f>
        <v>8022.1</v>
      </c>
      <c r="J262" s="114">
        <f>J263+J265</f>
        <v>0</v>
      </c>
      <c r="K262" s="111">
        <f>K263</f>
        <v>0</v>
      </c>
      <c r="L262" s="114">
        <f>L263+L265</f>
        <v>0</v>
      </c>
      <c r="M262" s="111">
        <f>M263+M265</f>
        <v>8372.5</v>
      </c>
      <c r="N262" s="111">
        <f>N263+N265</f>
        <v>-350.4</v>
      </c>
      <c r="O262" s="111">
        <f>O263+O265</f>
        <v>8022.1</v>
      </c>
      <c r="P262" s="97"/>
      <c r="Q262" s="97"/>
    </row>
    <row r="263" spans="1:17" ht="47.25" x14ac:dyDescent="0.2">
      <c r="A263" s="40"/>
      <c r="B263" s="113" t="s">
        <v>315</v>
      </c>
      <c r="C263" s="113" t="s">
        <v>51</v>
      </c>
      <c r="D263" s="133" t="s">
        <v>306</v>
      </c>
      <c r="E263" s="133" t="s">
        <v>316</v>
      </c>
      <c r="F263" s="134" t="s">
        <v>11</v>
      </c>
      <c r="G263" s="111">
        <f>G264</f>
        <v>2400</v>
      </c>
      <c r="H263" s="111"/>
      <c r="I263" s="111">
        <f>I264</f>
        <v>2400</v>
      </c>
      <c r="J263" s="114">
        <f>J264</f>
        <v>0</v>
      </c>
      <c r="K263" s="111"/>
      <c r="L263" s="114">
        <f>L264</f>
        <v>0</v>
      </c>
      <c r="M263" s="111">
        <f>M264</f>
        <v>2400</v>
      </c>
      <c r="N263" s="111">
        <f>N264</f>
        <v>0</v>
      </c>
      <c r="O263" s="111">
        <f>O264</f>
        <v>2400</v>
      </c>
      <c r="P263" s="97"/>
      <c r="Q263" s="97"/>
    </row>
    <row r="264" spans="1:17" ht="31.5" x14ac:dyDescent="0.2">
      <c r="A264" s="40"/>
      <c r="B264" s="113" t="s">
        <v>40</v>
      </c>
      <c r="C264" s="113" t="s">
        <v>51</v>
      </c>
      <c r="D264" s="133" t="s">
        <v>306</v>
      </c>
      <c r="E264" s="133" t="s">
        <v>316</v>
      </c>
      <c r="F264" s="134" t="s">
        <v>41</v>
      </c>
      <c r="G264" s="111">
        <v>2400</v>
      </c>
      <c r="H264" s="111"/>
      <c r="I264" s="111">
        <v>2400</v>
      </c>
      <c r="J264" s="115"/>
      <c r="K264" s="111"/>
      <c r="L264" s="115"/>
      <c r="M264" s="111">
        <v>2400</v>
      </c>
      <c r="N264" s="111"/>
      <c r="O264" s="111">
        <v>2400</v>
      </c>
      <c r="P264" s="97"/>
      <c r="Q264" s="97"/>
    </row>
    <row r="265" spans="1:17" ht="47.25" x14ac:dyDescent="0.2">
      <c r="A265" s="40"/>
      <c r="B265" s="113" t="s">
        <v>317</v>
      </c>
      <c r="C265" s="113" t="s">
        <v>51</v>
      </c>
      <c r="D265" s="133" t="s">
        <v>306</v>
      </c>
      <c r="E265" s="133" t="s">
        <v>318</v>
      </c>
      <c r="F265" s="134" t="s">
        <v>11</v>
      </c>
      <c r="G265" s="111">
        <f>G266</f>
        <v>5972.5</v>
      </c>
      <c r="H265" s="111">
        <f>H266</f>
        <v>-350.4</v>
      </c>
      <c r="I265" s="111">
        <f>I266</f>
        <v>5622.1</v>
      </c>
      <c r="J265" s="114">
        <f>J266</f>
        <v>0</v>
      </c>
      <c r="K265" s="111"/>
      <c r="L265" s="114">
        <f>L266</f>
        <v>0</v>
      </c>
      <c r="M265" s="111">
        <f>M266</f>
        <v>5972.5</v>
      </c>
      <c r="N265" s="111">
        <f>N266</f>
        <v>-350.4</v>
      </c>
      <c r="O265" s="111">
        <f>O266</f>
        <v>5622.1</v>
      </c>
      <c r="P265" s="97"/>
      <c r="Q265" s="97"/>
    </row>
    <row r="266" spans="1:17" ht="31.5" x14ac:dyDescent="0.2">
      <c r="A266" s="40"/>
      <c r="B266" s="113" t="s">
        <v>40</v>
      </c>
      <c r="C266" s="113" t="s">
        <v>51</v>
      </c>
      <c r="D266" s="133" t="s">
        <v>306</v>
      </c>
      <c r="E266" s="133" t="s">
        <v>318</v>
      </c>
      <c r="F266" s="134" t="s">
        <v>41</v>
      </c>
      <c r="G266" s="111">
        <v>5972.5</v>
      </c>
      <c r="H266" s="117">
        <f>399.5-749.9</f>
        <v>-350.4</v>
      </c>
      <c r="I266" s="111">
        <f>SUM(G266)+H266</f>
        <v>5622.1</v>
      </c>
      <c r="J266" s="115"/>
      <c r="K266" s="109"/>
      <c r="L266" s="115"/>
      <c r="M266" s="111">
        <f>SUM(G266)</f>
        <v>5972.5</v>
      </c>
      <c r="N266" s="111">
        <f>SUM(H266)</f>
        <v>-350.4</v>
      </c>
      <c r="O266" s="111">
        <f>SUM(M266)+N266</f>
        <v>5622.1</v>
      </c>
      <c r="P266" s="97"/>
      <c r="Q266" s="97"/>
    </row>
    <row r="267" spans="1:17" ht="15.75" x14ac:dyDescent="0.2">
      <c r="A267" s="33" t="s">
        <v>319</v>
      </c>
      <c r="B267" s="110" t="s">
        <v>320</v>
      </c>
      <c r="C267" s="110" t="s">
        <v>51</v>
      </c>
      <c r="D267" s="131" t="s">
        <v>321</v>
      </c>
      <c r="E267" s="131" t="s">
        <v>11</v>
      </c>
      <c r="F267" s="132" t="s">
        <v>11</v>
      </c>
      <c r="G267" s="109">
        <f t="shared" ref="G267:O267" si="50">G268+G285</f>
        <v>63045.100000000006</v>
      </c>
      <c r="H267" s="111">
        <f t="shared" si="50"/>
        <v>9240.4</v>
      </c>
      <c r="I267" s="109">
        <f t="shared" si="50"/>
        <v>72285.5</v>
      </c>
      <c r="J267" s="112">
        <f t="shared" si="50"/>
        <v>2420884.4000000004</v>
      </c>
      <c r="K267" s="111">
        <f t="shared" si="50"/>
        <v>0</v>
      </c>
      <c r="L267" s="112">
        <f t="shared" si="50"/>
        <v>2420884.4000000004</v>
      </c>
      <c r="M267" s="109">
        <f t="shared" si="50"/>
        <v>2483929.5</v>
      </c>
      <c r="N267" s="111">
        <f t="shared" si="50"/>
        <v>9240.4</v>
      </c>
      <c r="O267" s="109">
        <f t="shared" si="50"/>
        <v>2493169.9</v>
      </c>
      <c r="P267" s="97"/>
      <c r="Q267" s="97"/>
    </row>
    <row r="268" spans="1:17" ht="31.5" x14ac:dyDescent="0.2">
      <c r="A268" s="40"/>
      <c r="B268" s="113" t="s">
        <v>245</v>
      </c>
      <c r="C268" s="113" t="s">
        <v>51</v>
      </c>
      <c r="D268" s="133" t="s">
        <v>321</v>
      </c>
      <c r="E268" s="133" t="s">
        <v>246</v>
      </c>
      <c r="F268" s="134" t="s">
        <v>11</v>
      </c>
      <c r="G268" s="111">
        <f>G269+G282</f>
        <v>26299.800000000003</v>
      </c>
      <c r="H268" s="111">
        <f>H269+H282</f>
        <v>-3590.1</v>
      </c>
      <c r="I268" s="111">
        <f>I269+I282</f>
        <v>22709.7</v>
      </c>
      <c r="J268" s="114">
        <f t="shared" ref="G268:O269" si="51">J269</f>
        <v>2301493.8000000003</v>
      </c>
      <c r="K268" s="111">
        <f t="shared" si="51"/>
        <v>0</v>
      </c>
      <c r="L268" s="114">
        <f t="shared" si="51"/>
        <v>2301493.8000000003</v>
      </c>
      <c r="M268" s="111">
        <f>M269+M282</f>
        <v>2327793.6</v>
      </c>
      <c r="N268" s="111">
        <f>SUM(N282)+N269</f>
        <v>-3590.1</v>
      </c>
      <c r="O268" s="111">
        <f>O269+O282</f>
        <v>2324203.5</v>
      </c>
      <c r="P268" s="97"/>
      <c r="Q268" s="97"/>
    </row>
    <row r="269" spans="1:17" ht="31.5" x14ac:dyDescent="0.2">
      <c r="A269" s="40"/>
      <c r="B269" s="113" t="s">
        <v>322</v>
      </c>
      <c r="C269" s="113" t="s">
        <v>51</v>
      </c>
      <c r="D269" s="133" t="s">
        <v>321</v>
      </c>
      <c r="E269" s="133" t="s">
        <v>323</v>
      </c>
      <c r="F269" s="134" t="s">
        <v>11</v>
      </c>
      <c r="G269" s="111">
        <f t="shared" si="51"/>
        <v>14792.900000000001</v>
      </c>
      <c r="H269" s="111">
        <f>SUM(H270)</f>
        <v>0</v>
      </c>
      <c r="I269" s="111">
        <f t="shared" si="51"/>
        <v>14792.900000000001</v>
      </c>
      <c r="J269" s="114">
        <f t="shared" si="51"/>
        <v>2301493.8000000003</v>
      </c>
      <c r="K269" s="111">
        <f>SUM(K270)</f>
        <v>0</v>
      </c>
      <c r="L269" s="114">
        <f t="shared" si="51"/>
        <v>2301493.8000000003</v>
      </c>
      <c r="M269" s="111">
        <f t="shared" si="51"/>
        <v>2316286.7000000002</v>
      </c>
      <c r="N269" s="111">
        <f t="shared" si="51"/>
        <v>0</v>
      </c>
      <c r="O269" s="111">
        <f t="shared" si="51"/>
        <v>2316286.7000000002</v>
      </c>
      <c r="P269" s="97"/>
      <c r="Q269" s="97"/>
    </row>
    <row r="270" spans="1:17" ht="47.25" x14ac:dyDescent="0.2">
      <c r="A270" s="40"/>
      <c r="B270" s="113" t="s">
        <v>324</v>
      </c>
      <c r="C270" s="113" t="s">
        <v>51</v>
      </c>
      <c r="D270" s="133" t="s">
        <v>321</v>
      </c>
      <c r="E270" s="133" t="s">
        <v>325</v>
      </c>
      <c r="F270" s="134" t="s">
        <v>11</v>
      </c>
      <c r="G270" s="111">
        <f>G271+G274+G276+G278</f>
        <v>14792.900000000001</v>
      </c>
      <c r="H270" s="111">
        <f>H271+H276</f>
        <v>0</v>
      </c>
      <c r="I270" s="111">
        <f>I271+I274+I276+I278</f>
        <v>14792.900000000001</v>
      </c>
      <c r="J270" s="114">
        <f>J271+J274+J276+J278</f>
        <v>2301493.8000000003</v>
      </c>
      <c r="K270" s="111">
        <f>K271+K274+K278</f>
        <v>0</v>
      </c>
      <c r="L270" s="114">
        <f>L271+L274+L276+L278</f>
        <v>2301493.8000000003</v>
      </c>
      <c r="M270" s="111">
        <f>M271+M274+M276+M278</f>
        <v>2316286.7000000002</v>
      </c>
      <c r="N270" s="111">
        <f>N271+N274+N276+N278</f>
        <v>0</v>
      </c>
      <c r="O270" s="111">
        <f>O271+O274+O276+O278</f>
        <v>2316286.7000000002</v>
      </c>
      <c r="P270" s="97"/>
      <c r="Q270" s="97"/>
    </row>
    <row r="271" spans="1:17" ht="15.75" x14ac:dyDescent="0.2">
      <c r="A271" s="40"/>
      <c r="B271" s="113" t="s">
        <v>326</v>
      </c>
      <c r="C271" s="113" t="s">
        <v>51</v>
      </c>
      <c r="D271" s="133" t="s">
        <v>321</v>
      </c>
      <c r="E271" s="133" t="s">
        <v>327</v>
      </c>
      <c r="F271" s="134" t="s">
        <v>11</v>
      </c>
      <c r="G271" s="111">
        <f>G272+G273</f>
        <v>2286.1</v>
      </c>
      <c r="H271" s="111">
        <f>SUM(H272)+H273</f>
        <v>0</v>
      </c>
      <c r="I271" s="111">
        <f>I272+I273</f>
        <v>2286.1</v>
      </c>
      <c r="J271" s="114">
        <f>J272</f>
        <v>1529.5</v>
      </c>
      <c r="K271" s="111">
        <f>SUM(K272)</f>
        <v>0</v>
      </c>
      <c r="L271" s="114">
        <f>L272</f>
        <v>1529.5</v>
      </c>
      <c r="M271" s="111">
        <f>M272+M273</f>
        <v>3815.6</v>
      </c>
      <c r="N271" s="111">
        <f>N272+N273</f>
        <v>0</v>
      </c>
      <c r="O271" s="111">
        <f>O272+O273</f>
        <v>3815.6</v>
      </c>
      <c r="P271" s="97"/>
      <c r="Q271" s="97"/>
    </row>
    <row r="272" spans="1:17" ht="31.5" x14ac:dyDescent="0.2">
      <c r="A272" s="40"/>
      <c r="B272" s="113" t="s">
        <v>40</v>
      </c>
      <c r="C272" s="113" t="s">
        <v>51</v>
      </c>
      <c r="D272" s="133" t="s">
        <v>321</v>
      </c>
      <c r="E272" s="133" t="s">
        <v>327</v>
      </c>
      <c r="F272" s="134" t="s">
        <v>41</v>
      </c>
      <c r="G272" s="111">
        <v>0</v>
      </c>
      <c r="H272" s="111"/>
      <c r="I272" s="111"/>
      <c r="J272" s="115">
        <v>1529.5</v>
      </c>
      <c r="K272" s="111"/>
      <c r="L272" s="111">
        <f>SUM(J272)</f>
        <v>1529.5</v>
      </c>
      <c r="M272" s="111">
        <f>SUM(J272)</f>
        <v>1529.5</v>
      </c>
      <c r="N272" s="111">
        <f>SUM(H272+K272)</f>
        <v>0</v>
      </c>
      <c r="O272" s="111">
        <f>SUM(L272)</f>
        <v>1529.5</v>
      </c>
      <c r="P272" s="97"/>
      <c r="Q272" s="97"/>
    </row>
    <row r="273" spans="1:17" ht="31.5" x14ac:dyDescent="0.2">
      <c r="A273" s="40"/>
      <c r="B273" s="113" t="s">
        <v>225</v>
      </c>
      <c r="C273" s="113">
        <v>992</v>
      </c>
      <c r="D273" s="133" t="s">
        <v>321</v>
      </c>
      <c r="E273" s="133" t="s">
        <v>327</v>
      </c>
      <c r="F273" s="134">
        <v>400</v>
      </c>
      <c r="G273" s="111">
        <v>2286.1</v>
      </c>
      <c r="H273" s="111"/>
      <c r="I273" s="111">
        <f>SUM(G273)+H273</f>
        <v>2286.1</v>
      </c>
      <c r="J273" s="115"/>
      <c r="K273" s="111"/>
      <c r="L273" s="119"/>
      <c r="M273" s="111">
        <f>SUM(G273)</f>
        <v>2286.1</v>
      </c>
      <c r="N273" s="111">
        <f>SUM(H273)</f>
        <v>0</v>
      </c>
      <c r="O273" s="111">
        <f>SUM(M273)+N273</f>
        <v>2286.1</v>
      </c>
      <c r="P273" s="97"/>
      <c r="Q273" s="97"/>
    </row>
    <row r="274" spans="1:17" ht="31.5" x14ac:dyDescent="0.2">
      <c r="A274" s="40"/>
      <c r="B274" s="113" t="s">
        <v>328</v>
      </c>
      <c r="C274" s="113" t="s">
        <v>51</v>
      </c>
      <c r="D274" s="133" t="s">
        <v>321</v>
      </c>
      <c r="E274" s="133" t="s">
        <v>329</v>
      </c>
      <c r="F274" s="134" t="s">
        <v>11</v>
      </c>
      <c r="G274" s="111">
        <f>G275</f>
        <v>11457.5</v>
      </c>
      <c r="H274" s="111"/>
      <c r="I274" s="111">
        <f>I275</f>
        <v>11457.5</v>
      </c>
      <c r="J274" s="114">
        <f>J275</f>
        <v>2280029.1</v>
      </c>
      <c r="K274" s="111"/>
      <c r="L274" s="114">
        <f>L275</f>
        <v>2280029.1</v>
      </c>
      <c r="M274" s="111">
        <f>M275</f>
        <v>2291486.6</v>
      </c>
      <c r="N274" s="111">
        <f>N275</f>
        <v>0</v>
      </c>
      <c r="O274" s="111">
        <f>O275</f>
        <v>2291486.6</v>
      </c>
      <c r="P274" s="97"/>
      <c r="Q274" s="97"/>
    </row>
    <row r="275" spans="1:17" ht="31.5" x14ac:dyDescent="0.2">
      <c r="A275" s="40"/>
      <c r="B275" s="113" t="s">
        <v>225</v>
      </c>
      <c r="C275" s="113" t="s">
        <v>51</v>
      </c>
      <c r="D275" s="133" t="s">
        <v>321</v>
      </c>
      <c r="E275" s="133" t="s">
        <v>329</v>
      </c>
      <c r="F275" s="134" t="s">
        <v>226</v>
      </c>
      <c r="G275" s="111">
        <v>11457.5</v>
      </c>
      <c r="H275" s="111"/>
      <c r="I275" s="111">
        <v>11457.5</v>
      </c>
      <c r="J275" s="115">
        <v>2280029.1</v>
      </c>
      <c r="K275" s="111"/>
      <c r="L275" s="115">
        <f>2280029.1+K275</f>
        <v>2280029.1</v>
      </c>
      <c r="M275" s="111">
        <f>11457.5+J275</f>
        <v>2291486.6</v>
      </c>
      <c r="N275" s="111">
        <f>SUM(K275)</f>
        <v>0</v>
      </c>
      <c r="O275" s="111">
        <f>11457.5+L275</f>
        <v>2291486.6</v>
      </c>
      <c r="P275" s="97"/>
      <c r="Q275" s="97"/>
    </row>
    <row r="276" spans="1:17" ht="15.75" x14ac:dyDescent="0.2">
      <c r="A276" s="40"/>
      <c r="B276" s="113" t="s">
        <v>330</v>
      </c>
      <c r="C276" s="113" t="s">
        <v>51</v>
      </c>
      <c r="D276" s="133" t="s">
        <v>321</v>
      </c>
      <c r="E276" s="133" t="s">
        <v>331</v>
      </c>
      <c r="F276" s="134" t="s">
        <v>11</v>
      </c>
      <c r="G276" s="111">
        <f>G277</f>
        <v>386.1</v>
      </c>
      <c r="H276" s="111">
        <f>SUM(H277)</f>
        <v>0</v>
      </c>
      <c r="I276" s="111">
        <f>I277</f>
        <v>386.1</v>
      </c>
      <c r="J276" s="114">
        <f>J277</f>
        <v>7335.5</v>
      </c>
      <c r="K276" s="111">
        <v>0</v>
      </c>
      <c r="L276" s="114">
        <f>L277</f>
        <v>7335.5</v>
      </c>
      <c r="M276" s="111">
        <f>M277</f>
        <v>7721.6</v>
      </c>
      <c r="N276" s="111">
        <f>N277</f>
        <v>0</v>
      </c>
      <c r="O276" s="111">
        <f>O277</f>
        <v>7721.6</v>
      </c>
      <c r="P276" s="97"/>
      <c r="Q276" s="97"/>
    </row>
    <row r="277" spans="1:17" ht="31.5" x14ac:dyDescent="0.2">
      <c r="A277" s="40"/>
      <c r="B277" s="113" t="s">
        <v>225</v>
      </c>
      <c r="C277" s="113" t="s">
        <v>51</v>
      </c>
      <c r="D277" s="133" t="s">
        <v>321</v>
      </c>
      <c r="E277" s="133" t="s">
        <v>331</v>
      </c>
      <c r="F277" s="134" t="s">
        <v>226</v>
      </c>
      <c r="G277" s="111">
        <v>386.1</v>
      </c>
      <c r="H277" s="111"/>
      <c r="I277" s="111">
        <f>SUM(G277)</f>
        <v>386.1</v>
      </c>
      <c r="J277" s="115">
        <f>14200-6864.5</f>
        <v>7335.5</v>
      </c>
      <c r="K277" s="111"/>
      <c r="L277" s="115">
        <f>14200-6864.5</f>
        <v>7335.5</v>
      </c>
      <c r="M277" s="111">
        <f>SUM(J277)+G277</f>
        <v>7721.6</v>
      </c>
      <c r="N277" s="111">
        <f>SUM(H277)</f>
        <v>0</v>
      </c>
      <c r="O277" s="111">
        <f>SUM(L277)+N277+I277</f>
        <v>7721.6</v>
      </c>
      <c r="P277" s="97"/>
      <c r="Q277" s="97"/>
    </row>
    <row r="278" spans="1:17" ht="15.75" x14ac:dyDescent="0.2">
      <c r="A278" s="40"/>
      <c r="B278" s="113" t="s">
        <v>332</v>
      </c>
      <c r="C278" s="113" t="s">
        <v>51</v>
      </c>
      <c r="D278" s="133" t="s">
        <v>321</v>
      </c>
      <c r="E278" s="133" t="s">
        <v>333</v>
      </c>
      <c r="F278" s="134" t="s">
        <v>11</v>
      </c>
      <c r="G278" s="111">
        <f>G279</f>
        <v>663.2</v>
      </c>
      <c r="H278" s="111"/>
      <c r="I278" s="111">
        <f>I279</f>
        <v>663.2</v>
      </c>
      <c r="J278" s="114">
        <f>J279</f>
        <v>12599.699999999999</v>
      </c>
      <c r="K278" s="111"/>
      <c r="L278" s="114">
        <f>L279</f>
        <v>12599.699999999999</v>
      </c>
      <c r="M278" s="111">
        <f>M279</f>
        <v>13262.9</v>
      </c>
      <c r="N278" s="111">
        <f>N279</f>
        <v>0</v>
      </c>
      <c r="O278" s="111">
        <f>O279</f>
        <v>13262.9</v>
      </c>
      <c r="P278" s="97"/>
      <c r="Q278" s="97"/>
    </row>
    <row r="279" spans="1:17" ht="31.5" x14ac:dyDescent="0.2">
      <c r="A279" s="40"/>
      <c r="B279" s="113" t="s">
        <v>225</v>
      </c>
      <c r="C279" s="113" t="s">
        <v>51</v>
      </c>
      <c r="D279" s="133" t="s">
        <v>321</v>
      </c>
      <c r="E279" s="133" t="s">
        <v>333</v>
      </c>
      <c r="F279" s="134" t="s">
        <v>226</v>
      </c>
      <c r="G279" s="111">
        <v>663.2</v>
      </c>
      <c r="H279" s="111"/>
      <c r="I279" s="111">
        <f>SUM(G279)</f>
        <v>663.2</v>
      </c>
      <c r="J279" s="115">
        <f>11689.4+910.3</f>
        <v>12599.699999999999</v>
      </c>
      <c r="K279" s="111"/>
      <c r="L279" s="115">
        <f>11689.4+910.3+K279</f>
        <v>12599.699999999999</v>
      </c>
      <c r="M279" s="111">
        <f>SUM(G279+J279)</f>
        <v>13262.9</v>
      </c>
      <c r="N279" s="111">
        <f>SUM(K279)</f>
        <v>0</v>
      </c>
      <c r="O279" s="111">
        <f>SUM(I279+L279)</f>
        <v>13262.9</v>
      </c>
      <c r="P279" s="97"/>
      <c r="Q279" s="97"/>
    </row>
    <row r="280" spans="1:17" ht="31.5" x14ac:dyDescent="0.2">
      <c r="A280" s="40"/>
      <c r="B280" s="118" t="s">
        <v>245</v>
      </c>
      <c r="C280" s="118" t="s">
        <v>51</v>
      </c>
      <c r="D280" s="136" t="s">
        <v>321</v>
      </c>
      <c r="E280" s="136" t="s">
        <v>246</v>
      </c>
      <c r="F280" s="141"/>
      <c r="G280" s="114">
        <f>G281</f>
        <v>11506.9</v>
      </c>
      <c r="H280" s="114">
        <f t="shared" ref="H280:O281" si="52">H281</f>
        <v>-3590.1</v>
      </c>
      <c r="I280" s="114">
        <f t="shared" si="52"/>
        <v>7916.7999999999993</v>
      </c>
      <c r="J280" s="114">
        <f t="shared" si="52"/>
        <v>0</v>
      </c>
      <c r="K280" s="114">
        <f t="shared" si="52"/>
        <v>0</v>
      </c>
      <c r="L280" s="114">
        <f t="shared" si="52"/>
        <v>0</v>
      </c>
      <c r="M280" s="114">
        <f t="shared" si="52"/>
        <v>11506.9</v>
      </c>
      <c r="N280" s="114">
        <f t="shared" si="52"/>
        <v>-3590.1</v>
      </c>
      <c r="O280" s="114">
        <f t="shared" si="52"/>
        <v>7916.7999999999993</v>
      </c>
      <c r="P280" s="97"/>
      <c r="Q280" s="97"/>
    </row>
    <row r="281" spans="1:17" ht="15.75" x14ac:dyDescent="0.2">
      <c r="A281" s="40"/>
      <c r="B281" s="118" t="s">
        <v>247</v>
      </c>
      <c r="C281" s="118" t="s">
        <v>51</v>
      </c>
      <c r="D281" s="136" t="s">
        <v>321</v>
      </c>
      <c r="E281" s="136" t="s">
        <v>248</v>
      </c>
      <c r="F281" s="141"/>
      <c r="G281" s="114">
        <f>G282</f>
        <v>11506.9</v>
      </c>
      <c r="H281" s="114">
        <f t="shared" si="52"/>
        <v>-3590.1</v>
      </c>
      <c r="I281" s="114">
        <f t="shared" si="52"/>
        <v>7916.7999999999993</v>
      </c>
      <c r="J281" s="114">
        <f t="shared" si="52"/>
        <v>0</v>
      </c>
      <c r="K281" s="114">
        <f t="shared" si="52"/>
        <v>0</v>
      </c>
      <c r="L281" s="114">
        <f t="shared" si="52"/>
        <v>0</v>
      </c>
      <c r="M281" s="114">
        <f t="shared" si="52"/>
        <v>11506.9</v>
      </c>
      <c r="N281" s="114">
        <f t="shared" si="52"/>
        <v>-3590.1</v>
      </c>
      <c r="O281" s="114">
        <f t="shared" si="52"/>
        <v>7916.7999999999993</v>
      </c>
      <c r="P281" s="97"/>
      <c r="Q281" s="97"/>
    </row>
    <row r="282" spans="1:17" ht="47.25" x14ac:dyDescent="0.2">
      <c r="A282" s="40"/>
      <c r="B282" s="143" t="s">
        <v>334</v>
      </c>
      <c r="C282" s="113">
        <v>992</v>
      </c>
      <c r="D282" s="133" t="s">
        <v>321</v>
      </c>
      <c r="E282" s="136" t="s">
        <v>335</v>
      </c>
      <c r="F282" s="134"/>
      <c r="G282" s="111">
        <f t="shared" ref="G282:I283" si="53">SUM(G283)</f>
        <v>11506.9</v>
      </c>
      <c r="H282" s="111">
        <f t="shared" si="53"/>
        <v>-3590.1</v>
      </c>
      <c r="I282" s="111">
        <f t="shared" si="53"/>
        <v>7916.7999999999993</v>
      </c>
      <c r="J282" s="115"/>
      <c r="K282" s="111"/>
      <c r="L282" s="115"/>
      <c r="M282" s="111">
        <f>SUM(G282)</f>
        <v>11506.9</v>
      </c>
      <c r="N282" s="111">
        <f t="shared" ref="N282:O284" si="54">SUM(H282)</f>
        <v>-3590.1</v>
      </c>
      <c r="O282" s="111">
        <f t="shared" si="54"/>
        <v>7916.7999999999993</v>
      </c>
      <c r="P282" s="97"/>
      <c r="Q282" s="97"/>
    </row>
    <row r="283" spans="1:17" ht="78.75" x14ac:dyDescent="0.2">
      <c r="A283" s="40"/>
      <c r="B283" s="144" t="s">
        <v>336</v>
      </c>
      <c r="C283" s="113">
        <v>992</v>
      </c>
      <c r="D283" s="133" t="s">
        <v>321</v>
      </c>
      <c r="E283" s="136" t="s">
        <v>337</v>
      </c>
      <c r="F283" s="134"/>
      <c r="G283" s="111">
        <f t="shared" si="53"/>
        <v>11506.9</v>
      </c>
      <c r="H283" s="111">
        <f t="shared" si="53"/>
        <v>-3590.1</v>
      </c>
      <c r="I283" s="111">
        <f t="shared" si="53"/>
        <v>7916.7999999999993</v>
      </c>
      <c r="J283" s="115"/>
      <c r="K283" s="111"/>
      <c r="L283" s="115"/>
      <c r="M283" s="111">
        <f>SUM(G283)</f>
        <v>11506.9</v>
      </c>
      <c r="N283" s="111">
        <f t="shared" si="54"/>
        <v>-3590.1</v>
      </c>
      <c r="O283" s="111">
        <f t="shared" si="54"/>
        <v>7916.7999999999993</v>
      </c>
      <c r="P283" s="97"/>
      <c r="Q283" s="97"/>
    </row>
    <row r="284" spans="1:17" ht="15.75" x14ac:dyDescent="0.2">
      <c r="A284" s="40"/>
      <c r="B284" s="113" t="s">
        <v>338</v>
      </c>
      <c r="C284" s="113">
        <v>992</v>
      </c>
      <c r="D284" s="133" t="s">
        <v>321</v>
      </c>
      <c r="E284" s="136" t="s">
        <v>337</v>
      </c>
      <c r="F284" s="134">
        <v>800</v>
      </c>
      <c r="G284" s="111">
        <v>11506.9</v>
      </c>
      <c r="H284" s="111">
        <v>-3590.1</v>
      </c>
      <c r="I284" s="111">
        <f>SUM(G284)+H284</f>
        <v>7916.7999999999993</v>
      </c>
      <c r="J284" s="115"/>
      <c r="K284" s="111"/>
      <c r="L284" s="115"/>
      <c r="M284" s="111">
        <f>SUM(G284)</f>
        <v>11506.9</v>
      </c>
      <c r="N284" s="111">
        <f t="shared" si="54"/>
        <v>-3590.1</v>
      </c>
      <c r="O284" s="111">
        <f t="shared" si="54"/>
        <v>7916.7999999999993</v>
      </c>
      <c r="P284" s="97"/>
      <c r="Q284" s="97"/>
    </row>
    <row r="285" spans="1:17" ht="31.5" x14ac:dyDescent="0.2">
      <c r="A285" s="40"/>
      <c r="B285" s="113" t="s">
        <v>339</v>
      </c>
      <c r="C285" s="113" t="s">
        <v>51</v>
      </c>
      <c r="D285" s="133" t="s">
        <v>321</v>
      </c>
      <c r="E285" s="133" t="s">
        <v>340</v>
      </c>
      <c r="F285" s="134" t="s">
        <v>11</v>
      </c>
      <c r="G285" s="111">
        <f>G286+G298+G295</f>
        <v>36745.300000000003</v>
      </c>
      <c r="H285" s="111">
        <f>H286+H295+H298</f>
        <v>12830.5</v>
      </c>
      <c r="I285" s="111">
        <f>I286+I298+I295</f>
        <v>49575.8</v>
      </c>
      <c r="J285" s="114">
        <f t="shared" ref="G285:O286" si="55">J286</f>
        <v>119390.6</v>
      </c>
      <c r="K285" s="111">
        <f t="shared" si="55"/>
        <v>0</v>
      </c>
      <c r="L285" s="114">
        <f t="shared" si="55"/>
        <v>119390.6</v>
      </c>
      <c r="M285" s="111">
        <f>M286+M298+M295</f>
        <v>156135.90000000002</v>
      </c>
      <c r="N285" s="111">
        <f>N286+N295+N298</f>
        <v>12830.5</v>
      </c>
      <c r="O285" s="111">
        <f>O286+O298+O295</f>
        <v>168966.40000000002</v>
      </c>
      <c r="P285" s="97"/>
      <c r="Q285" s="97"/>
    </row>
    <row r="286" spans="1:17" ht="15.75" x14ac:dyDescent="0.2">
      <c r="A286" s="40"/>
      <c r="B286" s="113" t="s">
        <v>341</v>
      </c>
      <c r="C286" s="113" t="s">
        <v>51</v>
      </c>
      <c r="D286" s="133" t="s">
        <v>321</v>
      </c>
      <c r="E286" s="133" t="s">
        <v>342</v>
      </c>
      <c r="F286" s="134" t="s">
        <v>11</v>
      </c>
      <c r="G286" s="111">
        <f t="shared" si="55"/>
        <v>26419.300000000003</v>
      </c>
      <c r="H286" s="111">
        <f>H287</f>
        <v>3002</v>
      </c>
      <c r="I286" s="111">
        <f t="shared" si="55"/>
        <v>29421.300000000003</v>
      </c>
      <c r="J286" s="114">
        <f t="shared" si="55"/>
        <v>119390.6</v>
      </c>
      <c r="K286" s="111">
        <f>K287+K290</f>
        <v>0</v>
      </c>
      <c r="L286" s="114">
        <f t="shared" si="55"/>
        <v>119390.6</v>
      </c>
      <c r="M286" s="111">
        <f t="shared" si="55"/>
        <v>145809.90000000002</v>
      </c>
      <c r="N286" s="111">
        <f t="shared" si="55"/>
        <v>3002</v>
      </c>
      <c r="O286" s="111">
        <f t="shared" si="55"/>
        <v>148811.90000000002</v>
      </c>
      <c r="P286" s="97"/>
      <c r="Q286" s="97"/>
    </row>
    <row r="287" spans="1:17" ht="47.25" x14ac:dyDescent="0.2">
      <c r="A287" s="40"/>
      <c r="B287" s="113" t="s">
        <v>343</v>
      </c>
      <c r="C287" s="113" t="s">
        <v>51</v>
      </c>
      <c r="D287" s="133" t="s">
        <v>321</v>
      </c>
      <c r="E287" s="133" t="s">
        <v>344</v>
      </c>
      <c r="F287" s="134" t="s">
        <v>11</v>
      </c>
      <c r="G287" s="111">
        <f>G288+G291</f>
        <v>26419.300000000003</v>
      </c>
      <c r="H287" s="111">
        <f>H288+H291</f>
        <v>3002</v>
      </c>
      <c r="I287" s="111">
        <f>I288+I291</f>
        <v>29421.300000000003</v>
      </c>
      <c r="J287" s="114">
        <f>J288+J291</f>
        <v>119390.6</v>
      </c>
      <c r="K287" s="111">
        <f>K288+K291</f>
        <v>0</v>
      </c>
      <c r="L287" s="114">
        <f>L288+L291</f>
        <v>119390.6</v>
      </c>
      <c r="M287" s="111">
        <f>M288+M291</f>
        <v>145809.90000000002</v>
      </c>
      <c r="N287" s="111">
        <f>N288+N291</f>
        <v>3002</v>
      </c>
      <c r="O287" s="111">
        <f>O288+O291</f>
        <v>148811.90000000002</v>
      </c>
      <c r="P287" s="97"/>
      <c r="Q287" s="97"/>
    </row>
    <row r="288" spans="1:17" ht="47.25" x14ac:dyDescent="0.2">
      <c r="A288" s="40"/>
      <c r="B288" s="113" t="s">
        <v>345</v>
      </c>
      <c r="C288" s="113" t="s">
        <v>51</v>
      </c>
      <c r="D288" s="133" t="s">
        <v>321</v>
      </c>
      <c r="E288" s="133" t="s">
        <v>346</v>
      </c>
      <c r="F288" s="134" t="s">
        <v>11</v>
      </c>
      <c r="G288" s="111">
        <f>G289+G290</f>
        <v>6983.6</v>
      </c>
      <c r="H288" s="111">
        <f>SUM(H289+H290)</f>
        <v>3002</v>
      </c>
      <c r="I288" s="111">
        <f>I289+I290</f>
        <v>9985.6</v>
      </c>
      <c r="J288" s="114">
        <f>J289+J290</f>
        <v>0</v>
      </c>
      <c r="K288" s="111"/>
      <c r="L288" s="114">
        <f>L289+L290</f>
        <v>0</v>
      </c>
      <c r="M288" s="111">
        <f>M289+M290</f>
        <v>6983.6</v>
      </c>
      <c r="N288" s="111">
        <f>N289+N290</f>
        <v>3002</v>
      </c>
      <c r="O288" s="111">
        <f>O289+O290</f>
        <v>9985.6</v>
      </c>
      <c r="P288" s="97"/>
      <c r="Q288" s="97"/>
    </row>
    <row r="289" spans="1:17" ht="31.5" x14ac:dyDescent="0.2">
      <c r="A289" s="40"/>
      <c r="B289" s="113" t="s">
        <v>40</v>
      </c>
      <c r="C289" s="113" t="s">
        <v>51</v>
      </c>
      <c r="D289" s="133" t="s">
        <v>321</v>
      </c>
      <c r="E289" s="133" t="s">
        <v>346</v>
      </c>
      <c r="F289" s="134" t="s">
        <v>41</v>
      </c>
      <c r="G289" s="111">
        <v>1738</v>
      </c>
      <c r="H289" s="111">
        <v>1202</v>
      </c>
      <c r="I289" s="111">
        <f>SUM(G289)+H289</f>
        <v>2940</v>
      </c>
      <c r="J289" s="115">
        <v>0</v>
      </c>
      <c r="K289" s="111">
        <f>2803.6+840-1820-983.6-840</f>
        <v>0</v>
      </c>
      <c r="L289" s="115">
        <v>0</v>
      </c>
      <c r="M289" s="111">
        <f>SUM(G289)</f>
        <v>1738</v>
      </c>
      <c r="N289" s="111">
        <f>SUM(H289)</f>
        <v>1202</v>
      </c>
      <c r="O289" s="111">
        <f>SUM(I289)</f>
        <v>2940</v>
      </c>
      <c r="P289" s="97"/>
      <c r="Q289" s="97"/>
    </row>
    <row r="290" spans="1:17" ht="31.5" x14ac:dyDescent="0.2">
      <c r="A290" s="40"/>
      <c r="B290" s="113" t="s">
        <v>225</v>
      </c>
      <c r="C290" s="113" t="s">
        <v>51</v>
      </c>
      <c r="D290" s="133" t="s">
        <v>321</v>
      </c>
      <c r="E290" s="133" t="s">
        <v>346</v>
      </c>
      <c r="F290" s="134" t="s">
        <v>226</v>
      </c>
      <c r="G290" s="111">
        <v>5245.6</v>
      </c>
      <c r="H290" s="111">
        <v>1800</v>
      </c>
      <c r="I290" s="111">
        <f>SUM(G290)+R291+H290</f>
        <v>7045.6</v>
      </c>
      <c r="J290" s="115">
        <v>0</v>
      </c>
      <c r="K290" s="111"/>
      <c r="L290" s="115">
        <v>0</v>
      </c>
      <c r="M290" s="111">
        <f>SUM(G290)</f>
        <v>5245.6</v>
      </c>
      <c r="N290" s="111">
        <f>SUM(H290)</f>
        <v>1800</v>
      </c>
      <c r="O290" s="111">
        <f>SUM(M290)+N290</f>
        <v>7045.6</v>
      </c>
      <c r="P290" s="97"/>
      <c r="Q290" s="97"/>
    </row>
    <row r="291" spans="1:17" ht="15.75" x14ac:dyDescent="0.2">
      <c r="A291" s="40"/>
      <c r="B291" s="113" t="s">
        <v>347</v>
      </c>
      <c r="C291" s="113" t="s">
        <v>51</v>
      </c>
      <c r="D291" s="133" t="s">
        <v>321</v>
      </c>
      <c r="E291" s="133" t="s">
        <v>348</v>
      </c>
      <c r="F291" s="134" t="s">
        <v>11</v>
      </c>
      <c r="G291" s="111">
        <f>G292</f>
        <v>19435.7</v>
      </c>
      <c r="H291" s="111">
        <f>SUM(H292)</f>
        <v>0</v>
      </c>
      <c r="I291" s="111">
        <f>I292</f>
        <v>19435.7</v>
      </c>
      <c r="J291" s="114">
        <f>J292</f>
        <v>119390.6</v>
      </c>
      <c r="K291" s="119"/>
      <c r="L291" s="114">
        <f>L292</f>
        <v>119390.6</v>
      </c>
      <c r="M291" s="111">
        <f>M292</f>
        <v>138826.30000000002</v>
      </c>
      <c r="N291" s="111">
        <f>N292</f>
        <v>0</v>
      </c>
      <c r="O291" s="111">
        <f>O292</f>
        <v>138826.30000000002</v>
      </c>
      <c r="P291" s="97"/>
      <c r="Q291" s="97"/>
    </row>
    <row r="292" spans="1:17" ht="31.5" x14ac:dyDescent="0.2">
      <c r="A292" s="40"/>
      <c r="B292" s="113" t="s">
        <v>225</v>
      </c>
      <c r="C292" s="113" t="s">
        <v>51</v>
      </c>
      <c r="D292" s="133" t="s">
        <v>321</v>
      </c>
      <c r="E292" s="133" t="s">
        <v>348</v>
      </c>
      <c r="F292" s="134" t="s">
        <v>226</v>
      </c>
      <c r="G292" s="111">
        <v>19435.7</v>
      </c>
      <c r="H292" s="111"/>
      <c r="I292" s="111">
        <v>19435.7</v>
      </c>
      <c r="J292" s="115">
        <v>119390.6</v>
      </c>
      <c r="K292" s="119"/>
      <c r="L292" s="115">
        <f>SUM(J292)</f>
        <v>119390.6</v>
      </c>
      <c r="M292" s="111">
        <f>SUM(G292+J292)</f>
        <v>138826.30000000002</v>
      </c>
      <c r="N292" s="111">
        <f>SUM(H292+K292)</f>
        <v>0</v>
      </c>
      <c r="O292" s="111">
        <f>SUM(I292+L292)</f>
        <v>138826.30000000002</v>
      </c>
      <c r="P292" s="97"/>
      <c r="Q292" s="97"/>
    </row>
    <row r="293" spans="1:17" ht="15.75" x14ac:dyDescent="0.2">
      <c r="A293" s="40"/>
      <c r="B293" s="118" t="s">
        <v>580</v>
      </c>
      <c r="C293" s="118" t="s">
        <v>51</v>
      </c>
      <c r="D293" s="136" t="s">
        <v>321</v>
      </c>
      <c r="E293" s="136" t="s">
        <v>579</v>
      </c>
      <c r="F293" s="141"/>
      <c r="G293" s="111">
        <f>G294</f>
        <v>8102</v>
      </c>
      <c r="H293" s="111">
        <f t="shared" ref="H293:O294" si="56">H294</f>
        <v>-8102</v>
      </c>
      <c r="I293" s="120">
        <f t="shared" si="56"/>
        <v>0</v>
      </c>
      <c r="J293" s="114">
        <f t="shared" si="56"/>
        <v>0</v>
      </c>
      <c r="K293" s="114">
        <f t="shared" si="56"/>
        <v>0</v>
      </c>
      <c r="L293" s="119">
        <f t="shared" si="56"/>
        <v>0</v>
      </c>
      <c r="M293" s="111">
        <f t="shared" si="56"/>
        <v>8102</v>
      </c>
      <c r="N293" s="111">
        <f t="shared" si="56"/>
        <v>-8102</v>
      </c>
      <c r="O293" s="111">
        <f t="shared" si="56"/>
        <v>0</v>
      </c>
      <c r="P293" s="97"/>
      <c r="Q293" s="97"/>
    </row>
    <row r="294" spans="1:17" ht="31.5" x14ac:dyDescent="0.2">
      <c r="A294" s="40"/>
      <c r="B294" s="118" t="s">
        <v>581</v>
      </c>
      <c r="C294" s="118" t="s">
        <v>51</v>
      </c>
      <c r="D294" s="136" t="s">
        <v>321</v>
      </c>
      <c r="E294" s="136" t="s">
        <v>578</v>
      </c>
      <c r="F294" s="141"/>
      <c r="G294" s="111">
        <f>G295</f>
        <v>8102</v>
      </c>
      <c r="H294" s="111">
        <f t="shared" si="56"/>
        <v>-8102</v>
      </c>
      <c r="I294" s="120">
        <f t="shared" si="56"/>
        <v>0</v>
      </c>
      <c r="J294" s="114">
        <f t="shared" si="56"/>
        <v>0</v>
      </c>
      <c r="K294" s="114">
        <f t="shared" si="56"/>
        <v>0</v>
      </c>
      <c r="L294" s="119">
        <f t="shared" si="56"/>
        <v>0</v>
      </c>
      <c r="M294" s="111">
        <f t="shared" si="56"/>
        <v>8102</v>
      </c>
      <c r="N294" s="111">
        <f t="shared" si="56"/>
        <v>-8102</v>
      </c>
      <c r="O294" s="111">
        <f t="shared" si="56"/>
        <v>0</v>
      </c>
      <c r="P294" s="97"/>
      <c r="Q294" s="97"/>
    </row>
    <row r="295" spans="1:17" ht="15.75" x14ac:dyDescent="0.2">
      <c r="A295" s="40"/>
      <c r="B295" s="113" t="s">
        <v>349</v>
      </c>
      <c r="C295" s="113">
        <v>992</v>
      </c>
      <c r="D295" s="133" t="s">
        <v>321</v>
      </c>
      <c r="E295" s="133">
        <v>1120121140</v>
      </c>
      <c r="F295" s="134"/>
      <c r="G295" s="111">
        <f>SUM(G297)</f>
        <v>8102</v>
      </c>
      <c r="H295" s="111">
        <f>SUM(H297)</f>
        <v>-8102</v>
      </c>
      <c r="I295" s="111">
        <f>SUM(G295:H295)</f>
        <v>0</v>
      </c>
      <c r="J295" s="115"/>
      <c r="K295" s="111"/>
      <c r="L295" s="115"/>
      <c r="M295" s="111">
        <f>SUM(G295)</f>
        <v>8102</v>
      </c>
      <c r="N295" s="111">
        <f t="shared" ref="N295:O297" si="57">SUM(H295)</f>
        <v>-8102</v>
      </c>
      <c r="O295" s="111">
        <f t="shared" si="57"/>
        <v>0</v>
      </c>
      <c r="P295" s="97"/>
      <c r="Q295" s="97"/>
    </row>
    <row r="296" spans="1:17" ht="25.9" hidden="1" customHeight="1" x14ac:dyDescent="0.2">
      <c r="A296" s="40"/>
      <c r="B296" s="113"/>
      <c r="C296" s="113">
        <v>992</v>
      </c>
      <c r="D296" s="133" t="s">
        <v>321</v>
      </c>
      <c r="E296" s="133">
        <v>1120121140</v>
      </c>
      <c r="F296" s="134">
        <v>400</v>
      </c>
      <c r="G296" s="111"/>
      <c r="H296" s="111">
        <f>SUM(H297)</f>
        <v>-8102</v>
      </c>
      <c r="I296" s="111">
        <f>SUM(H296)</f>
        <v>-8102</v>
      </c>
      <c r="J296" s="115"/>
      <c r="K296" s="111"/>
      <c r="L296" s="115"/>
      <c r="M296" s="111"/>
      <c r="N296" s="111">
        <f t="shared" si="57"/>
        <v>-8102</v>
      </c>
      <c r="O296" s="111">
        <f t="shared" si="57"/>
        <v>-8102</v>
      </c>
      <c r="P296" s="97"/>
      <c r="Q296" s="97"/>
    </row>
    <row r="297" spans="1:17" ht="31.5" x14ac:dyDescent="0.2">
      <c r="A297" s="40"/>
      <c r="B297" s="113" t="s">
        <v>225</v>
      </c>
      <c r="C297" s="113">
        <v>992</v>
      </c>
      <c r="D297" s="133" t="s">
        <v>321</v>
      </c>
      <c r="E297" s="133">
        <v>1120121140</v>
      </c>
      <c r="F297" s="134">
        <v>400</v>
      </c>
      <c r="G297" s="111">
        <v>8102</v>
      </c>
      <c r="H297" s="111">
        <f>-5100-3002</f>
        <v>-8102</v>
      </c>
      <c r="I297" s="111">
        <f>SUM(G297:H297)</f>
        <v>0</v>
      </c>
      <c r="J297" s="115"/>
      <c r="K297" s="111"/>
      <c r="L297" s="115"/>
      <c r="M297" s="111">
        <f>SUM(G297)</f>
        <v>8102</v>
      </c>
      <c r="N297" s="111">
        <f t="shared" si="57"/>
        <v>-8102</v>
      </c>
      <c r="O297" s="111">
        <f t="shared" si="57"/>
        <v>0</v>
      </c>
      <c r="P297" s="97"/>
      <c r="Q297" s="97"/>
    </row>
    <row r="298" spans="1:17" ht="15.75" x14ac:dyDescent="0.2">
      <c r="A298" s="40"/>
      <c r="B298" s="135" t="s">
        <v>350</v>
      </c>
      <c r="C298" s="113">
        <v>992</v>
      </c>
      <c r="D298" s="133" t="s">
        <v>321</v>
      </c>
      <c r="E298" s="133">
        <v>1130000000</v>
      </c>
      <c r="F298" s="134"/>
      <c r="G298" s="111">
        <f>SUM(G299)</f>
        <v>2224</v>
      </c>
      <c r="H298" s="111">
        <f>H299</f>
        <v>17930.5</v>
      </c>
      <c r="I298" s="111">
        <f>SUM(I299)</f>
        <v>20154.5</v>
      </c>
      <c r="J298" s="115"/>
      <c r="K298" s="111"/>
      <c r="L298" s="115"/>
      <c r="M298" s="111">
        <f>SUM(M299)</f>
        <v>2224</v>
      </c>
      <c r="N298" s="111">
        <f>SUM(H298)</f>
        <v>17930.5</v>
      </c>
      <c r="O298" s="111">
        <f>SUM(O299)</f>
        <v>20154.5</v>
      </c>
      <c r="P298" s="97"/>
      <c r="Q298" s="97"/>
    </row>
    <row r="299" spans="1:17" ht="47.25" x14ac:dyDescent="0.2">
      <c r="A299" s="40"/>
      <c r="B299" s="135" t="s">
        <v>351</v>
      </c>
      <c r="C299" s="113">
        <v>992</v>
      </c>
      <c r="D299" s="133" t="s">
        <v>321</v>
      </c>
      <c r="E299" s="133">
        <v>1130100000</v>
      </c>
      <c r="F299" s="134"/>
      <c r="G299" s="111">
        <f>1964+G301</f>
        <v>2224</v>
      </c>
      <c r="H299" s="111">
        <f>H300</f>
        <v>17930.5</v>
      </c>
      <c r="I299" s="111">
        <f>SUM(G299:H299)</f>
        <v>20154.5</v>
      </c>
      <c r="J299" s="115"/>
      <c r="K299" s="111"/>
      <c r="L299" s="115"/>
      <c r="M299" s="111">
        <f>SUM(M300)</f>
        <v>2224</v>
      </c>
      <c r="N299" s="111">
        <f>SUM(H299)</f>
        <v>17930.5</v>
      </c>
      <c r="O299" s="111">
        <f>SUM(O300)</f>
        <v>20154.5</v>
      </c>
      <c r="P299" s="97"/>
      <c r="Q299" s="97"/>
    </row>
    <row r="300" spans="1:17" ht="15.75" x14ac:dyDescent="0.2">
      <c r="A300" s="40"/>
      <c r="B300" s="135" t="s">
        <v>582</v>
      </c>
      <c r="C300" s="113">
        <v>992</v>
      </c>
      <c r="D300" s="133" t="s">
        <v>321</v>
      </c>
      <c r="E300" s="133">
        <v>1130121070</v>
      </c>
      <c r="F300" s="134"/>
      <c r="G300" s="111">
        <f>1964+G301</f>
        <v>2224</v>
      </c>
      <c r="H300" s="111">
        <f>H301+H302</f>
        <v>17930.5</v>
      </c>
      <c r="I300" s="111">
        <f>SUM(G300:H300)</f>
        <v>20154.5</v>
      </c>
      <c r="J300" s="115"/>
      <c r="K300" s="111"/>
      <c r="L300" s="115"/>
      <c r="M300" s="111">
        <f>M301+M302</f>
        <v>2224</v>
      </c>
      <c r="N300" s="111">
        <f>N301+N302</f>
        <v>17930.5</v>
      </c>
      <c r="O300" s="111">
        <f>O301+O302</f>
        <v>20154.5</v>
      </c>
      <c r="P300" s="97"/>
      <c r="Q300" s="97"/>
    </row>
    <row r="301" spans="1:17" ht="31.5" x14ac:dyDescent="0.2">
      <c r="A301" s="40"/>
      <c r="B301" s="113" t="s">
        <v>40</v>
      </c>
      <c r="C301" s="113">
        <v>992</v>
      </c>
      <c r="D301" s="133" t="s">
        <v>321</v>
      </c>
      <c r="E301" s="133">
        <v>1130121070</v>
      </c>
      <c r="F301" s="134">
        <v>200</v>
      </c>
      <c r="G301" s="111">
        <v>260</v>
      </c>
      <c r="H301" s="111">
        <f>17930.5+150</f>
        <v>18080.5</v>
      </c>
      <c r="I301" s="111">
        <f>SUM(G301:H301)</f>
        <v>18340.5</v>
      </c>
      <c r="J301" s="115"/>
      <c r="K301" s="111"/>
      <c r="L301" s="115"/>
      <c r="M301" s="111">
        <f>SUM(G301)</f>
        <v>260</v>
      </c>
      <c r="N301" s="111">
        <f>SUM(H301)</f>
        <v>18080.5</v>
      </c>
      <c r="O301" s="111">
        <f>SUM(I301)</f>
        <v>18340.5</v>
      </c>
      <c r="P301" s="97"/>
      <c r="Q301" s="97"/>
    </row>
    <row r="302" spans="1:17" ht="31.5" x14ac:dyDescent="0.2">
      <c r="A302" s="40"/>
      <c r="B302" s="113" t="s">
        <v>225</v>
      </c>
      <c r="C302" s="113">
        <v>992</v>
      </c>
      <c r="D302" s="133" t="s">
        <v>321</v>
      </c>
      <c r="E302" s="136" t="s">
        <v>352</v>
      </c>
      <c r="F302" s="134">
        <v>400</v>
      </c>
      <c r="G302" s="111">
        <v>1964</v>
      </c>
      <c r="H302" s="111">
        <v>-150</v>
      </c>
      <c r="I302" s="111">
        <f>1964+H302</f>
        <v>1814</v>
      </c>
      <c r="J302" s="115"/>
      <c r="K302" s="109"/>
      <c r="L302" s="115"/>
      <c r="M302" s="111">
        <v>1964</v>
      </c>
      <c r="N302" s="111">
        <f>SUM(H302)</f>
        <v>-150</v>
      </c>
      <c r="O302" s="111">
        <f>1964+N302</f>
        <v>1814</v>
      </c>
      <c r="P302" s="97"/>
      <c r="Q302" s="97"/>
    </row>
    <row r="303" spans="1:17" ht="15.75" x14ac:dyDescent="0.2">
      <c r="A303" s="33" t="s">
        <v>353</v>
      </c>
      <c r="B303" s="110" t="s">
        <v>354</v>
      </c>
      <c r="C303" s="110" t="s">
        <v>51</v>
      </c>
      <c r="D303" s="131" t="s">
        <v>355</v>
      </c>
      <c r="E303" s="131" t="s">
        <v>11</v>
      </c>
      <c r="F303" s="132" t="s">
        <v>11</v>
      </c>
      <c r="G303" s="109">
        <f>G304+G345+G352+G339+G359</f>
        <v>59422.400000000001</v>
      </c>
      <c r="H303" s="111">
        <f>H304+Z306+H352</f>
        <v>-1165.8999999999996</v>
      </c>
      <c r="I303" s="109">
        <f>I304+I345+I352+I339+I359</f>
        <v>58256.5</v>
      </c>
      <c r="J303" s="112">
        <f>J304+J345+J352+J339</f>
        <v>5235</v>
      </c>
      <c r="K303" s="111">
        <f>K304+K339+K345+K359+K352</f>
        <v>7326.8</v>
      </c>
      <c r="L303" s="111">
        <f>L304+L339+L345+L359+L352</f>
        <v>12561.8</v>
      </c>
      <c r="M303" s="109">
        <f>M304+M345+M352+M339+M359</f>
        <v>64657.4</v>
      </c>
      <c r="N303" s="111">
        <f>N304+AF306+N352+N345</f>
        <v>6160.9000000000015</v>
      </c>
      <c r="O303" s="109">
        <f>O304+O345+O352+O339+O359</f>
        <v>70818.300000000017</v>
      </c>
      <c r="P303" s="97"/>
      <c r="Q303" s="97"/>
    </row>
    <row r="304" spans="1:17" ht="31.5" x14ac:dyDescent="0.2">
      <c r="A304" s="40"/>
      <c r="B304" s="113" t="s">
        <v>245</v>
      </c>
      <c r="C304" s="113" t="s">
        <v>51</v>
      </c>
      <c r="D304" s="133" t="s">
        <v>355</v>
      </c>
      <c r="E304" s="133" t="s">
        <v>246</v>
      </c>
      <c r="F304" s="134" t="s">
        <v>11</v>
      </c>
      <c r="G304" s="111">
        <f>G305+G333</f>
        <v>52096.600000000006</v>
      </c>
      <c r="H304" s="111">
        <f>H305+H333</f>
        <v>-1577.3999999999996</v>
      </c>
      <c r="I304" s="111">
        <f>I305+I333</f>
        <v>50519.200000000004</v>
      </c>
      <c r="J304" s="114">
        <f t="shared" ref="G304:O305" si="58">J305</f>
        <v>1335</v>
      </c>
      <c r="K304" s="111">
        <f t="shared" si="58"/>
        <v>7326.8</v>
      </c>
      <c r="L304" s="114">
        <f t="shared" si="58"/>
        <v>8661.7999999999993</v>
      </c>
      <c r="M304" s="111">
        <f>SUM(G304+J304)</f>
        <v>53431.600000000006</v>
      </c>
      <c r="N304" s="111">
        <f>N305+N333</f>
        <v>5749.4000000000015</v>
      </c>
      <c r="O304" s="111">
        <f>O305+O333</f>
        <v>59181.000000000015</v>
      </c>
      <c r="P304" s="97"/>
      <c r="Q304" s="97"/>
    </row>
    <row r="305" spans="1:17" ht="15.75" x14ac:dyDescent="0.2">
      <c r="A305" s="40"/>
      <c r="B305" s="113" t="s">
        <v>356</v>
      </c>
      <c r="C305" s="113" t="s">
        <v>51</v>
      </c>
      <c r="D305" s="133" t="s">
        <v>355</v>
      </c>
      <c r="E305" s="133" t="s">
        <v>357</v>
      </c>
      <c r="F305" s="134" t="s">
        <v>11</v>
      </c>
      <c r="G305" s="111">
        <f t="shared" si="58"/>
        <v>49846.600000000006</v>
      </c>
      <c r="H305" s="111">
        <f t="shared" si="58"/>
        <v>-1577.3999999999996</v>
      </c>
      <c r="I305" s="111">
        <f t="shared" si="58"/>
        <v>48269.200000000004</v>
      </c>
      <c r="J305" s="114">
        <f t="shared" si="58"/>
        <v>1335</v>
      </c>
      <c r="K305" s="111">
        <f>K306+K308+K310+K312+K314+K320</f>
        <v>7326.8</v>
      </c>
      <c r="L305" s="114">
        <f t="shared" si="58"/>
        <v>8661.7999999999993</v>
      </c>
      <c r="M305" s="111">
        <f t="shared" si="58"/>
        <v>51181.600000000006</v>
      </c>
      <c r="N305" s="111">
        <f t="shared" si="58"/>
        <v>5749.4000000000015</v>
      </c>
      <c r="O305" s="111">
        <f t="shared" si="58"/>
        <v>56931.000000000015</v>
      </c>
      <c r="P305" s="97"/>
      <c r="Q305" s="97"/>
    </row>
    <row r="306" spans="1:17" ht="47.25" x14ac:dyDescent="0.2">
      <c r="A306" s="40"/>
      <c r="B306" s="113" t="s">
        <v>358</v>
      </c>
      <c r="C306" s="113" t="s">
        <v>51</v>
      </c>
      <c r="D306" s="133" t="s">
        <v>355</v>
      </c>
      <c r="E306" s="133" t="s">
        <v>359</v>
      </c>
      <c r="F306" s="134" t="s">
        <v>11</v>
      </c>
      <c r="G306" s="111">
        <f>G307+G309+G311+G313+G319+G321+G315+G331</f>
        <v>49846.600000000006</v>
      </c>
      <c r="H306" s="111">
        <f>H307+H309+H311+H313+H319+H321+H315+H331+H329+H327+H317</f>
        <v>-1577.3999999999996</v>
      </c>
      <c r="I306" s="111">
        <f>I307+I309+I311+I313+I319+I321+I315+I331+I329+I327</f>
        <v>48269.200000000004</v>
      </c>
      <c r="J306" s="114">
        <f>J307+J309+J311+J313+J319+J321+J331</f>
        <v>1335</v>
      </c>
      <c r="K306" s="111">
        <f>SUM(K331)+K327+K329+K317</f>
        <v>7326.8</v>
      </c>
      <c r="L306" s="114">
        <f>L307+L309+L311+L313+L315+L317+L319+L321+L327+L329+L331</f>
        <v>8661.7999999999993</v>
      </c>
      <c r="M306" s="114">
        <f t="shared" ref="M306:O306" si="59">M307+M309+M311+M313+M315+M317+M319+M321+M327+M329+M331</f>
        <v>51181.600000000006</v>
      </c>
      <c r="N306" s="114">
        <f>N307+N309+N311+N313+N315+N317+N319+N321+N327+N329+N331</f>
        <v>5749.4000000000015</v>
      </c>
      <c r="O306" s="114">
        <f t="shared" si="59"/>
        <v>56931.000000000015</v>
      </c>
      <c r="P306" s="97"/>
      <c r="Q306" s="97"/>
    </row>
    <row r="307" spans="1:17" ht="15.75" x14ac:dyDescent="0.2">
      <c r="A307" s="40"/>
      <c r="B307" s="113" t="s">
        <v>360</v>
      </c>
      <c r="C307" s="113" t="s">
        <v>51</v>
      </c>
      <c r="D307" s="133" t="s">
        <v>355</v>
      </c>
      <c r="E307" s="133" t="s">
        <v>361</v>
      </c>
      <c r="F307" s="134" t="s">
        <v>11</v>
      </c>
      <c r="G307" s="111">
        <f>G308</f>
        <v>18613.2</v>
      </c>
      <c r="H307" s="111">
        <f>H308</f>
        <v>852.6</v>
      </c>
      <c r="I307" s="111">
        <f>I308</f>
        <v>19465.8</v>
      </c>
      <c r="J307" s="114">
        <f>J308</f>
        <v>0</v>
      </c>
      <c r="K307" s="111"/>
      <c r="L307" s="114">
        <f>L308</f>
        <v>0</v>
      </c>
      <c r="M307" s="111">
        <f>M308</f>
        <v>18613.2</v>
      </c>
      <c r="N307" s="111">
        <f>N308</f>
        <v>852.6</v>
      </c>
      <c r="O307" s="111">
        <f>O308</f>
        <v>19465.8</v>
      </c>
      <c r="P307" s="97"/>
      <c r="Q307" s="97"/>
    </row>
    <row r="308" spans="1:17" ht="31.5" x14ac:dyDescent="0.2">
      <c r="A308" s="40"/>
      <c r="B308" s="113" t="s">
        <v>40</v>
      </c>
      <c r="C308" s="113" t="s">
        <v>51</v>
      </c>
      <c r="D308" s="133" t="s">
        <v>355</v>
      </c>
      <c r="E308" s="133" t="s">
        <v>361</v>
      </c>
      <c r="F308" s="134" t="s">
        <v>41</v>
      </c>
      <c r="G308" s="111">
        <v>18613.2</v>
      </c>
      <c r="H308" s="111">
        <v>852.6</v>
      </c>
      <c r="I308" s="111">
        <f>SUM(G308)+H308</f>
        <v>19465.8</v>
      </c>
      <c r="J308" s="115"/>
      <c r="K308" s="111"/>
      <c r="L308" s="115"/>
      <c r="M308" s="111">
        <f>SUM(G308)</f>
        <v>18613.2</v>
      </c>
      <c r="N308" s="111">
        <f>SUM(H308)+K308</f>
        <v>852.6</v>
      </c>
      <c r="O308" s="111">
        <f>SUM(I308)</f>
        <v>19465.8</v>
      </c>
      <c r="P308" s="97"/>
      <c r="Q308" s="97"/>
    </row>
    <row r="309" spans="1:17" ht="15.75" x14ac:dyDescent="0.2">
      <c r="A309" s="40"/>
      <c r="B309" s="113" t="s">
        <v>362</v>
      </c>
      <c r="C309" s="113" t="s">
        <v>51</v>
      </c>
      <c r="D309" s="133" t="s">
        <v>355</v>
      </c>
      <c r="E309" s="133" t="s">
        <v>363</v>
      </c>
      <c r="F309" s="134" t="s">
        <v>11</v>
      </c>
      <c r="G309" s="111">
        <f>G310</f>
        <v>10114.1</v>
      </c>
      <c r="H309" s="111">
        <f>H310</f>
        <v>0</v>
      </c>
      <c r="I309" s="111">
        <f>I310</f>
        <v>10114.1</v>
      </c>
      <c r="J309" s="114">
        <f>J310</f>
        <v>75</v>
      </c>
      <c r="K309" s="111">
        <f>SUM(K310)</f>
        <v>0</v>
      </c>
      <c r="L309" s="114">
        <f>L310</f>
        <v>75</v>
      </c>
      <c r="M309" s="111">
        <f>M310</f>
        <v>10189.1</v>
      </c>
      <c r="N309" s="111">
        <f>N310</f>
        <v>0</v>
      </c>
      <c r="O309" s="111">
        <f>O310</f>
        <v>10189.1</v>
      </c>
      <c r="P309" s="97"/>
      <c r="Q309" s="97"/>
    </row>
    <row r="310" spans="1:17" ht="31.5" x14ac:dyDescent="0.2">
      <c r="A310" s="40"/>
      <c r="B310" s="113" t="s">
        <v>40</v>
      </c>
      <c r="C310" s="113" t="s">
        <v>51</v>
      </c>
      <c r="D310" s="133" t="s">
        <v>355</v>
      </c>
      <c r="E310" s="133" t="s">
        <v>363</v>
      </c>
      <c r="F310" s="134" t="s">
        <v>41</v>
      </c>
      <c r="G310" s="111">
        <v>10114.1</v>
      </c>
      <c r="H310" s="111"/>
      <c r="I310" s="111">
        <f>SUM(G310)+H310</f>
        <v>10114.1</v>
      </c>
      <c r="J310" s="115">
        <v>75</v>
      </c>
      <c r="K310" s="111"/>
      <c r="L310" s="111">
        <f>SUM(J310)</f>
        <v>75</v>
      </c>
      <c r="M310" s="111">
        <f>SUM(G310+J310)</f>
        <v>10189.1</v>
      </c>
      <c r="N310" s="111">
        <f>SUM(H310)+K310</f>
        <v>0</v>
      </c>
      <c r="O310" s="111">
        <f>SUM(I310+L310)</f>
        <v>10189.1</v>
      </c>
      <c r="P310" s="97"/>
      <c r="Q310" s="97"/>
    </row>
    <row r="311" spans="1:17" ht="15.75" x14ac:dyDescent="0.2">
      <c r="A311" s="40"/>
      <c r="B311" s="113" t="s">
        <v>364</v>
      </c>
      <c r="C311" s="113" t="s">
        <v>51</v>
      </c>
      <c r="D311" s="133" t="s">
        <v>355</v>
      </c>
      <c r="E311" s="133" t="s">
        <v>365</v>
      </c>
      <c r="F311" s="134" t="s">
        <v>11</v>
      </c>
      <c r="G311" s="111">
        <f>G312</f>
        <v>2518.5</v>
      </c>
      <c r="H311" s="111">
        <v>300</v>
      </c>
      <c r="I311" s="111">
        <f>I312</f>
        <v>2818.5</v>
      </c>
      <c r="J311" s="114">
        <f>J312</f>
        <v>0</v>
      </c>
      <c r="K311" s="111"/>
      <c r="L311" s="114">
        <f>L312</f>
        <v>0</v>
      </c>
      <c r="M311" s="111">
        <f>M312</f>
        <v>2518.5</v>
      </c>
      <c r="N311" s="111">
        <f>N312</f>
        <v>300</v>
      </c>
      <c r="O311" s="111">
        <f>O312</f>
        <v>2818.5</v>
      </c>
      <c r="P311" s="97"/>
      <c r="Q311" s="97"/>
    </row>
    <row r="312" spans="1:17" ht="31.5" x14ac:dyDescent="0.2">
      <c r="A312" s="40"/>
      <c r="B312" s="113" t="s">
        <v>40</v>
      </c>
      <c r="C312" s="113" t="s">
        <v>51</v>
      </c>
      <c r="D312" s="133" t="s">
        <v>355</v>
      </c>
      <c r="E312" s="133" t="s">
        <v>365</v>
      </c>
      <c r="F312" s="134" t="s">
        <v>41</v>
      </c>
      <c r="G312" s="111">
        <v>2518.5</v>
      </c>
      <c r="H312" s="111">
        <v>300</v>
      </c>
      <c r="I312" s="111">
        <f>2518.5+H312</f>
        <v>2818.5</v>
      </c>
      <c r="J312" s="115"/>
      <c r="K312" s="111"/>
      <c r="L312" s="115"/>
      <c r="M312" s="111">
        <f>SUM(G312)</f>
        <v>2518.5</v>
      </c>
      <c r="N312" s="111">
        <f>SUM(H312)</f>
        <v>300</v>
      </c>
      <c r="O312" s="111">
        <f>SUM(I312)</f>
        <v>2818.5</v>
      </c>
      <c r="P312" s="97"/>
      <c r="Q312" s="97"/>
    </row>
    <row r="313" spans="1:17" ht="15.75" x14ac:dyDescent="0.2">
      <c r="A313" s="40"/>
      <c r="B313" s="113" t="s">
        <v>366</v>
      </c>
      <c r="C313" s="113" t="s">
        <v>51</v>
      </c>
      <c r="D313" s="133" t="s">
        <v>355</v>
      </c>
      <c r="E313" s="133" t="s">
        <v>367</v>
      </c>
      <c r="F313" s="134" t="s">
        <v>11</v>
      </c>
      <c r="G313" s="111">
        <f>G314</f>
        <v>2161.8000000000002</v>
      </c>
      <c r="H313" s="111">
        <f>H314</f>
        <v>0</v>
      </c>
      <c r="I313" s="111">
        <f>I314</f>
        <v>2161.8000000000002</v>
      </c>
      <c r="J313" s="114">
        <f>J314</f>
        <v>0</v>
      </c>
      <c r="K313" s="111"/>
      <c r="L313" s="114">
        <f>L314</f>
        <v>0</v>
      </c>
      <c r="M313" s="111">
        <f>M314</f>
        <v>2161.8000000000002</v>
      </c>
      <c r="N313" s="111">
        <f>N314</f>
        <v>0</v>
      </c>
      <c r="O313" s="111">
        <f>O314</f>
        <v>2161.8000000000002</v>
      </c>
      <c r="P313" s="97"/>
      <c r="Q313" s="97"/>
    </row>
    <row r="314" spans="1:17" ht="31.5" x14ac:dyDescent="0.2">
      <c r="A314" s="40"/>
      <c r="B314" s="113" t="s">
        <v>40</v>
      </c>
      <c r="C314" s="113" t="s">
        <v>51</v>
      </c>
      <c r="D314" s="133" t="s">
        <v>355</v>
      </c>
      <c r="E314" s="133" t="s">
        <v>367</v>
      </c>
      <c r="F314" s="134" t="s">
        <v>41</v>
      </c>
      <c r="G314" s="111">
        <v>2161.8000000000002</v>
      </c>
      <c r="H314" s="111"/>
      <c r="I314" s="111">
        <f>SUM(G314)+H314</f>
        <v>2161.8000000000002</v>
      </c>
      <c r="J314" s="115"/>
      <c r="K314" s="111"/>
      <c r="L314" s="115"/>
      <c r="M314" s="111">
        <f t="shared" ref="M314:O316" si="60">SUM(G314)</f>
        <v>2161.8000000000002</v>
      </c>
      <c r="N314" s="111">
        <f t="shared" si="60"/>
        <v>0</v>
      </c>
      <c r="O314" s="111">
        <f t="shared" si="60"/>
        <v>2161.8000000000002</v>
      </c>
      <c r="P314" s="97"/>
      <c r="Q314" s="97"/>
    </row>
    <row r="315" spans="1:17" ht="31.5" x14ac:dyDescent="0.2">
      <c r="A315" s="40"/>
      <c r="B315" s="135" t="s">
        <v>368</v>
      </c>
      <c r="C315" s="113">
        <v>992</v>
      </c>
      <c r="D315" s="133" t="s">
        <v>355</v>
      </c>
      <c r="E315" s="136" t="s">
        <v>369</v>
      </c>
      <c r="F315" s="134"/>
      <c r="G315" s="111">
        <v>583.6</v>
      </c>
      <c r="H315" s="111"/>
      <c r="I315" s="111">
        <f>SUM(G315)+H315</f>
        <v>583.6</v>
      </c>
      <c r="J315" s="115"/>
      <c r="K315" s="111"/>
      <c r="L315" s="115"/>
      <c r="M315" s="111">
        <f t="shared" si="60"/>
        <v>583.6</v>
      </c>
      <c r="N315" s="111">
        <f t="shared" si="60"/>
        <v>0</v>
      </c>
      <c r="O315" s="111">
        <f t="shared" si="60"/>
        <v>583.6</v>
      </c>
      <c r="P315" s="97"/>
      <c r="Q315" s="97"/>
    </row>
    <row r="316" spans="1:17" ht="31.5" x14ac:dyDescent="0.2">
      <c r="A316" s="40"/>
      <c r="B316" s="113" t="s">
        <v>40</v>
      </c>
      <c r="C316" s="113">
        <v>992</v>
      </c>
      <c r="D316" s="133" t="s">
        <v>355</v>
      </c>
      <c r="E316" s="136" t="s">
        <v>369</v>
      </c>
      <c r="F316" s="134">
        <v>200</v>
      </c>
      <c r="G316" s="111">
        <v>583.6</v>
      </c>
      <c r="H316" s="111"/>
      <c r="I316" s="111">
        <f>SUM(G316)+H316</f>
        <v>583.6</v>
      </c>
      <c r="J316" s="115"/>
      <c r="K316" s="111"/>
      <c r="L316" s="115"/>
      <c r="M316" s="111">
        <f t="shared" si="60"/>
        <v>583.6</v>
      </c>
      <c r="N316" s="111">
        <f t="shared" si="60"/>
        <v>0</v>
      </c>
      <c r="O316" s="111">
        <f t="shared" si="60"/>
        <v>583.6</v>
      </c>
      <c r="P316" s="97"/>
      <c r="Q316" s="97"/>
    </row>
    <row r="317" spans="1:17" ht="31.5" x14ac:dyDescent="0.2">
      <c r="A317" s="40"/>
      <c r="B317" s="118" t="s">
        <v>585</v>
      </c>
      <c r="C317" s="118" t="s">
        <v>51</v>
      </c>
      <c r="D317" s="136" t="s">
        <v>355</v>
      </c>
      <c r="E317" s="136" t="s">
        <v>584</v>
      </c>
      <c r="F317" s="141"/>
      <c r="G317" s="111"/>
      <c r="H317" s="111">
        <f t="shared" ref="H317:O317" si="61">H318</f>
        <v>0</v>
      </c>
      <c r="I317" s="111">
        <f t="shared" si="61"/>
        <v>0</v>
      </c>
      <c r="J317" s="115">
        <f t="shared" si="61"/>
        <v>0</v>
      </c>
      <c r="K317" s="111">
        <f t="shared" si="61"/>
        <v>3070</v>
      </c>
      <c r="L317" s="115">
        <f t="shared" si="61"/>
        <v>3070</v>
      </c>
      <c r="M317" s="111">
        <f t="shared" si="61"/>
        <v>0</v>
      </c>
      <c r="N317" s="111">
        <f t="shared" si="61"/>
        <v>3070</v>
      </c>
      <c r="O317" s="111">
        <f t="shared" si="61"/>
        <v>3070</v>
      </c>
      <c r="P317" s="97"/>
      <c r="Q317" s="97"/>
    </row>
    <row r="318" spans="1:17" ht="31.5" x14ac:dyDescent="0.2">
      <c r="A318" s="40"/>
      <c r="B318" s="113" t="s">
        <v>40</v>
      </c>
      <c r="C318" s="118" t="s">
        <v>51</v>
      </c>
      <c r="D318" s="136" t="s">
        <v>355</v>
      </c>
      <c r="E318" s="136" t="s">
        <v>584</v>
      </c>
      <c r="F318" s="141" t="s">
        <v>41</v>
      </c>
      <c r="G318" s="111"/>
      <c r="H318" s="111"/>
      <c r="I318" s="111">
        <f>SUM(G318:H318)</f>
        <v>0</v>
      </c>
      <c r="J318" s="115"/>
      <c r="K318" s="111">
        <v>3070</v>
      </c>
      <c r="L318" s="115">
        <f>SUM(J318:K318)</f>
        <v>3070</v>
      </c>
      <c r="M318" s="111">
        <f>G318+J318</f>
        <v>0</v>
      </c>
      <c r="N318" s="111">
        <f>H318+K318</f>
        <v>3070</v>
      </c>
      <c r="O318" s="111">
        <f>I318+L318</f>
        <v>3070</v>
      </c>
      <c r="P318" s="97"/>
      <c r="Q318" s="97"/>
    </row>
    <row r="319" spans="1:17" ht="31.5" x14ac:dyDescent="0.2">
      <c r="A319" s="40"/>
      <c r="B319" s="113" t="s">
        <v>370</v>
      </c>
      <c r="C319" s="113" t="s">
        <v>51</v>
      </c>
      <c r="D319" s="133" t="s">
        <v>355</v>
      </c>
      <c r="E319" s="133" t="s">
        <v>371</v>
      </c>
      <c r="F319" s="134" t="s">
        <v>11</v>
      </c>
      <c r="G319" s="111">
        <f>G320</f>
        <v>3252.4</v>
      </c>
      <c r="H319" s="111">
        <f>SUM(H320)</f>
        <v>1000</v>
      </c>
      <c r="I319" s="111">
        <f>I320</f>
        <v>4252.3999999999996</v>
      </c>
      <c r="J319" s="114">
        <f>J320</f>
        <v>0</v>
      </c>
      <c r="K319" s="111"/>
      <c r="L319" s="114">
        <f>L320</f>
        <v>0</v>
      </c>
      <c r="M319" s="111">
        <f>M320</f>
        <v>3252.4</v>
      </c>
      <c r="N319" s="111">
        <f>N320</f>
        <v>1000</v>
      </c>
      <c r="O319" s="111">
        <f>O320</f>
        <v>4252.3999999999996</v>
      </c>
      <c r="P319" s="97"/>
      <c r="Q319" s="97"/>
    </row>
    <row r="320" spans="1:17" ht="31.5" x14ac:dyDescent="0.2">
      <c r="A320" s="40"/>
      <c r="B320" s="113" t="s">
        <v>40</v>
      </c>
      <c r="C320" s="113" t="s">
        <v>51</v>
      </c>
      <c r="D320" s="133" t="s">
        <v>355</v>
      </c>
      <c r="E320" s="133" t="s">
        <v>371</v>
      </c>
      <c r="F320" s="134" t="s">
        <v>41</v>
      </c>
      <c r="G320" s="111">
        <v>3252.4</v>
      </c>
      <c r="H320" s="111">
        <v>1000</v>
      </c>
      <c r="I320" s="111">
        <f>H320+G320</f>
        <v>4252.3999999999996</v>
      </c>
      <c r="J320" s="115"/>
      <c r="K320" s="111"/>
      <c r="L320" s="115"/>
      <c r="M320" s="111">
        <f>SUM(G320)</f>
        <v>3252.4</v>
      </c>
      <c r="N320" s="111">
        <f>SUM(H320)</f>
        <v>1000</v>
      </c>
      <c r="O320" s="111">
        <f>SUM(I320)</f>
        <v>4252.3999999999996</v>
      </c>
      <c r="P320" s="97"/>
      <c r="Q320" s="97"/>
    </row>
    <row r="321" spans="1:17" ht="47.25" x14ac:dyDescent="0.2">
      <c r="A321" s="40"/>
      <c r="B321" s="113" t="s">
        <v>372</v>
      </c>
      <c r="C321" s="113" t="s">
        <v>51</v>
      </c>
      <c r="D321" s="133" t="s">
        <v>355</v>
      </c>
      <c r="E321" s="133" t="s">
        <v>373</v>
      </c>
      <c r="F321" s="134" t="s">
        <v>11</v>
      </c>
      <c r="G321" s="111">
        <f>G322</f>
        <v>12536.6</v>
      </c>
      <c r="H321" s="111">
        <f>SUM(H322)</f>
        <v>-6225.4</v>
      </c>
      <c r="I321" s="111">
        <f>I322</f>
        <v>6311.2000000000007</v>
      </c>
      <c r="J321" s="114">
        <f>J322</f>
        <v>0</v>
      </c>
      <c r="K321" s="111">
        <f>SUM(K322)</f>
        <v>0</v>
      </c>
      <c r="L321" s="114">
        <f>L322</f>
        <v>0</v>
      </c>
      <c r="M321" s="111">
        <f>M322</f>
        <v>12536.6</v>
      </c>
      <c r="N321" s="111">
        <f>N322</f>
        <v>-6225.4</v>
      </c>
      <c r="O321" s="111">
        <f>SUM(M321+N321)</f>
        <v>6311.2000000000007</v>
      </c>
      <c r="P321" s="97"/>
      <c r="Q321" s="97"/>
    </row>
    <row r="322" spans="1:17" ht="35.25" customHeight="1" x14ac:dyDescent="0.2">
      <c r="A322" s="40"/>
      <c r="B322" s="113" t="s">
        <v>40</v>
      </c>
      <c r="C322" s="113" t="s">
        <v>51</v>
      </c>
      <c r="D322" s="133" t="s">
        <v>355</v>
      </c>
      <c r="E322" s="133" t="s">
        <v>373</v>
      </c>
      <c r="F322" s="134" t="s">
        <v>41</v>
      </c>
      <c r="G322" s="111">
        <v>12536.6</v>
      </c>
      <c r="H322" s="111">
        <f>500-4230-2495.4</f>
        <v>-6225.4</v>
      </c>
      <c r="I322" s="111">
        <f>SUM(G322)+H322</f>
        <v>6311.2000000000007</v>
      </c>
      <c r="J322" s="115">
        <v>0</v>
      </c>
      <c r="K322" s="111"/>
      <c r="L322" s="115">
        <f>SUM(K322)</f>
        <v>0</v>
      </c>
      <c r="M322" s="111">
        <f>SUM(G322)</f>
        <v>12536.6</v>
      </c>
      <c r="N322" s="111">
        <f>SUM(H322)</f>
        <v>-6225.4</v>
      </c>
      <c r="O322" s="111">
        <f>SUM(I322)</f>
        <v>6311.2000000000007</v>
      </c>
      <c r="P322" s="97"/>
      <c r="Q322" s="97"/>
    </row>
    <row r="323" spans="1:17" ht="15.75" hidden="1" x14ac:dyDescent="0.2">
      <c r="A323" s="40"/>
      <c r="B323" s="113"/>
      <c r="C323" s="113"/>
      <c r="D323" s="133"/>
      <c r="E323" s="133"/>
      <c r="F323" s="134"/>
      <c r="G323" s="111"/>
      <c r="H323" s="111"/>
      <c r="I323" s="111"/>
      <c r="J323" s="115"/>
      <c r="K323" s="111">
        <v>4251.8</v>
      </c>
      <c r="L323" s="121">
        <f>SUM(K323)</f>
        <v>4251.8</v>
      </c>
      <c r="M323" s="111"/>
      <c r="N323" s="111">
        <f t="shared" ref="N323:O326" si="62">SUM(K323)</f>
        <v>4251.8</v>
      </c>
      <c r="O323" s="111">
        <f t="shared" si="62"/>
        <v>4251.8</v>
      </c>
      <c r="P323" s="97"/>
      <c r="Q323" s="97"/>
    </row>
    <row r="324" spans="1:17" ht="15.75" hidden="1" x14ac:dyDescent="0.2">
      <c r="A324" s="40"/>
      <c r="B324" s="113"/>
      <c r="C324" s="113"/>
      <c r="D324" s="133"/>
      <c r="E324" s="133"/>
      <c r="F324" s="134">
        <v>200</v>
      </c>
      <c r="G324" s="111"/>
      <c r="H324" s="111"/>
      <c r="I324" s="111"/>
      <c r="J324" s="115"/>
      <c r="K324" s="111">
        <v>4251.8</v>
      </c>
      <c r="L324" s="121">
        <f>SUM(K324)</f>
        <v>4251.8</v>
      </c>
      <c r="M324" s="111"/>
      <c r="N324" s="111">
        <f t="shared" si="62"/>
        <v>4251.8</v>
      </c>
      <c r="O324" s="111">
        <f t="shared" si="62"/>
        <v>4251.8</v>
      </c>
      <c r="P324" s="97"/>
      <c r="Q324" s="97"/>
    </row>
    <row r="325" spans="1:17" ht="15.75" hidden="1" x14ac:dyDescent="0.2">
      <c r="A325" s="40"/>
      <c r="B325" s="113"/>
      <c r="C325" s="113"/>
      <c r="D325" s="133"/>
      <c r="E325" s="133"/>
      <c r="F325" s="134"/>
      <c r="G325" s="111"/>
      <c r="H325" s="111"/>
      <c r="I325" s="111"/>
      <c r="J325" s="115"/>
      <c r="K325" s="111">
        <v>5</v>
      </c>
      <c r="L325" s="121">
        <f>SUM(K325)</f>
        <v>5</v>
      </c>
      <c r="M325" s="111"/>
      <c r="N325" s="111">
        <f t="shared" si="62"/>
        <v>5</v>
      </c>
      <c r="O325" s="111">
        <f t="shared" si="62"/>
        <v>5</v>
      </c>
      <c r="P325" s="97"/>
      <c r="Q325" s="97"/>
    </row>
    <row r="326" spans="1:17" ht="15.75" hidden="1" x14ac:dyDescent="0.2">
      <c r="A326" s="40"/>
      <c r="B326" s="113"/>
      <c r="C326" s="113"/>
      <c r="D326" s="133"/>
      <c r="E326" s="133"/>
      <c r="F326" s="134">
        <v>200</v>
      </c>
      <c r="G326" s="111"/>
      <c r="H326" s="111"/>
      <c r="I326" s="111"/>
      <c r="J326" s="115"/>
      <c r="K326" s="111">
        <v>5</v>
      </c>
      <c r="L326" s="121">
        <f>SUM(K326)</f>
        <v>5</v>
      </c>
      <c r="M326" s="111"/>
      <c r="N326" s="111">
        <f t="shared" si="62"/>
        <v>5</v>
      </c>
      <c r="O326" s="111">
        <f t="shared" si="62"/>
        <v>5</v>
      </c>
      <c r="P326" s="97"/>
      <c r="Q326" s="97"/>
    </row>
    <row r="327" spans="1:17" ht="63" x14ac:dyDescent="0.2">
      <c r="A327" s="40"/>
      <c r="B327" s="135" t="s">
        <v>572</v>
      </c>
      <c r="C327" s="113">
        <v>992</v>
      </c>
      <c r="D327" s="133" t="s">
        <v>355</v>
      </c>
      <c r="E327" s="136" t="s">
        <v>573</v>
      </c>
      <c r="F327" s="134"/>
      <c r="G327" s="111"/>
      <c r="H327" s="111">
        <v>2495.4</v>
      </c>
      <c r="I327" s="111">
        <v>2495.4</v>
      </c>
      <c r="J327" s="115"/>
      <c r="K327" s="111">
        <f>SUM(K328)</f>
        <v>5</v>
      </c>
      <c r="L327" s="111">
        <f>SUM(L328)</f>
        <v>5</v>
      </c>
      <c r="M327" s="111"/>
      <c r="N327" s="111">
        <f t="shared" ref="N327:O330" si="63">SUM(K327)+H327</f>
        <v>2500.4</v>
      </c>
      <c r="O327" s="111">
        <f t="shared" si="63"/>
        <v>2500.4</v>
      </c>
      <c r="P327" s="97"/>
      <c r="Q327" s="97"/>
    </row>
    <row r="328" spans="1:17" ht="31.5" x14ac:dyDescent="0.2">
      <c r="A328" s="40"/>
      <c r="B328" s="113" t="s">
        <v>40</v>
      </c>
      <c r="C328" s="113">
        <v>992</v>
      </c>
      <c r="D328" s="133" t="s">
        <v>355</v>
      </c>
      <c r="E328" s="136" t="s">
        <v>573</v>
      </c>
      <c r="F328" s="134">
        <v>200</v>
      </c>
      <c r="G328" s="111"/>
      <c r="H328" s="111">
        <v>2495.4</v>
      </c>
      <c r="I328" s="111">
        <v>2495.4</v>
      </c>
      <c r="J328" s="115"/>
      <c r="K328" s="111">
        <v>5</v>
      </c>
      <c r="L328" s="121">
        <v>5</v>
      </c>
      <c r="M328" s="111"/>
      <c r="N328" s="111">
        <f t="shared" si="63"/>
        <v>2500.4</v>
      </c>
      <c r="O328" s="111">
        <f t="shared" si="63"/>
        <v>2500.4</v>
      </c>
      <c r="P328" s="97"/>
      <c r="Q328" s="97"/>
    </row>
    <row r="329" spans="1:17" ht="31.5" x14ac:dyDescent="0.2">
      <c r="A329" s="40"/>
      <c r="B329" s="113" t="s">
        <v>575</v>
      </c>
      <c r="C329" s="113">
        <v>992</v>
      </c>
      <c r="D329" s="133" t="s">
        <v>355</v>
      </c>
      <c r="E329" s="136" t="s">
        <v>574</v>
      </c>
      <c r="F329" s="134"/>
      <c r="G329" s="111"/>
      <c r="H329" s="111"/>
      <c r="I329" s="111">
        <f>SUM(H329)</f>
        <v>0</v>
      </c>
      <c r="J329" s="115"/>
      <c r="K329" s="111">
        <v>4251.8</v>
      </c>
      <c r="L329" s="121">
        <f>SUM(K329)</f>
        <v>4251.8</v>
      </c>
      <c r="M329" s="111"/>
      <c r="N329" s="111">
        <f t="shared" si="63"/>
        <v>4251.8</v>
      </c>
      <c r="O329" s="111">
        <f t="shared" si="63"/>
        <v>4251.8</v>
      </c>
      <c r="P329" s="97"/>
      <c r="Q329" s="97"/>
    </row>
    <row r="330" spans="1:17" ht="31.5" x14ac:dyDescent="0.2">
      <c r="A330" s="40"/>
      <c r="B330" s="113" t="s">
        <v>40</v>
      </c>
      <c r="C330" s="113">
        <v>992</v>
      </c>
      <c r="D330" s="133" t="s">
        <v>355</v>
      </c>
      <c r="E330" s="136" t="s">
        <v>574</v>
      </c>
      <c r="F330" s="134">
        <v>200</v>
      </c>
      <c r="G330" s="111"/>
      <c r="H330" s="111"/>
      <c r="I330" s="111">
        <f>SUM(H330)</f>
        <v>0</v>
      </c>
      <c r="J330" s="115"/>
      <c r="K330" s="111">
        <v>4251.8</v>
      </c>
      <c r="L330" s="121">
        <f>SUM(K330)</f>
        <v>4251.8</v>
      </c>
      <c r="M330" s="111"/>
      <c r="N330" s="111">
        <f t="shared" si="63"/>
        <v>4251.8</v>
      </c>
      <c r="O330" s="111">
        <f t="shared" si="63"/>
        <v>4251.8</v>
      </c>
      <c r="P330" s="97"/>
      <c r="Q330" s="97"/>
    </row>
    <row r="331" spans="1:17" ht="66.599999999999994" customHeight="1" x14ac:dyDescent="0.2">
      <c r="A331" s="40"/>
      <c r="B331" s="135" t="s">
        <v>551</v>
      </c>
      <c r="C331" s="113">
        <v>992</v>
      </c>
      <c r="D331" s="136" t="s">
        <v>355</v>
      </c>
      <c r="E331" s="133" t="s">
        <v>550</v>
      </c>
      <c r="F331" s="134"/>
      <c r="G331" s="111">
        <f>SUM(G332)</f>
        <v>66.400000000000006</v>
      </c>
      <c r="H331" s="111">
        <f>SUM(H332)</f>
        <v>0</v>
      </c>
      <c r="I331" s="111">
        <f>SUM(G331)</f>
        <v>66.400000000000006</v>
      </c>
      <c r="J331" s="115">
        <f>SUM(J332)</f>
        <v>1260</v>
      </c>
      <c r="K331" s="111">
        <f>SUM(K332)</f>
        <v>0</v>
      </c>
      <c r="L331" s="111">
        <f>SUM(L332)</f>
        <v>1260</v>
      </c>
      <c r="M331" s="111">
        <f t="shared" ref="M331:O332" si="64">SUM(G331+J331)</f>
        <v>1326.4</v>
      </c>
      <c r="N331" s="111">
        <f t="shared" si="64"/>
        <v>0</v>
      </c>
      <c r="O331" s="111">
        <f t="shared" si="64"/>
        <v>1326.4</v>
      </c>
      <c r="P331" s="97"/>
      <c r="Q331" s="97"/>
    </row>
    <row r="332" spans="1:17" ht="31.5" x14ac:dyDescent="0.2">
      <c r="A332" s="40"/>
      <c r="B332" s="113" t="s">
        <v>40</v>
      </c>
      <c r="C332" s="113">
        <v>992</v>
      </c>
      <c r="D332" s="133" t="s">
        <v>355</v>
      </c>
      <c r="E332" s="133" t="s">
        <v>550</v>
      </c>
      <c r="F332" s="134">
        <v>200</v>
      </c>
      <c r="G332" s="111">
        <v>66.400000000000006</v>
      </c>
      <c r="H332" s="111"/>
      <c r="I332" s="111">
        <f>SUM(G332)</f>
        <v>66.400000000000006</v>
      </c>
      <c r="J332" s="115">
        <v>1260</v>
      </c>
      <c r="K332" s="111"/>
      <c r="L332" s="115">
        <f>SUM(J332)</f>
        <v>1260</v>
      </c>
      <c r="M332" s="111">
        <f t="shared" si="64"/>
        <v>1326.4</v>
      </c>
      <c r="N332" s="111">
        <f t="shared" si="64"/>
        <v>0</v>
      </c>
      <c r="O332" s="111">
        <f t="shared" si="64"/>
        <v>1326.4</v>
      </c>
      <c r="P332" s="97"/>
      <c r="Q332" s="97"/>
    </row>
    <row r="333" spans="1:17" ht="15.75" x14ac:dyDescent="0.2">
      <c r="A333" s="40"/>
      <c r="B333" s="140" t="s">
        <v>247</v>
      </c>
      <c r="C333" s="113">
        <v>992</v>
      </c>
      <c r="D333" s="133" t="s">
        <v>355</v>
      </c>
      <c r="E333" s="136" t="s">
        <v>248</v>
      </c>
      <c r="F333" s="134"/>
      <c r="G333" s="111">
        <f>SUM(G336)</f>
        <v>2250</v>
      </c>
      <c r="H333" s="111"/>
      <c r="I333" s="111">
        <v>2250</v>
      </c>
      <c r="J333" s="115"/>
      <c r="K333" s="111"/>
      <c r="L333" s="115"/>
      <c r="M333" s="111">
        <f t="shared" ref="M333:O334" si="65">SUM(G333)</f>
        <v>2250</v>
      </c>
      <c r="N333" s="111">
        <f t="shared" si="65"/>
        <v>0</v>
      </c>
      <c r="O333" s="111">
        <f t="shared" si="65"/>
        <v>2250</v>
      </c>
      <c r="P333" s="97"/>
      <c r="Q333" s="97"/>
    </row>
    <row r="334" spans="1:17" ht="63" x14ac:dyDescent="0.2">
      <c r="A334" s="40"/>
      <c r="B334" s="140" t="s">
        <v>569</v>
      </c>
      <c r="C334" s="113">
        <v>992</v>
      </c>
      <c r="D334" s="133" t="s">
        <v>355</v>
      </c>
      <c r="E334" s="136" t="s">
        <v>567</v>
      </c>
      <c r="F334" s="134"/>
      <c r="G334" s="111">
        <f>SUM(G336)</f>
        <v>2250</v>
      </c>
      <c r="H334" s="111"/>
      <c r="I334" s="111">
        <v>2250</v>
      </c>
      <c r="J334" s="115"/>
      <c r="K334" s="111"/>
      <c r="L334" s="115"/>
      <c r="M334" s="111">
        <f t="shared" si="65"/>
        <v>2250</v>
      </c>
      <c r="N334" s="111">
        <f t="shared" si="65"/>
        <v>0</v>
      </c>
      <c r="O334" s="111">
        <f t="shared" si="65"/>
        <v>2250</v>
      </c>
      <c r="P334" s="97"/>
      <c r="Q334" s="97"/>
    </row>
    <row r="335" spans="1:17" ht="0.75" customHeight="1" x14ac:dyDescent="0.2">
      <c r="A335" s="40"/>
      <c r="B335" s="140"/>
      <c r="C335" s="113"/>
      <c r="D335" s="133"/>
      <c r="E335" s="136"/>
      <c r="F335" s="134"/>
      <c r="G335" s="111"/>
      <c r="H335" s="111"/>
      <c r="I335" s="111"/>
      <c r="J335" s="115"/>
      <c r="K335" s="111"/>
      <c r="L335" s="115"/>
      <c r="M335" s="111"/>
      <c r="N335" s="111"/>
      <c r="O335" s="111"/>
      <c r="P335" s="97"/>
      <c r="Q335" s="97"/>
    </row>
    <row r="336" spans="1:17" ht="47.25" x14ac:dyDescent="0.2">
      <c r="A336" s="40"/>
      <c r="B336" s="96" t="s">
        <v>570</v>
      </c>
      <c r="C336" s="113">
        <v>992</v>
      </c>
      <c r="D336" s="133" t="s">
        <v>355</v>
      </c>
      <c r="E336" s="136" t="s">
        <v>568</v>
      </c>
      <c r="F336" s="134"/>
      <c r="G336" s="111">
        <f>SUM(G337)</f>
        <v>2250</v>
      </c>
      <c r="H336" s="111"/>
      <c r="I336" s="111">
        <f>SUM(G336)</f>
        <v>2250</v>
      </c>
      <c r="J336" s="115"/>
      <c r="K336" s="111"/>
      <c r="L336" s="115"/>
      <c r="M336" s="111">
        <f t="shared" ref="M336:O337" si="66">SUM(G336)</f>
        <v>2250</v>
      </c>
      <c r="N336" s="111">
        <f t="shared" si="66"/>
        <v>0</v>
      </c>
      <c r="O336" s="111">
        <f t="shared" si="66"/>
        <v>2250</v>
      </c>
      <c r="P336" s="97"/>
      <c r="Q336" s="97"/>
    </row>
    <row r="337" spans="1:17" ht="27" customHeight="1" x14ac:dyDescent="0.2">
      <c r="A337" s="40"/>
      <c r="B337" s="113" t="s">
        <v>70</v>
      </c>
      <c r="C337" s="113">
        <v>992</v>
      </c>
      <c r="D337" s="133" t="s">
        <v>355</v>
      </c>
      <c r="E337" s="136" t="s">
        <v>568</v>
      </c>
      <c r="F337" s="134">
        <v>800</v>
      </c>
      <c r="G337" s="111">
        <v>2250</v>
      </c>
      <c r="H337" s="111"/>
      <c r="I337" s="111">
        <f>SUM(G337)</f>
        <v>2250</v>
      </c>
      <c r="J337" s="115"/>
      <c r="K337" s="111"/>
      <c r="L337" s="115"/>
      <c r="M337" s="111">
        <f t="shared" si="66"/>
        <v>2250</v>
      </c>
      <c r="N337" s="111">
        <f t="shared" si="66"/>
        <v>0</v>
      </c>
      <c r="O337" s="111">
        <f t="shared" si="66"/>
        <v>2250</v>
      </c>
      <c r="P337" s="97"/>
      <c r="Q337" s="97"/>
    </row>
    <row r="338" spans="1:17" ht="27" customHeight="1" x14ac:dyDescent="0.2">
      <c r="A338" s="40"/>
      <c r="B338" s="118" t="s">
        <v>218</v>
      </c>
      <c r="C338" s="118" t="s">
        <v>51</v>
      </c>
      <c r="D338" s="136" t="s">
        <v>355</v>
      </c>
      <c r="E338" s="136" t="s">
        <v>219</v>
      </c>
      <c r="F338" s="141"/>
      <c r="G338" s="114">
        <f>G339</f>
        <v>3478.2</v>
      </c>
      <c r="H338" s="114">
        <f t="shared" ref="H338:O338" si="67">H339</f>
        <v>0</v>
      </c>
      <c r="I338" s="114">
        <f t="shared" si="67"/>
        <v>3478.2</v>
      </c>
      <c r="J338" s="114">
        <f t="shared" si="67"/>
        <v>3300</v>
      </c>
      <c r="K338" s="114">
        <f t="shared" si="67"/>
        <v>0</v>
      </c>
      <c r="L338" s="114">
        <f t="shared" si="67"/>
        <v>3300</v>
      </c>
      <c r="M338" s="114">
        <f t="shared" si="67"/>
        <v>6778.2</v>
      </c>
      <c r="N338" s="114">
        <f t="shared" si="67"/>
        <v>0</v>
      </c>
      <c r="O338" s="114">
        <f t="shared" si="67"/>
        <v>6778.2</v>
      </c>
      <c r="P338" s="97"/>
      <c r="Q338" s="97"/>
    </row>
    <row r="339" spans="1:17" ht="15.75" x14ac:dyDescent="0.2">
      <c r="A339" s="40"/>
      <c r="B339" s="135" t="s">
        <v>374</v>
      </c>
      <c r="C339" s="113">
        <v>992</v>
      </c>
      <c r="D339" s="133" t="s">
        <v>355</v>
      </c>
      <c r="E339" s="136" t="s">
        <v>375</v>
      </c>
      <c r="F339" s="134"/>
      <c r="G339" s="111">
        <f t="shared" ref="G339:O341" si="68">G340</f>
        <v>3478.2</v>
      </c>
      <c r="H339" s="111">
        <f t="shared" si="68"/>
        <v>0</v>
      </c>
      <c r="I339" s="111">
        <f t="shared" si="68"/>
        <v>3478.2</v>
      </c>
      <c r="J339" s="115">
        <f t="shared" si="68"/>
        <v>3300</v>
      </c>
      <c r="K339" s="111">
        <f t="shared" si="68"/>
        <v>0</v>
      </c>
      <c r="L339" s="115">
        <f t="shared" si="68"/>
        <v>3300</v>
      </c>
      <c r="M339" s="111">
        <f t="shared" si="68"/>
        <v>6778.2</v>
      </c>
      <c r="N339" s="111">
        <f t="shared" si="68"/>
        <v>0</v>
      </c>
      <c r="O339" s="111">
        <f t="shared" si="68"/>
        <v>6778.2</v>
      </c>
      <c r="P339" s="97"/>
      <c r="Q339" s="97"/>
    </row>
    <row r="340" spans="1:17" ht="31.5" x14ac:dyDescent="0.2">
      <c r="A340" s="40"/>
      <c r="B340" s="135" t="s">
        <v>376</v>
      </c>
      <c r="C340" s="113">
        <v>992</v>
      </c>
      <c r="D340" s="133" t="s">
        <v>355</v>
      </c>
      <c r="E340" s="136" t="s">
        <v>377</v>
      </c>
      <c r="F340" s="134"/>
      <c r="G340" s="111">
        <f t="shared" ref="G340:M340" si="69">G341+G343</f>
        <v>3478.2</v>
      </c>
      <c r="H340" s="111">
        <f t="shared" si="69"/>
        <v>0</v>
      </c>
      <c r="I340" s="111">
        <f t="shared" si="69"/>
        <v>3478.2</v>
      </c>
      <c r="J340" s="115">
        <f t="shared" si="69"/>
        <v>3300</v>
      </c>
      <c r="K340" s="111">
        <f t="shared" si="69"/>
        <v>0</v>
      </c>
      <c r="L340" s="115">
        <f t="shared" si="69"/>
        <v>3300</v>
      </c>
      <c r="M340" s="111">
        <f t="shared" si="69"/>
        <v>6778.2</v>
      </c>
      <c r="N340" s="111">
        <f>SUM(H340)+K340</f>
        <v>0</v>
      </c>
      <c r="O340" s="111">
        <f>O341+O343</f>
        <v>6778.2</v>
      </c>
      <c r="P340" s="97"/>
      <c r="Q340" s="97"/>
    </row>
    <row r="341" spans="1:17" ht="15.75" x14ac:dyDescent="0.2">
      <c r="A341" s="40"/>
      <c r="B341" s="135" t="s">
        <v>378</v>
      </c>
      <c r="C341" s="113">
        <v>992</v>
      </c>
      <c r="D341" s="133" t="s">
        <v>355</v>
      </c>
      <c r="E341" s="136" t="s">
        <v>379</v>
      </c>
      <c r="F341" s="134"/>
      <c r="G341" s="111">
        <f t="shared" si="68"/>
        <v>1914.2</v>
      </c>
      <c r="H341" s="111">
        <f t="shared" si="68"/>
        <v>0</v>
      </c>
      <c r="I341" s="111">
        <f t="shared" si="68"/>
        <v>1914.2</v>
      </c>
      <c r="J341" s="115">
        <f t="shared" si="68"/>
        <v>0</v>
      </c>
      <c r="K341" s="111"/>
      <c r="L341" s="115">
        <f t="shared" si="68"/>
        <v>0</v>
      </c>
      <c r="M341" s="111">
        <f t="shared" si="68"/>
        <v>1914.2</v>
      </c>
      <c r="N341" s="111">
        <f t="shared" si="68"/>
        <v>0</v>
      </c>
      <c r="O341" s="111">
        <f t="shared" si="68"/>
        <v>1914.2</v>
      </c>
      <c r="P341" s="97"/>
      <c r="Q341" s="97"/>
    </row>
    <row r="342" spans="1:17" ht="31.5" x14ac:dyDescent="0.2">
      <c r="A342" s="40"/>
      <c r="B342" s="113" t="s">
        <v>40</v>
      </c>
      <c r="C342" s="113">
        <v>992</v>
      </c>
      <c r="D342" s="133" t="s">
        <v>355</v>
      </c>
      <c r="E342" s="136" t="s">
        <v>379</v>
      </c>
      <c r="F342" s="134">
        <v>200</v>
      </c>
      <c r="G342" s="111">
        <v>1914.2</v>
      </c>
      <c r="H342" s="111"/>
      <c r="I342" s="111">
        <f>SUM(G342)+H342</f>
        <v>1914.2</v>
      </c>
      <c r="J342" s="115">
        <v>0</v>
      </c>
      <c r="K342" s="111"/>
      <c r="L342" s="115">
        <f>SUM(K342)</f>
        <v>0</v>
      </c>
      <c r="M342" s="111">
        <f>SUM(G342)</f>
        <v>1914.2</v>
      </c>
      <c r="N342" s="111">
        <f>SUM(H342)+K342</f>
        <v>0</v>
      </c>
      <c r="O342" s="111">
        <f>SUM(I342)+L342</f>
        <v>1914.2</v>
      </c>
      <c r="P342" s="97"/>
      <c r="Q342" s="97"/>
    </row>
    <row r="343" spans="1:17" ht="47.25" x14ac:dyDescent="0.2">
      <c r="A343" s="40"/>
      <c r="B343" s="113" t="s">
        <v>372</v>
      </c>
      <c r="C343" s="113">
        <v>992</v>
      </c>
      <c r="D343" s="133" t="s">
        <v>355</v>
      </c>
      <c r="E343" s="136" t="s">
        <v>549</v>
      </c>
      <c r="F343" s="134"/>
      <c r="G343" s="111">
        <f>SUM(G344)</f>
        <v>1564</v>
      </c>
      <c r="H343" s="111">
        <f>SUM(H344)</f>
        <v>0</v>
      </c>
      <c r="I343" s="111">
        <f>SUM(G343)+H343</f>
        <v>1564</v>
      </c>
      <c r="J343" s="115">
        <f>SUM(J344)</f>
        <v>3300</v>
      </c>
      <c r="K343" s="111"/>
      <c r="L343" s="115">
        <v>3300</v>
      </c>
      <c r="M343" s="111">
        <f t="shared" ref="M343:O344" si="70">SUM(G343+J343)</f>
        <v>4864</v>
      </c>
      <c r="N343" s="111">
        <f t="shared" si="70"/>
        <v>0</v>
      </c>
      <c r="O343" s="111">
        <f t="shared" si="70"/>
        <v>4864</v>
      </c>
      <c r="P343" s="97"/>
      <c r="Q343" s="97"/>
    </row>
    <row r="344" spans="1:17" ht="31.5" x14ac:dyDescent="0.2">
      <c r="A344" s="40"/>
      <c r="B344" s="113" t="s">
        <v>40</v>
      </c>
      <c r="C344" s="113">
        <v>992</v>
      </c>
      <c r="D344" s="133" t="s">
        <v>355</v>
      </c>
      <c r="E344" s="136" t="s">
        <v>549</v>
      </c>
      <c r="F344" s="134">
        <v>200</v>
      </c>
      <c r="G344" s="111">
        <v>1564</v>
      </c>
      <c r="H344" s="111"/>
      <c r="I344" s="111">
        <f>SUM(G344)+H344</f>
        <v>1564</v>
      </c>
      <c r="J344" s="115">
        <v>3300</v>
      </c>
      <c r="K344" s="111"/>
      <c r="L344" s="115">
        <v>3300</v>
      </c>
      <c r="M344" s="111">
        <f t="shared" si="70"/>
        <v>4864</v>
      </c>
      <c r="N344" s="111">
        <f t="shared" si="70"/>
        <v>0</v>
      </c>
      <c r="O344" s="111">
        <f t="shared" si="70"/>
        <v>4864</v>
      </c>
      <c r="P344" s="97"/>
      <c r="Q344" s="97"/>
    </row>
    <row r="345" spans="1:17" ht="47.25" x14ac:dyDescent="0.2">
      <c r="A345" s="40"/>
      <c r="B345" s="113" t="s">
        <v>105</v>
      </c>
      <c r="C345" s="113" t="s">
        <v>51</v>
      </c>
      <c r="D345" s="133" t="s">
        <v>355</v>
      </c>
      <c r="E345" s="133" t="s">
        <v>106</v>
      </c>
      <c r="F345" s="134" t="s">
        <v>11</v>
      </c>
      <c r="G345" s="111">
        <f>G346</f>
        <v>300</v>
      </c>
      <c r="H345" s="111"/>
      <c r="I345" s="111">
        <f>I346</f>
        <v>300</v>
      </c>
      <c r="J345" s="114">
        <f t="shared" ref="G345:O348" si="71">J346</f>
        <v>600</v>
      </c>
      <c r="K345" s="111">
        <f>K346</f>
        <v>0</v>
      </c>
      <c r="L345" s="114">
        <f t="shared" si="71"/>
        <v>600</v>
      </c>
      <c r="M345" s="111">
        <f t="shared" si="71"/>
        <v>900</v>
      </c>
      <c r="N345" s="111">
        <f>SUM(K345)</f>
        <v>0</v>
      </c>
      <c r="O345" s="111">
        <f t="shared" si="71"/>
        <v>900</v>
      </c>
      <c r="P345" s="97"/>
      <c r="Q345" s="97"/>
    </row>
    <row r="346" spans="1:17" ht="31.5" x14ac:dyDescent="0.2">
      <c r="A346" s="40"/>
      <c r="B346" s="113" t="s">
        <v>107</v>
      </c>
      <c r="C346" s="113" t="s">
        <v>51</v>
      </c>
      <c r="D346" s="133" t="s">
        <v>355</v>
      </c>
      <c r="E346" s="133" t="s">
        <v>108</v>
      </c>
      <c r="F346" s="134" t="s">
        <v>11</v>
      </c>
      <c r="G346" s="111">
        <f t="shared" si="71"/>
        <v>300</v>
      </c>
      <c r="H346" s="111">
        <f t="shared" si="71"/>
        <v>0</v>
      </c>
      <c r="I346" s="111">
        <f t="shared" si="71"/>
        <v>300</v>
      </c>
      <c r="J346" s="114">
        <f t="shared" si="71"/>
        <v>600</v>
      </c>
      <c r="K346" s="111">
        <f>K347</f>
        <v>0</v>
      </c>
      <c r="L346" s="114">
        <f t="shared" si="71"/>
        <v>600</v>
      </c>
      <c r="M346" s="111">
        <f t="shared" si="71"/>
        <v>900</v>
      </c>
      <c r="N346" s="111">
        <f t="shared" si="71"/>
        <v>0</v>
      </c>
      <c r="O346" s="111">
        <f>N346+M346</f>
        <v>900</v>
      </c>
      <c r="P346" s="97"/>
      <c r="Q346" s="97"/>
    </row>
    <row r="347" spans="1:17" ht="31.5" x14ac:dyDescent="0.2">
      <c r="A347" s="40"/>
      <c r="B347" s="113" t="s">
        <v>109</v>
      </c>
      <c r="C347" s="113" t="s">
        <v>51</v>
      </c>
      <c r="D347" s="133" t="s">
        <v>355</v>
      </c>
      <c r="E347" s="133" t="s">
        <v>110</v>
      </c>
      <c r="F347" s="134" t="s">
        <v>11</v>
      </c>
      <c r="G347" s="111">
        <f t="shared" si="71"/>
        <v>300</v>
      </c>
      <c r="H347" s="111">
        <f t="shared" si="71"/>
        <v>0</v>
      </c>
      <c r="I347" s="111">
        <f t="shared" si="71"/>
        <v>300</v>
      </c>
      <c r="J347" s="114">
        <f>J348+J350</f>
        <v>600</v>
      </c>
      <c r="K347" s="111">
        <f>K348+K350</f>
        <v>0</v>
      </c>
      <c r="L347" s="111">
        <f>L348+L350</f>
        <v>600</v>
      </c>
      <c r="M347" s="111">
        <f>M348+J347</f>
        <v>900</v>
      </c>
      <c r="N347" s="111">
        <f>SUM(K347)</f>
        <v>0</v>
      </c>
      <c r="O347" s="111">
        <f>O348+L347</f>
        <v>900</v>
      </c>
      <c r="P347" s="97"/>
      <c r="Q347" s="97"/>
    </row>
    <row r="348" spans="1:17" ht="31.5" x14ac:dyDescent="0.2">
      <c r="A348" s="40"/>
      <c r="B348" s="113" t="s">
        <v>114</v>
      </c>
      <c r="C348" s="113" t="s">
        <v>51</v>
      </c>
      <c r="D348" s="133" t="s">
        <v>355</v>
      </c>
      <c r="E348" s="133" t="s">
        <v>115</v>
      </c>
      <c r="F348" s="134" t="s">
        <v>11</v>
      </c>
      <c r="G348" s="111">
        <f>G349</f>
        <v>300</v>
      </c>
      <c r="H348" s="111"/>
      <c r="I348" s="111">
        <f>I349</f>
        <v>300</v>
      </c>
      <c r="J348" s="114">
        <f t="shared" si="71"/>
        <v>0</v>
      </c>
      <c r="K348" s="111"/>
      <c r="L348" s="114">
        <f t="shared" si="71"/>
        <v>0</v>
      </c>
      <c r="M348" s="111">
        <f t="shared" si="71"/>
        <v>300</v>
      </c>
      <c r="N348" s="111">
        <f t="shared" si="71"/>
        <v>0</v>
      </c>
      <c r="O348" s="111">
        <f t="shared" si="71"/>
        <v>300</v>
      </c>
      <c r="P348" s="97"/>
      <c r="Q348" s="97"/>
    </row>
    <row r="349" spans="1:17" ht="31.5" x14ac:dyDescent="0.2">
      <c r="A349" s="40"/>
      <c r="B349" s="113" t="s">
        <v>40</v>
      </c>
      <c r="C349" s="113" t="s">
        <v>51</v>
      </c>
      <c r="D349" s="133" t="s">
        <v>355</v>
      </c>
      <c r="E349" s="133" t="s">
        <v>115</v>
      </c>
      <c r="F349" s="134" t="s">
        <v>41</v>
      </c>
      <c r="G349" s="111">
        <v>300</v>
      </c>
      <c r="H349" s="111"/>
      <c r="I349" s="111">
        <v>300</v>
      </c>
      <c r="J349" s="115">
        <v>0</v>
      </c>
      <c r="K349" s="111"/>
      <c r="L349" s="115">
        <v>0</v>
      </c>
      <c r="M349" s="111">
        <v>300</v>
      </c>
      <c r="N349" s="111"/>
      <c r="O349" s="111">
        <v>300</v>
      </c>
      <c r="P349" s="97"/>
      <c r="Q349" s="97"/>
    </row>
    <row r="350" spans="1:17" ht="47.25" x14ac:dyDescent="0.2">
      <c r="A350" s="40"/>
      <c r="B350" s="113" t="s">
        <v>566</v>
      </c>
      <c r="C350" s="113">
        <v>992</v>
      </c>
      <c r="D350" s="133" t="s">
        <v>355</v>
      </c>
      <c r="E350" s="133">
        <v>1010160390</v>
      </c>
      <c r="F350" s="134"/>
      <c r="G350" s="111"/>
      <c r="H350" s="111"/>
      <c r="I350" s="111"/>
      <c r="J350" s="115">
        <v>600</v>
      </c>
      <c r="K350" s="111">
        <f>SUM(K351)</f>
        <v>0</v>
      </c>
      <c r="L350" s="111">
        <f>SUM(L351)</f>
        <v>600</v>
      </c>
      <c r="M350" s="111">
        <f t="shared" ref="M350:O351" si="72">SUM(J350)</f>
        <v>600</v>
      </c>
      <c r="N350" s="111">
        <f t="shared" si="72"/>
        <v>0</v>
      </c>
      <c r="O350" s="111">
        <f t="shared" si="72"/>
        <v>600</v>
      </c>
      <c r="P350" s="97"/>
      <c r="Q350" s="97"/>
    </row>
    <row r="351" spans="1:17" ht="31.5" x14ac:dyDescent="0.2">
      <c r="A351" s="40"/>
      <c r="B351" s="113" t="s">
        <v>40</v>
      </c>
      <c r="C351" s="113">
        <v>992</v>
      </c>
      <c r="D351" s="133" t="s">
        <v>355</v>
      </c>
      <c r="E351" s="133">
        <v>1010160390</v>
      </c>
      <c r="F351" s="134">
        <v>200</v>
      </c>
      <c r="G351" s="111"/>
      <c r="H351" s="111"/>
      <c r="I351" s="111"/>
      <c r="J351" s="115">
        <v>600</v>
      </c>
      <c r="K351" s="111"/>
      <c r="L351" s="115">
        <f>SUM(J351)</f>
        <v>600</v>
      </c>
      <c r="M351" s="111">
        <f t="shared" si="72"/>
        <v>600</v>
      </c>
      <c r="N351" s="111">
        <f t="shared" si="72"/>
        <v>0</v>
      </c>
      <c r="O351" s="111">
        <f t="shared" si="72"/>
        <v>600</v>
      </c>
      <c r="P351" s="97"/>
      <c r="Q351" s="97"/>
    </row>
    <row r="352" spans="1:17" ht="63" x14ac:dyDescent="0.2">
      <c r="A352" s="40"/>
      <c r="B352" s="113" t="s">
        <v>380</v>
      </c>
      <c r="C352" s="113" t="s">
        <v>51</v>
      </c>
      <c r="D352" s="133" t="s">
        <v>355</v>
      </c>
      <c r="E352" s="133" t="s">
        <v>381</v>
      </c>
      <c r="F352" s="134" t="s">
        <v>11</v>
      </c>
      <c r="G352" s="111">
        <f t="shared" ref="G352:O352" si="73">G353</f>
        <v>709.09999999999991</v>
      </c>
      <c r="H352" s="111">
        <f t="shared" si="73"/>
        <v>411.5</v>
      </c>
      <c r="I352" s="111">
        <f t="shared" si="73"/>
        <v>1120.5999999999999</v>
      </c>
      <c r="J352" s="114">
        <f t="shared" si="73"/>
        <v>0</v>
      </c>
      <c r="K352" s="111">
        <f t="shared" si="73"/>
        <v>0</v>
      </c>
      <c r="L352" s="114">
        <f t="shared" si="73"/>
        <v>0</v>
      </c>
      <c r="M352" s="111">
        <f t="shared" si="73"/>
        <v>709.09999999999991</v>
      </c>
      <c r="N352" s="111">
        <f t="shared" si="73"/>
        <v>411.5</v>
      </c>
      <c r="O352" s="111">
        <f t="shared" si="73"/>
        <v>1120.5999999999999</v>
      </c>
      <c r="P352" s="97"/>
      <c r="Q352" s="97"/>
    </row>
    <row r="353" spans="1:17" ht="47.25" x14ac:dyDescent="0.2">
      <c r="A353" s="40"/>
      <c r="B353" s="113" t="s">
        <v>382</v>
      </c>
      <c r="C353" s="113" t="s">
        <v>51</v>
      </c>
      <c r="D353" s="133" t="s">
        <v>355</v>
      </c>
      <c r="E353" s="133" t="s">
        <v>383</v>
      </c>
      <c r="F353" s="134" t="s">
        <v>11</v>
      </c>
      <c r="G353" s="111">
        <f>G354+G357</f>
        <v>709.09999999999991</v>
      </c>
      <c r="H353" s="111">
        <f>H354+H357</f>
        <v>411.5</v>
      </c>
      <c r="I353" s="111">
        <f>I354+I357</f>
        <v>1120.5999999999999</v>
      </c>
      <c r="J353" s="114">
        <f>J354</f>
        <v>0</v>
      </c>
      <c r="K353" s="111">
        <f>K354</f>
        <v>0</v>
      </c>
      <c r="L353" s="114">
        <f>L354</f>
        <v>0</v>
      </c>
      <c r="M353" s="111">
        <f>M354+M357</f>
        <v>709.09999999999991</v>
      </c>
      <c r="N353" s="111">
        <f>N354+N357</f>
        <v>411.5</v>
      </c>
      <c r="O353" s="111">
        <f>O354+O357</f>
        <v>1120.5999999999999</v>
      </c>
      <c r="P353" s="97"/>
      <c r="Q353" s="97"/>
    </row>
    <row r="354" spans="1:17" ht="63" x14ac:dyDescent="0.2">
      <c r="A354" s="40"/>
      <c r="B354" s="113" t="s">
        <v>384</v>
      </c>
      <c r="C354" s="113" t="s">
        <v>51</v>
      </c>
      <c r="D354" s="133" t="s">
        <v>355</v>
      </c>
      <c r="E354" s="136" t="s">
        <v>545</v>
      </c>
      <c r="F354" s="134" t="s">
        <v>11</v>
      </c>
      <c r="G354" s="111">
        <f>G355+G356</f>
        <v>309.39999999999998</v>
      </c>
      <c r="H354" s="111">
        <f>H355+H356</f>
        <v>46.3</v>
      </c>
      <c r="I354" s="111">
        <f>I355+I356</f>
        <v>355.7</v>
      </c>
      <c r="J354" s="114">
        <f>J355</f>
        <v>0</v>
      </c>
      <c r="K354" s="111"/>
      <c r="L354" s="114">
        <f>L355</f>
        <v>0</v>
      </c>
      <c r="M354" s="111">
        <f>M355+M356</f>
        <v>309.39999999999998</v>
      </c>
      <c r="N354" s="111">
        <f>N355+N356</f>
        <v>46.3</v>
      </c>
      <c r="O354" s="111">
        <f>O355+O356</f>
        <v>355.7</v>
      </c>
      <c r="P354" s="97"/>
      <c r="Q354" s="97"/>
    </row>
    <row r="355" spans="1:17" ht="31.5" x14ac:dyDescent="0.2">
      <c r="A355" s="40"/>
      <c r="B355" s="113" t="s">
        <v>40</v>
      </c>
      <c r="C355" s="113" t="s">
        <v>51</v>
      </c>
      <c r="D355" s="133" t="s">
        <v>355</v>
      </c>
      <c r="E355" s="136" t="s">
        <v>545</v>
      </c>
      <c r="F355" s="134" t="s">
        <v>41</v>
      </c>
      <c r="G355" s="111">
        <v>109.4</v>
      </c>
      <c r="H355" s="117">
        <v>46.3</v>
      </c>
      <c r="I355" s="111">
        <f>SUM(G355:H355)</f>
        <v>155.69999999999999</v>
      </c>
      <c r="J355" s="115">
        <v>0</v>
      </c>
      <c r="K355" s="109"/>
      <c r="L355" s="115">
        <v>0</v>
      </c>
      <c r="M355" s="111">
        <f>SUM(G355)</f>
        <v>109.4</v>
      </c>
      <c r="N355" s="111">
        <f t="shared" ref="N355:O362" si="74">SUM(H355)</f>
        <v>46.3</v>
      </c>
      <c r="O355" s="111">
        <f>SUM(I355)</f>
        <v>155.69999999999999</v>
      </c>
      <c r="P355" s="97"/>
      <c r="Q355" s="97"/>
    </row>
    <row r="356" spans="1:17" ht="31.5" x14ac:dyDescent="0.2">
      <c r="A356" s="40"/>
      <c r="B356" s="113" t="s">
        <v>112</v>
      </c>
      <c r="C356" s="113">
        <v>992</v>
      </c>
      <c r="D356" s="133" t="s">
        <v>355</v>
      </c>
      <c r="E356" s="136" t="s">
        <v>545</v>
      </c>
      <c r="F356" s="134">
        <v>300</v>
      </c>
      <c r="G356" s="111">
        <v>200</v>
      </c>
      <c r="H356" s="117"/>
      <c r="I356" s="111">
        <f>SUM(G356)</f>
        <v>200</v>
      </c>
      <c r="J356" s="115"/>
      <c r="K356" s="109"/>
      <c r="L356" s="115"/>
      <c r="M356" s="111">
        <f>SUM(G356)</f>
        <v>200</v>
      </c>
      <c r="N356" s="111">
        <f>SUM(H356)</f>
        <v>0</v>
      </c>
      <c r="O356" s="111">
        <f>SUM(I356)</f>
        <v>200</v>
      </c>
      <c r="P356" s="97"/>
      <c r="Q356" s="97"/>
    </row>
    <row r="357" spans="1:17" ht="31.5" x14ac:dyDescent="0.2">
      <c r="A357" s="40"/>
      <c r="B357" s="113" t="s">
        <v>385</v>
      </c>
      <c r="C357" s="113">
        <v>992</v>
      </c>
      <c r="D357" s="133" t="s">
        <v>355</v>
      </c>
      <c r="E357" s="133">
        <v>1400124240</v>
      </c>
      <c r="F357" s="134"/>
      <c r="G357" s="111">
        <v>399.7</v>
      </c>
      <c r="H357" s="117">
        <v>365.2</v>
      </c>
      <c r="I357" s="111">
        <f>SUM(G357)+H357</f>
        <v>764.9</v>
      </c>
      <c r="J357" s="115"/>
      <c r="K357" s="109"/>
      <c r="L357" s="115"/>
      <c r="M357" s="111">
        <f>SUM(G357)</f>
        <v>399.7</v>
      </c>
      <c r="N357" s="111">
        <f t="shared" si="74"/>
        <v>365.2</v>
      </c>
      <c r="O357" s="111">
        <f t="shared" si="74"/>
        <v>764.9</v>
      </c>
      <c r="P357" s="97"/>
      <c r="Q357" s="97"/>
    </row>
    <row r="358" spans="1:17" ht="31.5" x14ac:dyDescent="0.2">
      <c r="A358" s="40"/>
      <c r="B358" s="113" t="s">
        <v>40</v>
      </c>
      <c r="C358" s="113">
        <v>992</v>
      </c>
      <c r="D358" s="133" t="s">
        <v>355</v>
      </c>
      <c r="E358" s="133">
        <v>1400124240</v>
      </c>
      <c r="F358" s="134">
        <v>200</v>
      </c>
      <c r="G358" s="111">
        <v>399.7</v>
      </c>
      <c r="H358" s="117">
        <v>365.2</v>
      </c>
      <c r="I358" s="111">
        <f>SUM(G358)+H358</f>
        <v>764.9</v>
      </c>
      <c r="J358" s="115"/>
      <c r="K358" s="109"/>
      <c r="L358" s="115"/>
      <c r="M358" s="111">
        <f>SUM(G358)</f>
        <v>399.7</v>
      </c>
      <c r="N358" s="111">
        <f t="shared" si="74"/>
        <v>365.2</v>
      </c>
      <c r="O358" s="111">
        <f t="shared" si="74"/>
        <v>764.9</v>
      </c>
      <c r="P358" s="97"/>
      <c r="Q358" s="97"/>
    </row>
    <row r="359" spans="1:17" ht="31.5" x14ac:dyDescent="0.2">
      <c r="A359" s="40"/>
      <c r="B359" s="113" t="s">
        <v>66</v>
      </c>
      <c r="C359" s="113">
        <v>992</v>
      </c>
      <c r="D359" s="133" t="s">
        <v>355</v>
      </c>
      <c r="E359" s="133">
        <v>5200000000</v>
      </c>
      <c r="F359" s="134"/>
      <c r="G359" s="111">
        <v>2838.5</v>
      </c>
      <c r="H359" s="117">
        <f>SUM(H361)</f>
        <v>0</v>
      </c>
      <c r="I359" s="111">
        <f t="shared" ref="I359:I362" si="75">SUM(G359)</f>
        <v>2838.5</v>
      </c>
      <c r="J359" s="115"/>
      <c r="K359" s="109"/>
      <c r="L359" s="115"/>
      <c r="M359" s="111">
        <v>2838.5</v>
      </c>
      <c r="N359" s="111">
        <f t="shared" si="74"/>
        <v>0</v>
      </c>
      <c r="O359" s="111">
        <f t="shared" si="74"/>
        <v>2838.5</v>
      </c>
      <c r="P359" s="97"/>
      <c r="Q359" s="97"/>
    </row>
    <row r="360" spans="1:17" ht="31.5" x14ac:dyDescent="0.2">
      <c r="A360" s="40"/>
      <c r="B360" s="113" t="s">
        <v>80</v>
      </c>
      <c r="C360" s="113">
        <v>992</v>
      </c>
      <c r="D360" s="133" t="s">
        <v>355</v>
      </c>
      <c r="E360" s="133">
        <v>5230000000</v>
      </c>
      <c r="F360" s="134"/>
      <c r="G360" s="111">
        <v>2838.5</v>
      </c>
      <c r="H360" s="117">
        <f>SUM(H362)</f>
        <v>0</v>
      </c>
      <c r="I360" s="111">
        <f t="shared" si="75"/>
        <v>2838.5</v>
      </c>
      <c r="J360" s="115"/>
      <c r="K360" s="109"/>
      <c r="L360" s="115"/>
      <c r="M360" s="111">
        <f>SUM(M362)</f>
        <v>2838.5</v>
      </c>
      <c r="N360" s="111">
        <f t="shared" si="74"/>
        <v>0</v>
      </c>
      <c r="O360" s="111">
        <f t="shared" si="74"/>
        <v>2838.5</v>
      </c>
      <c r="P360" s="97"/>
      <c r="Q360" s="97"/>
    </row>
    <row r="361" spans="1:17" ht="31.5" x14ac:dyDescent="0.2">
      <c r="A361" s="40"/>
      <c r="B361" s="113" t="s">
        <v>82</v>
      </c>
      <c r="C361" s="113">
        <v>992</v>
      </c>
      <c r="D361" s="133" t="s">
        <v>355</v>
      </c>
      <c r="E361" s="133">
        <v>5230010490</v>
      </c>
      <c r="F361" s="134"/>
      <c r="G361" s="111">
        <v>2838.5</v>
      </c>
      <c r="H361" s="117">
        <f>SUM(H362)</f>
        <v>0</v>
      </c>
      <c r="I361" s="111">
        <f t="shared" si="75"/>
        <v>2838.5</v>
      </c>
      <c r="J361" s="115"/>
      <c r="K361" s="109"/>
      <c r="L361" s="115"/>
      <c r="M361" s="111">
        <f>SUM(G361)</f>
        <v>2838.5</v>
      </c>
      <c r="N361" s="111">
        <f t="shared" si="74"/>
        <v>0</v>
      </c>
      <c r="O361" s="111">
        <f t="shared" si="74"/>
        <v>2838.5</v>
      </c>
      <c r="P361" s="97"/>
      <c r="Q361" s="97"/>
    </row>
    <row r="362" spans="1:17" ht="29.25" customHeight="1" x14ac:dyDescent="0.2">
      <c r="A362" s="40"/>
      <c r="B362" s="113" t="s">
        <v>40</v>
      </c>
      <c r="C362" s="113">
        <v>992</v>
      </c>
      <c r="D362" s="133" t="s">
        <v>355</v>
      </c>
      <c r="E362" s="133">
        <v>5230010490</v>
      </c>
      <c r="F362" s="134">
        <v>200</v>
      </c>
      <c r="G362" s="111">
        <v>2838.5</v>
      </c>
      <c r="H362" s="117"/>
      <c r="I362" s="111">
        <f t="shared" si="75"/>
        <v>2838.5</v>
      </c>
      <c r="J362" s="115"/>
      <c r="K362" s="109"/>
      <c r="L362" s="115"/>
      <c r="M362" s="111">
        <f>SUM(G362)</f>
        <v>2838.5</v>
      </c>
      <c r="N362" s="111">
        <f t="shared" si="74"/>
        <v>0</v>
      </c>
      <c r="O362" s="111">
        <f t="shared" si="74"/>
        <v>2838.5</v>
      </c>
      <c r="P362" s="97"/>
      <c r="Q362" s="97"/>
    </row>
    <row r="363" spans="1:17" ht="31.5" hidden="1" x14ac:dyDescent="0.2">
      <c r="A363" s="40"/>
      <c r="B363" s="113" t="s">
        <v>40</v>
      </c>
      <c r="C363" s="113"/>
      <c r="D363" s="133"/>
      <c r="E363" s="133"/>
      <c r="F363" s="134"/>
      <c r="G363" s="111"/>
      <c r="H363" s="109"/>
      <c r="I363" s="111"/>
      <c r="J363" s="115"/>
      <c r="K363" s="109"/>
      <c r="L363" s="115"/>
      <c r="M363" s="111"/>
      <c r="N363" s="111"/>
      <c r="O363" s="111"/>
      <c r="P363" s="97"/>
      <c r="Q363" s="97"/>
    </row>
    <row r="364" spans="1:17" ht="31.5" x14ac:dyDescent="0.2">
      <c r="A364" s="33" t="s">
        <v>386</v>
      </c>
      <c r="B364" s="110" t="s">
        <v>387</v>
      </c>
      <c r="C364" s="110" t="s">
        <v>51</v>
      </c>
      <c r="D364" s="131" t="s">
        <v>388</v>
      </c>
      <c r="E364" s="131" t="s">
        <v>11</v>
      </c>
      <c r="F364" s="132" t="s">
        <v>11</v>
      </c>
      <c r="G364" s="109">
        <f t="shared" ref="G364:O365" si="76">G365</f>
        <v>103932</v>
      </c>
      <c r="H364" s="111">
        <f t="shared" si="76"/>
        <v>0</v>
      </c>
      <c r="I364" s="109">
        <f t="shared" si="76"/>
        <v>103932</v>
      </c>
      <c r="J364" s="112">
        <f t="shared" si="76"/>
        <v>0</v>
      </c>
      <c r="K364" s="111">
        <f t="shared" si="76"/>
        <v>0</v>
      </c>
      <c r="L364" s="112">
        <f t="shared" si="76"/>
        <v>0</v>
      </c>
      <c r="M364" s="109">
        <f t="shared" si="76"/>
        <v>103932</v>
      </c>
      <c r="N364" s="109">
        <f t="shared" si="76"/>
        <v>0</v>
      </c>
      <c r="O364" s="109">
        <f t="shared" si="76"/>
        <v>103932</v>
      </c>
      <c r="P364" s="97"/>
      <c r="Q364" s="97"/>
    </row>
    <row r="365" spans="1:17" ht="31.5" x14ac:dyDescent="0.2">
      <c r="A365" s="40"/>
      <c r="B365" s="113" t="s">
        <v>245</v>
      </c>
      <c r="C365" s="113" t="s">
        <v>51</v>
      </c>
      <c r="D365" s="133" t="s">
        <v>388</v>
      </c>
      <c r="E365" s="133" t="s">
        <v>246</v>
      </c>
      <c r="F365" s="134" t="s">
        <v>11</v>
      </c>
      <c r="G365" s="111">
        <f t="shared" si="76"/>
        <v>103932</v>
      </c>
      <c r="H365" s="111">
        <f t="shared" si="76"/>
        <v>0</v>
      </c>
      <c r="I365" s="111">
        <f t="shared" si="76"/>
        <v>103932</v>
      </c>
      <c r="J365" s="114">
        <f t="shared" si="76"/>
        <v>0</v>
      </c>
      <c r="K365" s="111">
        <f>K366+K369</f>
        <v>0</v>
      </c>
      <c r="L365" s="114">
        <f t="shared" si="76"/>
        <v>0</v>
      </c>
      <c r="M365" s="111">
        <f t="shared" si="76"/>
        <v>103932</v>
      </c>
      <c r="N365" s="111">
        <f t="shared" si="76"/>
        <v>0</v>
      </c>
      <c r="O365" s="111">
        <f t="shared" si="76"/>
        <v>103932</v>
      </c>
      <c r="P365" s="97"/>
      <c r="Q365" s="97"/>
    </row>
    <row r="366" spans="1:17" ht="15.75" x14ac:dyDescent="0.2">
      <c r="A366" s="40"/>
      <c r="B366" s="113" t="s">
        <v>247</v>
      </c>
      <c r="C366" s="113" t="s">
        <v>51</v>
      </c>
      <c r="D366" s="133" t="s">
        <v>388</v>
      </c>
      <c r="E366" s="133" t="s">
        <v>248</v>
      </c>
      <c r="F366" s="134" t="s">
        <v>11</v>
      </c>
      <c r="G366" s="111">
        <f>G367+G370</f>
        <v>103932</v>
      </c>
      <c r="H366" s="111">
        <f>SUM(H370)+H367</f>
        <v>0</v>
      </c>
      <c r="I366" s="111">
        <f>I367+I370</f>
        <v>103932</v>
      </c>
      <c r="J366" s="114">
        <f>J367+J370</f>
        <v>0</v>
      </c>
      <c r="K366" s="111">
        <f t="shared" ref="G366:O368" si="77">K367</f>
        <v>0</v>
      </c>
      <c r="L366" s="114">
        <f>L367+L370</f>
        <v>0</v>
      </c>
      <c r="M366" s="111">
        <f>M367+M370</f>
        <v>103932</v>
      </c>
      <c r="N366" s="111">
        <f>N367+N370</f>
        <v>0</v>
      </c>
      <c r="O366" s="111">
        <f>O367+O370</f>
        <v>103932</v>
      </c>
      <c r="P366" s="97"/>
      <c r="Q366" s="97"/>
    </row>
    <row r="367" spans="1:17" ht="31.5" x14ac:dyDescent="0.2">
      <c r="A367" s="40"/>
      <c r="B367" s="113" t="s">
        <v>389</v>
      </c>
      <c r="C367" s="113" t="s">
        <v>51</v>
      </c>
      <c r="D367" s="133" t="s">
        <v>388</v>
      </c>
      <c r="E367" s="133" t="s">
        <v>390</v>
      </c>
      <c r="F367" s="134" t="s">
        <v>11</v>
      </c>
      <c r="G367" s="111">
        <f t="shared" si="77"/>
        <v>8699.1</v>
      </c>
      <c r="H367" s="111">
        <f t="shared" si="77"/>
        <v>0</v>
      </c>
      <c r="I367" s="111">
        <f t="shared" si="77"/>
        <v>8699.1</v>
      </c>
      <c r="J367" s="114">
        <f t="shared" si="77"/>
        <v>0</v>
      </c>
      <c r="K367" s="111">
        <f t="shared" si="77"/>
        <v>0</v>
      </c>
      <c r="L367" s="114">
        <f t="shared" si="77"/>
        <v>0</v>
      </c>
      <c r="M367" s="111">
        <f t="shared" si="77"/>
        <v>8699.1</v>
      </c>
      <c r="N367" s="111">
        <f t="shared" si="77"/>
        <v>0</v>
      </c>
      <c r="O367" s="111">
        <f t="shared" si="77"/>
        <v>8699.1</v>
      </c>
      <c r="P367" s="97"/>
      <c r="Q367" s="97"/>
    </row>
    <row r="368" spans="1:17" ht="31.5" x14ac:dyDescent="0.2">
      <c r="A368" s="40"/>
      <c r="B368" s="113" t="s">
        <v>134</v>
      </c>
      <c r="C368" s="113" t="s">
        <v>51</v>
      </c>
      <c r="D368" s="133" t="s">
        <v>388</v>
      </c>
      <c r="E368" s="133" t="s">
        <v>391</v>
      </c>
      <c r="F368" s="134" t="s">
        <v>11</v>
      </c>
      <c r="G368" s="111">
        <f t="shared" si="77"/>
        <v>8699.1</v>
      </c>
      <c r="H368" s="111"/>
      <c r="I368" s="111">
        <f t="shared" si="77"/>
        <v>8699.1</v>
      </c>
      <c r="J368" s="114">
        <f t="shared" si="77"/>
        <v>0</v>
      </c>
      <c r="K368" s="111"/>
      <c r="L368" s="114">
        <f t="shared" si="77"/>
        <v>0</v>
      </c>
      <c r="M368" s="111">
        <f t="shared" si="77"/>
        <v>8699.1</v>
      </c>
      <c r="N368" s="111">
        <f t="shared" si="77"/>
        <v>0</v>
      </c>
      <c r="O368" s="111">
        <f t="shared" si="77"/>
        <v>8699.1</v>
      </c>
      <c r="P368" s="97"/>
      <c r="Q368" s="97"/>
    </row>
    <row r="369" spans="1:17" ht="33.6" customHeight="1" x14ac:dyDescent="0.2">
      <c r="A369" s="40"/>
      <c r="B369" s="113" t="s">
        <v>95</v>
      </c>
      <c r="C369" s="113" t="s">
        <v>51</v>
      </c>
      <c r="D369" s="133" t="s">
        <v>388</v>
      </c>
      <c r="E369" s="133" t="s">
        <v>391</v>
      </c>
      <c r="F369" s="134" t="s">
        <v>96</v>
      </c>
      <c r="G369" s="111">
        <v>8699.1</v>
      </c>
      <c r="H369" s="111"/>
      <c r="I369" s="111">
        <f>SUM(G369)</f>
        <v>8699.1</v>
      </c>
      <c r="J369" s="115">
        <v>0</v>
      </c>
      <c r="K369" s="111"/>
      <c r="L369" s="115">
        <v>0</v>
      </c>
      <c r="M369" s="111">
        <f>SUM(G369)</f>
        <v>8699.1</v>
      </c>
      <c r="N369" s="111">
        <f>SUM(H369)</f>
        <v>0</v>
      </c>
      <c r="O369" s="111">
        <f>SUM(I369)</f>
        <v>8699.1</v>
      </c>
      <c r="P369" s="97"/>
      <c r="Q369" s="97"/>
    </row>
    <row r="370" spans="1:17" ht="47.25" x14ac:dyDescent="0.2">
      <c r="A370" s="40"/>
      <c r="B370" s="113" t="s">
        <v>249</v>
      </c>
      <c r="C370" s="113" t="s">
        <v>51</v>
      </c>
      <c r="D370" s="133" t="s">
        <v>388</v>
      </c>
      <c r="E370" s="133" t="s">
        <v>250</v>
      </c>
      <c r="F370" s="134" t="s">
        <v>11</v>
      </c>
      <c r="G370" s="111">
        <f>G371+G373+G375</f>
        <v>95232.9</v>
      </c>
      <c r="H370" s="111">
        <f>H371+H375+H373</f>
        <v>0</v>
      </c>
      <c r="I370" s="111">
        <f>I371+I375+I373</f>
        <v>95232.9</v>
      </c>
      <c r="J370" s="114">
        <f t="shared" ref="G370:O371" si="78">J371</f>
        <v>0</v>
      </c>
      <c r="K370" s="111">
        <f t="shared" si="78"/>
        <v>0</v>
      </c>
      <c r="L370" s="114">
        <f t="shared" si="78"/>
        <v>0</v>
      </c>
      <c r="M370" s="111">
        <f>M371+M373+M375</f>
        <v>95232.9</v>
      </c>
      <c r="N370" s="111">
        <f>N371+N375+N373</f>
        <v>0</v>
      </c>
      <c r="O370" s="111">
        <f>O371+O375+O373</f>
        <v>95232.9</v>
      </c>
      <c r="P370" s="97"/>
      <c r="Q370" s="97"/>
    </row>
    <row r="371" spans="1:17" ht="31.5" x14ac:dyDescent="0.2">
      <c r="A371" s="40"/>
      <c r="B371" s="113" t="s">
        <v>134</v>
      </c>
      <c r="C371" s="113" t="s">
        <v>51</v>
      </c>
      <c r="D371" s="133" t="s">
        <v>388</v>
      </c>
      <c r="E371" s="133" t="s">
        <v>251</v>
      </c>
      <c r="F371" s="134" t="s">
        <v>11</v>
      </c>
      <c r="G371" s="111">
        <f t="shared" si="78"/>
        <v>93312.9</v>
      </c>
      <c r="H371" s="111">
        <f t="shared" si="78"/>
        <v>0</v>
      </c>
      <c r="I371" s="111">
        <f t="shared" si="78"/>
        <v>93312.9</v>
      </c>
      <c r="J371" s="114">
        <f t="shared" si="78"/>
        <v>0</v>
      </c>
      <c r="K371" s="111"/>
      <c r="L371" s="114">
        <f t="shared" si="78"/>
        <v>0</v>
      </c>
      <c r="M371" s="111">
        <f t="shared" si="78"/>
        <v>93312.9</v>
      </c>
      <c r="N371" s="111">
        <f t="shared" si="78"/>
        <v>0</v>
      </c>
      <c r="O371" s="111">
        <f t="shared" si="78"/>
        <v>93312.9</v>
      </c>
      <c r="P371" s="97"/>
      <c r="Q371" s="97"/>
    </row>
    <row r="372" spans="1:17" ht="33.6" customHeight="1" x14ac:dyDescent="0.2">
      <c r="A372" s="40"/>
      <c r="B372" s="113" t="s">
        <v>95</v>
      </c>
      <c r="C372" s="113" t="s">
        <v>51</v>
      </c>
      <c r="D372" s="133" t="s">
        <v>388</v>
      </c>
      <c r="E372" s="133" t="s">
        <v>251</v>
      </c>
      <c r="F372" s="134" t="s">
        <v>96</v>
      </c>
      <c r="G372" s="111">
        <v>93312.9</v>
      </c>
      <c r="H372" s="111"/>
      <c r="I372" s="111">
        <f>SUM(G372)+H372</f>
        <v>93312.9</v>
      </c>
      <c r="J372" s="115">
        <v>0</v>
      </c>
      <c r="K372" s="106"/>
      <c r="L372" s="115">
        <v>0</v>
      </c>
      <c r="M372" s="111">
        <f>SUM(G372)</f>
        <v>93312.9</v>
      </c>
      <c r="N372" s="111">
        <f>SUM(H372)</f>
        <v>0</v>
      </c>
      <c r="O372" s="111">
        <f>SUM(M372)+N372</f>
        <v>93312.9</v>
      </c>
      <c r="P372" s="97"/>
      <c r="Q372" s="97"/>
    </row>
    <row r="373" spans="1:17" ht="33.6" customHeight="1" x14ac:dyDescent="0.2">
      <c r="A373" s="40"/>
      <c r="B373" s="145" t="s">
        <v>392</v>
      </c>
      <c r="C373" s="113">
        <v>992</v>
      </c>
      <c r="D373" s="133" t="s">
        <v>388</v>
      </c>
      <c r="E373" s="136" t="s">
        <v>393</v>
      </c>
      <c r="F373" s="134"/>
      <c r="G373" s="111">
        <f>SUM(G374)</f>
        <v>779</v>
      </c>
      <c r="H373" s="111"/>
      <c r="I373" s="111">
        <f>SUM(G373)</f>
        <v>779</v>
      </c>
      <c r="J373" s="115"/>
      <c r="K373" s="106"/>
      <c r="L373" s="115"/>
      <c r="M373" s="111">
        <f>SUM(G373)</f>
        <v>779</v>
      </c>
      <c r="N373" s="111">
        <f t="shared" ref="N373:O376" si="79">SUM(H373)</f>
        <v>0</v>
      </c>
      <c r="O373" s="111">
        <f t="shared" si="79"/>
        <v>779</v>
      </c>
      <c r="P373" s="97"/>
      <c r="Q373" s="97"/>
    </row>
    <row r="374" spans="1:17" ht="33.6" customHeight="1" x14ac:dyDescent="0.2">
      <c r="A374" s="40"/>
      <c r="B374" s="113" t="s">
        <v>95</v>
      </c>
      <c r="C374" s="113">
        <v>992</v>
      </c>
      <c r="D374" s="133" t="s">
        <v>388</v>
      </c>
      <c r="E374" s="136" t="s">
        <v>393</v>
      </c>
      <c r="F374" s="134">
        <v>600</v>
      </c>
      <c r="G374" s="111">
        <v>779</v>
      </c>
      <c r="H374" s="111"/>
      <c r="I374" s="111">
        <f>SUM(G374)</f>
        <v>779</v>
      </c>
      <c r="J374" s="115"/>
      <c r="K374" s="106"/>
      <c r="L374" s="115"/>
      <c r="M374" s="111">
        <f>SUM(G374)</f>
        <v>779</v>
      </c>
      <c r="N374" s="111">
        <f t="shared" si="79"/>
        <v>0</v>
      </c>
      <c r="O374" s="111">
        <f t="shared" si="79"/>
        <v>779</v>
      </c>
      <c r="P374" s="97"/>
      <c r="Q374" s="97"/>
    </row>
    <row r="375" spans="1:17" ht="51" customHeight="1" x14ac:dyDescent="0.2">
      <c r="A375" s="40"/>
      <c r="B375" s="113" t="s">
        <v>283</v>
      </c>
      <c r="C375" s="113">
        <v>992</v>
      </c>
      <c r="D375" s="133" t="s">
        <v>388</v>
      </c>
      <c r="E375" s="136" t="s">
        <v>284</v>
      </c>
      <c r="F375" s="134"/>
      <c r="G375" s="111">
        <f>SUM(G376)</f>
        <v>1141</v>
      </c>
      <c r="H375" s="111">
        <f>SUM(H376)</f>
        <v>0</v>
      </c>
      <c r="I375" s="111">
        <f>SUM(G375)</f>
        <v>1141</v>
      </c>
      <c r="J375" s="115"/>
      <c r="K375" s="106"/>
      <c r="L375" s="115"/>
      <c r="M375" s="111">
        <f>SUM(G375)</f>
        <v>1141</v>
      </c>
      <c r="N375" s="111">
        <f t="shared" si="79"/>
        <v>0</v>
      </c>
      <c r="O375" s="111">
        <f t="shared" si="79"/>
        <v>1141</v>
      </c>
      <c r="P375" s="97"/>
      <c r="Q375" s="97"/>
    </row>
    <row r="376" spans="1:17" ht="33.6" customHeight="1" x14ac:dyDescent="0.2">
      <c r="A376" s="40"/>
      <c r="B376" s="113" t="s">
        <v>95</v>
      </c>
      <c r="C376" s="113">
        <v>992</v>
      </c>
      <c r="D376" s="133" t="s">
        <v>388</v>
      </c>
      <c r="E376" s="136" t="s">
        <v>284</v>
      </c>
      <c r="F376" s="134">
        <v>600</v>
      </c>
      <c r="G376" s="111">
        <v>1141</v>
      </c>
      <c r="H376" s="111"/>
      <c r="I376" s="111">
        <f>SUM(G376)</f>
        <v>1141</v>
      </c>
      <c r="J376" s="115"/>
      <c r="K376" s="106"/>
      <c r="L376" s="115"/>
      <c r="M376" s="111">
        <f>SUM(G376)</f>
        <v>1141</v>
      </c>
      <c r="N376" s="111">
        <f t="shared" si="79"/>
        <v>0</v>
      </c>
      <c r="O376" s="111">
        <f t="shared" si="79"/>
        <v>1141</v>
      </c>
      <c r="P376" s="97"/>
      <c r="Q376" s="97"/>
    </row>
    <row r="377" spans="1:17" ht="15.75" x14ac:dyDescent="0.2">
      <c r="A377" s="20" t="s">
        <v>394</v>
      </c>
      <c r="B377" s="107" t="s">
        <v>395</v>
      </c>
      <c r="C377" s="107" t="s">
        <v>51</v>
      </c>
      <c r="D377" s="129" t="s">
        <v>396</v>
      </c>
      <c r="E377" s="129" t="s">
        <v>11</v>
      </c>
      <c r="F377" s="130" t="s">
        <v>11</v>
      </c>
      <c r="G377" s="106">
        <f>G378</f>
        <v>14920.400000000001</v>
      </c>
      <c r="H377" s="109">
        <f>H378</f>
        <v>0</v>
      </c>
      <c r="I377" s="106">
        <f>I378</f>
        <v>14920.400000000001</v>
      </c>
      <c r="J377" s="108">
        <f>J378</f>
        <v>156</v>
      </c>
      <c r="K377" s="109">
        <f>K378+K392</f>
        <v>400</v>
      </c>
      <c r="L377" s="108">
        <f>L378</f>
        <v>844.2</v>
      </c>
      <c r="M377" s="106">
        <f>M378</f>
        <v>15076.400000000001</v>
      </c>
      <c r="N377" s="106">
        <f>N378</f>
        <v>400</v>
      </c>
      <c r="O377" s="106">
        <f>O378</f>
        <v>15476.400000000001</v>
      </c>
      <c r="P377" s="97"/>
      <c r="Q377" s="97"/>
    </row>
    <row r="378" spans="1:17" ht="15.75" x14ac:dyDescent="0.2">
      <c r="A378" s="33" t="s">
        <v>397</v>
      </c>
      <c r="B378" s="110" t="s">
        <v>398</v>
      </c>
      <c r="C378" s="110" t="s">
        <v>51</v>
      </c>
      <c r="D378" s="131" t="s">
        <v>399</v>
      </c>
      <c r="E378" s="131" t="s">
        <v>11</v>
      </c>
      <c r="F378" s="132" t="s">
        <v>11</v>
      </c>
      <c r="G378" s="109">
        <f>G379+G395</f>
        <v>14920.400000000001</v>
      </c>
      <c r="H378" s="111">
        <f>H379+H384</f>
        <v>0</v>
      </c>
      <c r="I378" s="109">
        <f>I379+I395</f>
        <v>14920.400000000001</v>
      </c>
      <c r="J378" s="112">
        <f>J379+J395</f>
        <v>156</v>
      </c>
      <c r="K378" s="111">
        <f>K379+K385</f>
        <v>400</v>
      </c>
      <c r="L378" s="112">
        <f>L379+L395</f>
        <v>844.2</v>
      </c>
      <c r="M378" s="109">
        <f>M379+M395</f>
        <v>15076.400000000001</v>
      </c>
      <c r="N378" s="109">
        <f>N379+N395</f>
        <v>400</v>
      </c>
      <c r="O378" s="109">
        <f>O379+O395</f>
        <v>15476.400000000001</v>
      </c>
      <c r="P378" s="97"/>
      <c r="Q378" s="97"/>
    </row>
    <row r="379" spans="1:17" ht="31.5" x14ac:dyDescent="0.2">
      <c r="A379" s="40"/>
      <c r="B379" s="113" t="s">
        <v>400</v>
      </c>
      <c r="C379" s="113" t="s">
        <v>51</v>
      </c>
      <c r="D379" s="133" t="s">
        <v>399</v>
      </c>
      <c r="E379" s="133" t="s">
        <v>401</v>
      </c>
      <c r="F379" s="134" t="s">
        <v>11</v>
      </c>
      <c r="G379" s="111">
        <f>G380+G386</f>
        <v>14840.400000000001</v>
      </c>
      <c r="H379" s="111">
        <f>H380+H382+H386+H391</f>
        <v>0</v>
      </c>
      <c r="I379" s="111">
        <f>I380+I386</f>
        <v>14840.400000000001</v>
      </c>
      <c r="J379" s="111">
        <f>J380+J382+J393</f>
        <v>156</v>
      </c>
      <c r="K379" s="111">
        <f>K380+K386+K393</f>
        <v>400</v>
      </c>
      <c r="L379" s="111">
        <f>L380+L382+L393</f>
        <v>844.2</v>
      </c>
      <c r="M379" s="111">
        <f>M380+M386</f>
        <v>14996.400000000001</v>
      </c>
      <c r="N379" s="111">
        <f>N380+N386</f>
        <v>400</v>
      </c>
      <c r="O379" s="111">
        <f>O380+O386</f>
        <v>15396.400000000001</v>
      </c>
      <c r="P379" s="97"/>
      <c r="Q379" s="97"/>
    </row>
    <row r="380" spans="1:17" ht="47.25" x14ac:dyDescent="0.2">
      <c r="A380" s="40"/>
      <c r="B380" s="113" t="s">
        <v>402</v>
      </c>
      <c r="C380" s="113" t="s">
        <v>51</v>
      </c>
      <c r="D380" s="133" t="s">
        <v>399</v>
      </c>
      <c r="E380" s="133" t="s">
        <v>403</v>
      </c>
      <c r="F380" s="134" t="s">
        <v>11</v>
      </c>
      <c r="G380" s="111">
        <f>G381+G384</f>
        <v>2346.5</v>
      </c>
      <c r="H380" s="111">
        <f>H381</f>
        <v>0</v>
      </c>
      <c r="I380" s="111">
        <f>I381+I384</f>
        <v>2346.5</v>
      </c>
      <c r="J380" s="114">
        <f>J381+J384</f>
        <v>0</v>
      </c>
      <c r="K380" s="111">
        <f>K381</f>
        <v>400</v>
      </c>
      <c r="L380" s="114">
        <f>L381+L384</f>
        <v>400</v>
      </c>
      <c r="M380" s="111">
        <f>M381+M384</f>
        <v>2346.5</v>
      </c>
      <c r="N380" s="111">
        <f>N381+N384</f>
        <v>400</v>
      </c>
      <c r="O380" s="111">
        <f>O381+O384</f>
        <v>2746.5</v>
      </c>
      <c r="P380" s="97"/>
      <c r="Q380" s="97"/>
    </row>
    <row r="381" spans="1:17" ht="47.25" x14ac:dyDescent="0.2">
      <c r="A381" s="40"/>
      <c r="B381" s="113" t="s">
        <v>404</v>
      </c>
      <c r="C381" s="113" t="s">
        <v>51</v>
      </c>
      <c r="D381" s="133" t="s">
        <v>399</v>
      </c>
      <c r="E381" s="133" t="s">
        <v>405</v>
      </c>
      <c r="F381" s="134" t="s">
        <v>11</v>
      </c>
      <c r="G381" s="111">
        <f>G382+G383</f>
        <v>1571</v>
      </c>
      <c r="H381" s="111">
        <f>SUM(H382:H383)</f>
        <v>0</v>
      </c>
      <c r="I381" s="111">
        <f>I382+I383</f>
        <v>1571</v>
      </c>
      <c r="J381" s="114">
        <f>J382</f>
        <v>0</v>
      </c>
      <c r="K381" s="111">
        <f>SUM(K382:K383)</f>
        <v>400</v>
      </c>
      <c r="L381" s="114">
        <f>L382+L383</f>
        <v>400</v>
      </c>
      <c r="M381" s="111">
        <f>M382+M383</f>
        <v>1571</v>
      </c>
      <c r="N381" s="111">
        <f>H381+K381</f>
        <v>400</v>
      </c>
      <c r="O381" s="111">
        <f>O382+O383</f>
        <v>1971</v>
      </c>
      <c r="P381" s="97"/>
      <c r="Q381" s="97"/>
    </row>
    <row r="382" spans="1:17" ht="78.75" x14ac:dyDescent="0.2">
      <c r="A382" s="40"/>
      <c r="B382" s="113" t="s">
        <v>61</v>
      </c>
      <c r="C382" s="113" t="s">
        <v>51</v>
      </c>
      <c r="D382" s="133" t="s">
        <v>399</v>
      </c>
      <c r="E382" s="133" t="s">
        <v>405</v>
      </c>
      <c r="F382" s="134" t="s">
        <v>62</v>
      </c>
      <c r="G382" s="111">
        <v>1500</v>
      </c>
      <c r="H382" s="111"/>
      <c r="I382" s="111">
        <f>SUM(G382:H382)</f>
        <v>1500</v>
      </c>
      <c r="J382" s="115">
        <v>0</v>
      </c>
      <c r="K382" s="111">
        <v>288.2</v>
      </c>
      <c r="L382" s="115">
        <f>SUM(J382:K382)</f>
        <v>288.2</v>
      </c>
      <c r="M382" s="111">
        <f>G382+J382</f>
        <v>1500</v>
      </c>
      <c r="N382" s="111">
        <f>H382+K382</f>
        <v>288.2</v>
      </c>
      <c r="O382" s="111">
        <f>SUM(M382:N382)</f>
        <v>1788.2</v>
      </c>
      <c r="P382" s="97"/>
      <c r="Q382" s="97"/>
    </row>
    <row r="383" spans="1:17" ht="31.5" x14ac:dyDescent="0.2">
      <c r="A383" s="40"/>
      <c r="B383" s="113" t="s">
        <v>408</v>
      </c>
      <c r="C383" s="113" t="s">
        <v>51</v>
      </c>
      <c r="D383" s="133" t="s">
        <v>399</v>
      </c>
      <c r="E383" s="133" t="s">
        <v>405</v>
      </c>
      <c r="F383" s="134">
        <v>200</v>
      </c>
      <c r="G383" s="111">
        <v>71</v>
      </c>
      <c r="H383" s="111"/>
      <c r="I383" s="111">
        <f>SUM(G383:H383)</f>
        <v>71</v>
      </c>
      <c r="J383" s="115"/>
      <c r="K383" s="111">
        <v>111.8</v>
      </c>
      <c r="L383" s="115">
        <f>SUM(J383:K383)</f>
        <v>111.8</v>
      </c>
      <c r="M383" s="111">
        <f>G383+J383</f>
        <v>71</v>
      </c>
      <c r="N383" s="111">
        <f>H383+K383</f>
        <v>111.8</v>
      </c>
      <c r="O383" s="111">
        <f>SUM(M383:N383)</f>
        <v>182.8</v>
      </c>
      <c r="P383" s="97"/>
      <c r="Q383" s="97"/>
    </row>
    <row r="384" spans="1:17" ht="47.25" x14ac:dyDescent="0.2">
      <c r="A384" s="40"/>
      <c r="B384" s="113" t="s">
        <v>406</v>
      </c>
      <c r="C384" s="113" t="s">
        <v>51</v>
      </c>
      <c r="D384" s="133" t="s">
        <v>399</v>
      </c>
      <c r="E384" s="133" t="s">
        <v>407</v>
      </c>
      <c r="F384" s="134" t="s">
        <v>11</v>
      </c>
      <c r="G384" s="111">
        <f>G385</f>
        <v>775.5</v>
      </c>
      <c r="H384" s="111"/>
      <c r="I384" s="111">
        <f>I385</f>
        <v>775.5</v>
      </c>
      <c r="J384" s="114">
        <f>J385</f>
        <v>0</v>
      </c>
      <c r="K384" s="111"/>
      <c r="L384" s="114">
        <f>L385</f>
        <v>0</v>
      </c>
      <c r="M384" s="111">
        <f>M385</f>
        <v>775.5</v>
      </c>
      <c r="N384" s="111">
        <f>N385</f>
        <v>0</v>
      </c>
      <c r="O384" s="111">
        <f>O385</f>
        <v>775.5</v>
      </c>
      <c r="P384" s="97"/>
      <c r="Q384" s="97"/>
    </row>
    <row r="385" spans="1:17" ht="31.5" x14ac:dyDescent="0.2">
      <c r="A385" s="40"/>
      <c r="B385" s="113" t="s">
        <v>408</v>
      </c>
      <c r="C385" s="113" t="s">
        <v>51</v>
      </c>
      <c r="D385" s="133" t="s">
        <v>399</v>
      </c>
      <c r="E385" s="133" t="s">
        <v>407</v>
      </c>
      <c r="F385" s="134" t="s">
        <v>41</v>
      </c>
      <c r="G385" s="111">
        <v>775.5</v>
      </c>
      <c r="H385" s="111"/>
      <c r="I385" s="111">
        <f>SUM(G385)</f>
        <v>775.5</v>
      </c>
      <c r="J385" s="115">
        <v>0</v>
      </c>
      <c r="K385" s="111"/>
      <c r="L385" s="115">
        <v>0</v>
      </c>
      <c r="M385" s="111">
        <f>SUM(G385)</f>
        <v>775.5</v>
      </c>
      <c r="N385" s="111">
        <f>SUM(H385)</f>
        <v>0</v>
      </c>
      <c r="O385" s="111">
        <f>SUM(I385)</f>
        <v>775.5</v>
      </c>
      <c r="P385" s="97"/>
      <c r="Q385" s="97"/>
    </row>
    <row r="386" spans="1:17" ht="49.15" customHeight="1" x14ac:dyDescent="0.2">
      <c r="A386" s="40"/>
      <c r="B386" s="113" t="s">
        <v>409</v>
      </c>
      <c r="C386" s="113" t="s">
        <v>51</v>
      </c>
      <c r="D386" s="133" t="s">
        <v>399</v>
      </c>
      <c r="E386" s="133" t="s">
        <v>410</v>
      </c>
      <c r="F386" s="134" t="s">
        <v>11</v>
      </c>
      <c r="G386" s="111">
        <f>G387+G391</f>
        <v>12493.900000000001</v>
      </c>
      <c r="H386" s="111">
        <f>H387</f>
        <v>0</v>
      </c>
      <c r="I386" s="111">
        <f>I387+I391</f>
        <v>12493.900000000001</v>
      </c>
      <c r="J386" s="114">
        <f>J387+J391+J393</f>
        <v>156</v>
      </c>
      <c r="K386" s="111">
        <f>K387+K388+K393</f>
        <v>0</v>
      </c>
      <c r="L386" s="114">
        <f>L387+L391+L393</f>
        <v>156</v>
      </c>
      <c r="M386" s="111">
        <f>M387+M391+M393</f>
        <v>12649.900000000001</v>
      </c>
      <c r="N386" s="111">
        <f>N387+N391</f>
        <v>0</v>
      </c>
      <c r="O386" s="111">
        <f>O387+O391+O393</f>
        <v>12649.900000000001</v>
      </c>
      <c r="P386" s="97"/>
      <c r="Q386" s="97"/>
    </row>
    <row r="387" spans="1:17" ht="31.5" x14ac:dyDescent="0.2">
      <c r="A387" s="40"/>
      <c r="B387" s="113" t="s">
        <v>134</v>
      </c>
      <c r="C387" s="113" t="s">
        <v>51</v>
      </c>
      <c r="D387" s="133" t="s">
        <v>399</v>
      </c>
      <c r="E387" s="133" t="s">
        <v>411</v>
      </c>
      <c r="F387" s="134" t="s">
        <v>11</v>
      </c>
      <c r="G387" s="111">
        <f>G388+G389+G390</f>
        <v>11608.800000000001</v>
      </c>
      <c r="H387" s="111">
        <f>H388+H389+H390</f>
        <v>0</v>
      </c>
      <c r="I387" s="111">
        <f>I388+I389+I390</f>
        <v>11608.800000000001</v>
      </c>
      <c r="J387" s="114">
        <f>J388+J389+J390</f>
        <v>0</v>
      </c>
      <c r="K387" s="111">
        <f>SUM(K389)</f>
        <v>0</v>
      </c>
      <c r="L387" s="114">
        <f>L388+L389+L390</f>
        <v>0</v>
      </c>
      <c r="M387" s="111">
        <f>M388+M389+M390</f>
        <v>11608.800000000001</v>
      </c>
      <c r="N387" s="111">
        <f>N388+N389+N390</f>
        <v>0</v>
      </c>
      <c r="O387" s="111">
        <f>O388+O389+O390</f>
        <v>11608.800000000001</v>
      </c>
      <c r="P387" s="97"/>
      <c r="Q387" s="97"/>
    </row>
    <row r="388" spans="1:17" ht="78.75" x14ac:dyDescent="0.2">
      <c r="A388" s="40"/>
      <c r="B388" s="113" t="s">
        <v>61</v>
      </c>
      <c r="C388" s="113" t="s">
        <v>51</v>
      </c>
      <c r="D388" s="133" t="s">
        <v>399</v>
      </c>
      <c r="E388" s="133" t="s">
        <v>411</v>
      </c>
      <c r="F388" s="134" t="s">
        <v>62</v>
      </c>
      <c r="G388" s="111">
        <v>8949.5</v>
      </c>
      <c r="H388" s="111"/>
      <c r="I388" s="111">
        <f>SUM(G388)+H388</f>
        <v>8949.5</v>
      </c>
      <c r="J388" s="115">
        <v>0</v>
      </c>
      <c r="K388" s="111"/>
      <c r="L388" s="115">
        <v>0</v>
      </c>
      <c r="M388" s="111">
        <f>SUM(G388)</f>
        <v>8949.5</v>
      </c>
      <c r="N388" s="111">
        <f>SUM(H388)</f>
        <v>0</v>
      </c>
      <c r="O388" s="111">
        <f>SUM(I388)</f>
        <v>8949.5</v>
      </c>
      <c r="P388" s="97"/>
      <c r="Q388" s="97"/>
    </row>
    <row r="389" spans="1:17" ht="31.5" x14ac:dyDescent="0.2">
      <c r="A389" s="40"/>
      <c r="B389" s="113" t="s">
        <v>40</v>
      </c>
      <c r="C389" s="113" t="s">
        <v>51</v>
      </c>
      <c r="D389" s="133" t="s">
        <v>399</v>
      </c>
      <c r="E389" s="133" t="s">
        <v>411</v>
      </c>
      <c r="F389" s="134" t="s">
        <v>41</v>
      </c>
      <c r="G389" s="111">
        <v>2655.6</v>
      </c>
      <c r="H389" s="111"/>
      <c r="I389" s="111">
        <f>SUM(G389)+H389</f>
        <v>2655.6</v>
      </c>
      <c r="J389" s="115">
        <v>0</v>
      </c>
      <c r="K389" s="111"/>
      <c r="L389" s="114">
        <f>K389</f>
        <v>0</v>
      </c>
      <c r="M389" s="111">
        <f>SUM(G389)</f>
        <v>2655.6</v>
      </c>
      <c r="N389" s="111">
        <f>SUM(H389+K389)</f>
        <v>0</v>
      </c>
      <c r="O389" s="111">
        <f>SUM(I389)</f>
        <v>2655.6</v>
      </c>
      <c r="P389" s="97"/>
      <c r="Q389" s="97"/>
    </row>
    <row r="390" spans="1:17" ht="15.75" x14ac:dyDescent="0.2">
      <c r="A390" s="40"/>
      <c r="B390" s="113" t="s">
        <v>338</v>
      </c>
      <c r="C390" s="113" t="s">
        <v>51</v>
      </c>
      <c r="D390" s="133" t="s">
        <v>399</v>
      </c>
      <c r="E390" s="133" t="s">
        <v>411</v>
      </c>
      <c r="F390" s="134" t="s">
        <v>71</v>
      </c>
      <c r="G390" s="111">
        <v>3.7</v>
      </c>
      <c r="H390" s="111"/>
      <c r="I390" s="111">
        <v>3.7</v>
      </c>
      <c r="J390" s="115">
        <v>0</v>
      </c>
      <c r="K390" s="111"/>
      <c r="L390" s="115">
        <v>0</v>
      </c>
      <c r="M390" s="111">
        <v>3.7</v>
      </c>
      <c r="N390" s="111"/>
      <c r="O390" s="111">
        <v>3.7</v>
      </c>
      <c r="P390" s="97"/>
      <c r="Q390" s="97"/>
    </row>
    <row r="391" spans="1:17" ht="31.5" x14ac:dyDescent="0.2">
      <c r="A391" s="40"/>
      <c r="B391" s="113" t="s">
        <v>412</v>
      </c>
      <c r="C391" s="113" t="s">
        <v>51</v>
      </c>
      <c r="D391" s="133" t="s">
        <v>399</v>
      </c>
      <c r="E391" s="133" t="s">
        <v>413</v>
      </c>
      <c r="F391" s="134" t="s">
        <v>11</v>
      </c>
      <c r="G391" s="111">
        <f>G392</f>
        <v>885.1</v>
      </c>
      <c r="H391" s="111"/>
      <c r="I391" s="111">
        <f>I392</f>
        <v>885.1</v>
      </c>
      <c r="J391" s="114">
        <f>J392</f>
        <v>0</v>
      </c>
      <c r="K391" s="111"/>
      <c r="L391" s="114">
        <f>L392</f>
        <v>0</v>
      </c>
      <c r="M391" s="111">
        <f>M392</f>
        <v>885.1</v>
      </c>
      <c r="N391" s="111">
        <f>N392</f>
        <v>0</v>
      </c>
      <c r="O391" s="111">
        <f>O392</f>
        <v>885.1</v>
      </c>
      <c r="P391" s="97"/>
      <c r="Q391" s="97"/>
    </row>
    <row r="392" spans="1:17" ht="31.5" x14ac:dyDescent="0.2">
      <c r="A392" s="40"/>
      <c r="B392" s="113" t="s">
        <v>40</v>
      </c>
      <c r="C392" s="113" t="s">
        <v>51</v>
      </c>
      <c r="D392" s="133" t="s">
        <v>399</v>
      </c>
      <c r="E392" s="133" t="s">
        <v>413</v>
      </c>
      <c r="F392" s="134" t="s">
        <v>41</v>
      </c>
      <c r="G392" s="111">
        <v>885.1</v>
      </c>
      <c r="H392" s="111"/>
      <c r="I392" s="111">
        <f>SUM(G392)</f>
        <v>885.1</v>
      </c>
      <c r="J392" s="115">
        <v>0</v>
      </c>
      <c r="K392" s="111"/>
      <c r="L392" s="115">
        <v>0</v>
      </c>
      <c r="M392" s="111">
        <f>SUM(G392)</f>
        <v>885.1</v>
      </c>
      <c r="N392" s="111">
        <f>SUM(H392)</f>
        <v>0</v>
      </c>
      <c r="O392" s="111">
        <f>SUM(M392)</f>
        <v>885.1</v>
      </c>
      <c r="P392" s="97"/>
      <c r="Q392" s="97"/>
    </row>
    <row r="393" spans="1:17" ht="40.9" customHeight="1" x14ac:dyDescent="0.2">
      <c r="A393" s="40"/>
      <c r="B393" s="96" t="s">
        <v>414</v>
      </c>
      <c r="C393" s="113">
        <v>992</v>
      </c>
      <c r="D393" s="133" t="s">
        <v>399</v>
      </c>
      <c r="E393" s="136" t="s">
        <v>415</v>
      </c>
      <c r="F393" s="134"/>
      <c r="G393" s="111"/>
      <c r="H393" s="111"/>
      <c r="I393" s="111"/>
      <c r="J393" s="115">
        <v>156</v>
      </c>
      <c r="K393" s="111"/>
      <c r="L393" s="115">
        <f>SUM(L394)</f>
        <v>156</v>
      </c>
      <c r="M393" s="111">
        <f t="shared" ref="M393:O394" si="80">SUM(J393)</f>
        <v>156</v>
      </c>
      <c r="N393" s="111">
        <f t="shared" si="80"/>
        <v>0</v>
      </c>
      <c r="O393" s="111">
        <f t="shared" si="80"/>
        <v>156</v>
      </c>
      <c r="P393" s="97"/>
      <c r="Q393" s="97"/>
    </row>
    <row r="394" spans="1:17" ht="31.5" x14ac:dyDescent="0.2">
      <c r="A394" s="40"/>
      <c r="B394" s="113" t="s">
        <v>40</v>
      </c>
      <c r="C394" s="113">
        <v>992</v>
      </c>
      <c r="D394" s="133" t="s">
        <v>399</v>
      </c>
      <c r="E394" s="136" t="s">
        <v>415</v>
      </c>
      <c r="F394" s="134">
        <v>200</v>
      </c>
      <c r="G394" s="111"/>
      <c r="H394" s="111"/>
      <c r="I394" s="111"/>
      <c r="J394" s="115">
        <v>156</v>
      </c>
      <c r="K394" s="111"/>
      <c r="L394" s="115">
        <f>SUM(J394)</f>
        <v>156</v>
      </c>
      <c r="M394" s="111">
        <f t="shared" si="80"/>
        <v>156</v>
      </c>
      <c r="N394" s="111">
        <f t="shared" si="80"/>
        <v>0</v>
      </c>
      <c r="O394" s="111">
        <f t="shared" si="80"/>
        <v>156</v>
      </c>
      <c r="P394" s="97"/>
      <c r="Q394" s="97"/>
    </row>
    <row r="395" spans="1:17" ht="31.5" x14ac:dyDescent="0.2">
      <c r="A395" s="40"/>
      <c r="B395" s="113" t="s">
        <v>87</v>
      </c>
      <c r="C395" s="113" t="s">
        <v>51</v>
      </c>
      <c r="D395" s="133" t="s">
        <v>399</v>
      </c>
      <c r="E395" s="133" t="s">
        <v>88</v>
      </c>
      <c r="F395" s="134" t="s">
        <v>11</v>
      </c>
      <c r="G395" s="111">
        <f t="shared" ref="G395:O398" si="81">G396</f>
        <v>80</v>
      </c>
      <c r="H395" s="111">
        <f t="shared" si="81"/>
        <v>0</v>
      </c>
      <c r="I395" s="111">
        <f t="shared" si="81"/>
        <v>80</v>
      </c>
      <c r="J395" s="114">
        <f t="shared" si="81"/>
        <v>0</v>
      </c>
      <c r="K395" s="111">
        <f>K396</f>
        <v>0</v>
      </c>
      <c r="L395" s="114">
        <f t="shared" si="81"/>
        <v>0</v>
      </c>
      <c r="M395" s="111">
        <f t="shared" si="81"/>
        <v>80</v>
      </c>
      <c r="N395" s="111">
        <f t="shared" si="81"/>
        <v>0</v>
      </c>
      <c r="O395" s="111">
        <f t="shared" si="81"/>
        <v>80</v>
      </c>
      <c r="P395" s="97"/>
      <c r="Q395" s="97"/>
    </row>
    <row r="396" spans="1:17" ht="33" customHeight="1" x14ac:dyDescent="0.2">
      <c r="A396" s="40"/>
      <c r="B396" s="113" t="s">
        <v>89</v>
      </c>
      <c r="C396" s="113" t="s">
        <v>51</v>
      </c>
      <c r="D396" s="133" t="s">
        <v>399</v>
      </c>
      <c r="E396" s="133" t="s">
        <v>90</v>
      </c>
      <c r="F396" s="134" t="s">
        <v>11</v>
      </c>
      <c r="G396" s="111">
        <f t="shared" si="81"/>
        <v>80</v>
      </c>
      <c r="H396" s="111">
        <f t="shared" si="81"/>
        <v>0</v>
      </c>
      <c r="I396" s="111">
        <f t="shared" si="81"/>
        <v>80</v>
      </c>
      <c r="J396" s="114">
        <f t="shared" si="81"/>
        <v>0</v>
      </c>
      <c r="K396" s="111">
        <f>K397</f>
        <v>0</v>
      </c>
      <c r="L396" s="114">
        <f t="shared" si="81"/>
        <v>0</v>
      </c>
      <c r="M396" s="111">
        <f t="shared" si="81"/>
        <v>80</v>
      </c>
      <c r="N396" s="111">
        <f t="shared" si="81"/>
        <v>0</v>
      </c>
      <c r="O396" s="111">
        <f t="shared" si="81"/>
        <v>80</v>
      </c>
      <c r="P396" s="97"/>
      <c r="Q396" s="97"/>
    </row>
    <row r="397" spans="1:17" ht="40.9" customHeight="1" x14ac:dyDescent="0.2">
      <c r="A397" s="40"/>
      <c r="B397" s="113" t="s">
        <v>91</v>
      </c>
      <c r="C397" s="113" t="s">
        <v>51</v>
      </c>
      <c r="D397" s="133" t="s">
        <v>399</v>
      </c>
      <c r="E397" s="133" t="s">
        <v>92</v>
      </c>
      <c r="F397" s="134" t="s">
        <v>11</v>
      </c>
      <c r="G397" s="111">
        <f t="shared" si="81"/>
        <v>80</v>
      </c>
      <c r="H397" s="111">
        <f t="shared" si="81"/>
        <v>0</v>
      </c>
      <c r="I397" s="111">
        <f t="shared" si="81"/>
        <v>80</v>
      </c>
      <c r="J397" s="114">
        <f t="shared" si="81"/>
        <v>0</v>
      </c>
      <c r="K397" s="111">
        <f>K398</f>
        <v>0</v>
      </c>
      <c r="L397" s="114">
        <f t="shared" si="81"/>
        <v>0</v>
      </c>
      <c r="M397" s="111">
        <f t="shared" si="81"/>
        <v>80</v>
      </c>
      <c r="N397" s="111">
        <f t="shared" si="81"/>
        <v>0</v>
      </c>
      <c r="O397" s="111">
        <f t="shared" si="81"/>
        <v>80</v>
      </c>
      <c r="P397" s="97"/>
      <c r="Q397" s="97"/>
    </row>
    <row r="398" spans="1:17" ht="47.25" x14ac:dyDescent="0.2">
      <c r="A398" s="40"/>
      <c r="B398" s="113" t="s">
        <v>93</v>
      </c>
      <c r="C398" s="113" t="s">
        <v>51</v>
      </c>
      <c r="D398" s="133" t="s">
        <v>399</v>
      </c>
      <c r="E398" s="133" t="s">
        <v>94</v>
      </c>
      <c r="F398" s="134" t="s">
        <v>11</v>
      </c>
      <c r="G398" s="111">
        <f>G399</f>
        <v>80</v>
      </c>
      <c r="H398" s="111"/>
      <c r="I398" s="111">
        <f>I399</f>
        <v>80</v>
      </c>
      <c r="J398" s="114">
        <f t="shared" si="81"/>
        <v>0</v>
      </c>
      <c r="K398" s="111"/>
      <c r="L398" s="114">
        <f t="shared" si="81"/>
        <v>0</v>
      </c>
      <c r="M398" s="111">
        <f t="shared" si="81"/>
        <v>80</v>
      </c>
      <c r="N398" s="111">
        <f t="shared" si="81"/>
        <v>0</v>
      </c>
      <c r="O398" s="111">
        <f t="shared" si="81"/>
        <v>80</v>
      </c>
      <c r="P398" s="97"/>
      <c r="Q398" s="97"/>
    </row>
    <row r="399" spans="1:17" ht="30.6" customHeight="1" x14ac:dyDescent="0.2">
      <c r="A399" s="40"/>
      <c r="B399" s="113" t="s">
        <v>95</v>
      </c>
      <c r="C399" s="113" t="s">
        <v>51</v>
      </c>
      <c r="D399" s="133" t="s">
        <v>399</v>
      </c>
      <c r="E399" s="133" t="s">
        <v>94</v>
      </c>
      <c r="F399" s="134" t="s">
        <v>96</v>
      </c>
      <c r="G399" s="111">
        <v>80</v>
      </c>
      <c r="H399" s="106"/>
      <c r="I399" s="111">
        <v>80</v>
      </c>
      <c r="J399" s="115">
        <v>0</v>
      </c>
      <c r="K399" s="106"/>
      <c r="L399" s="115">
        <v>0</v>
      </c>
      <c r="M399" s="111">
        <v>80</v>
      </c>
      <c r="N399" s="111"/>
      <c r="O399" s="111">
        <v>80</v>
      </c>
      <c r="P399" s="97"/>
      <c r="Q399" s="97"/>
    </row>
    <row r="400" spans="1:17" ht="15.75" x14ac:dyDescent="0.2">
      <c r="A400" s="20" t="s">
        <v>416</v>
      </c>
      <c r="B400" s="107" t="s">
        <v>417</v>
      </c>
      <c r="C400" s="107" t="s">
        <v>51</v>
      </c>
      <c r="D400" s="129" t="s">
        <v>418</v>
      </c>
      <c r="E400" s="129" t="s">
        <v>11</v>
      </c>
      <c r="F400" s="130" t="s">
        <v>11</v>
      </c>
      <c r="G400" s="106">
        <f>G401+G407+G413+G419</f>
        <v>11436.2</v>
      </c>
      <c r="H400" s="109">
        <f>H401+H407</f>
        <v>93.6</v>
      </c>
      <c r="I400" s="106">
        <f>I401+I407+I413+I419</f>
        <v>11529.8</v>
      </c>
      <c r="J400" s="108">
        <f>J401+J407+J413+J419</f>
        <v>3074.2</v>
      </c>
      <c r="K400" s="109">
        <f>K401</f>
        <v>0</v>
      </c>
      <c r="L400" s="108">
        <f>L401+L407+L413+L419</f>
        <v>3074.2</v>
      </c>
      <c r="M400" s="106">
        <f>M401+M407+M413+M419</f>
        <v>14510.4</v>
      </c>
      <c r="N400" s="106">
        <f>N401+N407+N413+N419</f>
        <v>93.6</v>
      </c>
      <c r="O400" s="106">
        <f>O401+O407+O413+O419</f>
        <v>14604</v>
      </c>
      <c r="P400" s="97"/>
      <c r="Q400" s="97"/>
    </row>
    <row r="401" spans="1:17" ht="15.75" x14ac:dyDescent="0.2">
      <c r="A401" s="33" t="s">
        <v>419</v>
      </c>
      <c r="B401" s="110" t="s">
        <v>420</v>
      </c>
      <c r="C401" s="110" t="s">
        <v>51</v>
      </c>
      <c r="D401" s="131" t="s">
        <v>421</v>
      </c>
      <c r="E401" s="131" t="s">
        <v>11</v>
      </c>
      <c r="F401" s="132" t="s">
        <v>11</v>
      </c>
      <c r="G401" s="109">
        <f t="shared" ref="G401:O405" si="82">G402</f>
        <v>4040</v>
      </c>
      <c r="H401" s="111">
        <f t="shared" si="82"/>
        <v>93.6</v>
      </c>
      <c r="I401" s="109">
        <f t="shared" si="82"/>
        <v>4133.6000000000004</v>
      </c>
      <c r="J401" s="112">
        <f t="shared" si="82"/>
        <v>0</v>
      </c>
      <c r="K401" s="111">
        <f>K402</f>
        <v>0</v>
      </c>
      <c r="L401" s="112">
        <f t="shared" si="82"/>
        <v>0</v>
      </c>
      <c r="M401" s="109">
        <f t="shared" si="82"/>
        <v>4040</v>
      </c>
      <c r="N401" s="109">
        <f t="shared" si="82"/>
        <v>93.6</v>
      </c>
      <c r="O401" s="109">
        <f t="shared" si="82"/>
        <v>4133.6000000000004</v>
      </c>
      <c r="P401" s="97"/>
      <c r="Q401" s="97"/>
    </row>
    <row r="402" spans="1:17" ht="31.5" x14ac:dyDescent="0.2">
      <c r="A402" s="40"/>
      <c r="B402" s="113" t="s">
        <v>87</v>
      </c>
      <c r="C402" s="113" t="s">
        <v>51</v>
      </c>
      <c r="D402" s="133" t="s">
        <v>421</v>
      </c>
      <c r="E402" s="133" t="s">
        <v>88</v>
      </c>
      <c r="F402" s="134" t="s">
        <v>11</v>
      </c>
      <c r="G402" s="111">
        <f t="shared" si="82"/>
        <v>4040</v>
      </c>
      <c r="H402" s="111">
        <f t="shared" si="82"/>
        <v>93.6</v>
      </c>
      <c r="I402" s="111">
        <f t="shared" si="82"/>
        <v>4133.6000000000004</v>
      </c>
      <c r="J402" s="114">
        <f t="shared" si="82"/>
        <v>0</v>
      </c>
      <c r="K402" s="111">
        <f>K403</f>
        <v>0</v>
      </c>
      <c r="L402" s="114">
        <f t="shared" si="82"/>
        <v>0</v>
      </c>
      <c r="M402" s="111">
        <f t="shared" si="82"/>
        <v>4040</v>
      </c>
      <c r="N402" s="111">
        <f t="shared" si="82"/>
        <v>93.6</v>
      </c>
      <c r="O402" s="111">
        <f t="shared" si="82"/>
        <v>4133.6000000000004</v>
      </c>
      <c r="P402" s="97"/>
      <c r="Q402" s="97"/>
    </row>
    <row r="403" spans="1:17" ht="31.5" x14ac:dyDescent="0.2">
      <c r="A403" s="40"/>
      <c r="B403" s="113" t="s">
        <v>422</v>
      </c>
      <c r="C403" s="113" t="s">
        <v>51</v>
      </c>
      <c r="D403" s="133" t="s">
        <v>421</v>
      </c>
      <c r="E403" s="133" t="s">
        <v>423</v>
      </c>
      <c r="F403" s="134" t="s">
        <v>11</v>
      </c>
      <c r="G403" s="111">
        <f t="shared" si="82"/>
        <v>4040</v>
      </c>
      <c r="H403" s="111">
        <f t="shared" si="82"/>
        <v>93.6</v>
      </c>
      <c r="I403" s="111">
        <f t="shared" si="82"/>
        <v>4133.6000000000004</v>
      </c>
      <c r="J403" s="114">
        <f t="shared" si="82"/>
        <v>0</v>
      </c>
      <c r="K403" s="111">
        <f>K404</f>
        <v>0</v>
      </c>
      <c r="L403" s="114">
        <f t="shared" si="82"/>
        <v>0</v>
      </c>
      <c r="M403" s="111">
        <f t="shared" si="82"/>
        <v>4040</v>
      </c>
      <c r="N403" s="111">
        <f t="shared" si="82"/>
        <v>93.6</v>
      </c>
      <c r="O403" s="111">
        <f t="shared" si="82"/>
        <v>4133.6000000000004</v>
      </c>
      <c r="P403" s="97"/>
      <c r="Q403" s="97"/>
    </row>
    <row r="404" spans="1:17" ht="47.25" x14ac:dyDescent="0.2">
      <c r="A404" s="40"/>
      <c r="B404" s="113" t="s">
        <v>424</v>
      </c>
      <c r="C404" s="113" t="s">
        <v>51</v>
      </c>
      <c r="D404" s="133" t="s">
        <v>421</v>
      </c>
      <c r="E404" s="133" t="s">
        <v>425</v>
      </c>
      <c r="F404" s="134" t="s">
        <v>11</v>
      </c>
      <c r="G404" s="111">
        <f t="shared" si="82"/>
        <v>4040</v>
      </c>
      <c r="H404" s="111">
        <f t="shared" si="82"/>
        <v>93.6</v>
      </c>
      <c r="I404" s="111">
        <f t="shared" si="82"/>
        <v>4133.6000000000004</v>
      </c>
      <c r="J404" s="114">
        <f t="shared" si="82"/>
        <v>0</v>
      </c>
      <c r="K404" s="111">
        <f>K405</f>
        <v>0</v>
      </c>
      <c r="L404" s="114">
        <f t="shared" si="82"/>
        <v>0</v>
      </c>
      <c r="M404" s="111">
        <f t="shared" si="82"/>
        <v>4040</v>
      </c>
      <c r="N404" s="111">
        <f t="shared" si="82"/>
        <v>93.6</v>
      </c>
      <c r="O404" s="111">
        <f t="shared" si="82"/>
        <v>4133.6000000000004</v>
      </c>
      <c r="P404" s="97"/>
      <c r="Q404" s="97"/>
    </row>
    <row r="405" spans="1:17" ht="33" customHeight="1" x14ac:dyDescent="0.2">
      <c r="A405" s="40"/>
      <c r="B405" s="113" t="s">
        <v>426</v>
      </c>
      <c r="C405" s="113" t="s">
        <v>51</v>
      </c>
      <c r="D405" s="133" t="s">
        <v>421</v>
      </c>
      <c r="E405" s="133" t="s">
        <v>427</v>
      </c>
      <c r="F405" s="134" t="s">
        <v>11</v>
      </c>
      <c r="G405" s="111">
        <f>G406</f>
        <v>4040</v>
      </c>
      <c r="H405" s="111">
        <f>H406</f>
        <v>93.6</v>
      </c>
      <c r="I405" s="111">
        <f>I406</f>
        <v>4133.6000000000004</v>
      </c>
      <c r="J405" s="114">
        <f t="shared" si="82"/>
        <v>0</v>
      </c>
      <c r="K405" s="111"/>
      <c r="L405" s="114">
        <f t="shared" si="82"/>
        <v>0</v>
      </c>
      <c r="M405" s="111">
        <f t="shared" si="82"/>
        <v>4040</v>
      </c>
      <c r="N405" s="111">
        <f t="shared" si="82"/>
        <v>93.6</v>
      </c>
      <c r="O405" s="111">
        <f t="shared" si="82"/>
        <v>4133.6000000000004</v>
      </c>
      <c r="P405" s="97"/>
      <c r="Q405" s="97"/>
    </row>
    <row r="406" spans="1:17" ht="31.5" x14ac:dyDescent="0.2">
      <c r="A406" s="40"/>
      <c r="B406" s="113" t="s">
        <v>112</v>
      </c>
      <c r="C406" s="113" t="s">
        <v>51</v>
      </c>
      <c r="D406" s="133" t="s">
        <v>421</v>
      </c>
      <c r="E406" s="133" t="s">
        <v>427</v>
      </c>
      <c r="F406" s="134" t="s">
        <v>113</v>
      </c>
      <c r="G406" s="111">
        <v>4040</v>
      </c>
      <c r="H406" s="111">
        <v>93.6</v>
      </c>
      <c r="I406" s="111">
        <f>SUM(G406:H406)</f>
        <v>4133.6000000000004</v>
      </c>
      <c r="J406" s="115">
        <v>0</v>
      </c>
      <c r="K406" s="109"/>
      <c r="L406" s="115">
        <v>0</v>
      </c>
      <c r="M406" s="111">
        <v>4040</v>
      </c>
      <c r="N406" s="111">
        <f>H406+K406</f>
        <v>93.6</v>
      </c>
      <c r="O406" s="111">
        <f>SUM(M406:N406)</f>
        <v>4133.6000000000004</v>
      </c>
      <c r="P406" s="97"/>
      <c r="Q406" s="97"/>
    </row>
    <row r="407" spans="1:17" ht="15.75" x14ac:dyDescent="0.2">
      <c r="A407" s="33" t="s">
        <v>428</v>
      </c>
      <c r="B407" s="110" t="s">
        <v>429</v>
      </c>
      <c r="C407" s="110" t="s">
        <v>51</v>
      </c>
      <c r="D407" s="131" t="s">
        <v>430</v>
      </c>
      <c r="E407" s="131" t="s">
        <v>11</v>
      </c>
      <c r="F407" s="132" t="s">
        <v>11</v>
      </c>
      <c r="G407" s="109">
        <f t="shared" ref="G407:O411" si="83">G408</f>
        <v>4346</v>
      </c>
      <c r="H407" s="111">
        <f t="shared" si="83"/>
        <v>0</v>
      </c>
      <c r="I407" s="109">
        <f t="shared" si="83"/>
        <v>4346</v>
      </c>
      <c r="J407" s="112">
        <f t="shared" si="83"/>
        <v>0</v>
      </c>
      <c r="K407" s="111">
        <f>K408</f>
        <v>0</v>
      </c>
      <c r="L407" s="112">
        <f t="shared" si="83"/>
        <v>0</v>
      </c>
      <c r="M407" s="109">
        <f t="shared" si="83"/>
        <v>4346</v>
      </c>
      <c r="N407" s="109">
        <f t="shared" si="83"/>
        <v>0</v>
      </c>
      <c r="O407" s="109">
        <f t="shared" si="83"/>
        <v>4346</v>
      </c>
      <c r="P407" s="97"/>
      <c r="Q407" s="97"/>
    </row>
    <row r="408" spans="1:17" ht="31.5" x14ac:dyDescent="0.2">
      <c r="A408" s="40"/>
      <c r="B408" s="113" t="s">
        <v>87</v>
      </c>
      <c r="C408" s="113" t="s">
        <v>51</v>
      </c>
      <c r="D408" s="133" t="s">
        <v>430</v>
      </c>
      <c r="E408" s="133" t="s">
        <v>88</v>
      </c>
      <c r="F408" s="134" t="s">
        <v>11</v>
      </c>
      <c r="G408" s="111">
        <f t="shared" si="83"/>
        <v>4346</v>
      </c>
      <c r="H408" s="111">
        <f t="shared" si="83"/>
        <v>0</v>
      </c>
      <c r="I408" s="111">
        <f t="shared" si="83"/>
        <v>4346</v>
      </c>
      <c r="J408" s="114">
        <f t="shared" si="83"/>
        <v>0</v>
      </c>
      <c r="K408" s="111">
        <f>K409</f>
        <v>0</v>
      </c>
      <c r="L408" s="114">
        <f t="shared" si="83"/>
        <v>0</v>
      </c>
      <c r="M408" s="111">
        <f t="shared" si="83"/>
        <v>4346</v>
      </c>
      <c r="N408" s="111">
        <f t="shared" si="83"/>
        <v>0</v>
      </c>
      <c r="O408" s="111">
        <f t="shared" si="83"/>
        <v>4346</v>
      </c>
      <c r="P408" s="97"/>
      <c r="Q408" s="97"/>
    </row>
    <row r="409" spans="1:17" ht="31.5" x14ac:dyDescent="0.2">
      <c r="A409" s="40"/>
      <c r="B409" s="113" t="s">
        <v>422</v>
      </c>
      <c r="C409" s="113" t="s">
        <v>51</v>
      </c>
      <c r="D409" s="133" t="s">
        <v>430</v>
      </c>
      <c r="E409" s="133" t="s">
        <v>423</v>
      </c>
      <c r="F409" s="134" t="s">
        <v>11</v>
      </c>
      <c r="G409" s="111">
        <f t="shared" si="83"/>
        <v>4346</v>
      </c>
      <c r="H409" s="111">
        <f t="shared" si="83"/>
        <v>0</v>
      </c>
      <c r="I409" s="111">
        <f t="shared" si="83"/>
        <v>4346</v>
      </c>
      <c r="J409" s="114">
        <f t="shared" si="83"/>
        <v>0</v>
      </c>
      <c r="K409" s="111">
        <f>K410</f>
        <v>0</v>
      </c>
      <c r="L409" s="114">
        <f t="shared" si="83"/>
        <v>0</v>
      </c>
      <c r="M409" s="111">
        <f t="shared" si="83"/>
        <v>4346</v>
      </c>
      <c r="N409" s="111">
        <f t="shared" si="83"/>
        <v>0</v>
      </c>
      <c r="O409" s="111">
        <f t="shared" si="83"/>
        <v>4346</v>
      </c>
      <c r="P409" s="97"/>
      <c r="Q409" s="97"/>
    </row>
    <row r="410" spans="1:17" ht="31.5" x14ac:dyDescent="0.2">
      <c r="A410" s="40"/>
      <c r="B410" s="113" t="s">
        <v>431</v>
      </c>
      <c r="C410" s="113" t="s">
        <v>51</v>
      </c>
      <c r="D410" s="133" t="s">
        <v>430</v>
      </c>
      <c r="E410" s="133" t="s">
        <v>432</v>
      </c>
      <c r="F410" s="134" t="s">
        <v>11</v>
      </c>
      <c r="G410" s="111">
        <f t="shared" si="83"/>
        <v>4346</v>
      </c>
      <c r="H410" s="111">
        <f t="shared" si="83"/>
        <v>0</v>
      </c>
      <c r="I410" s="111">
        <f t="shared" si="83"/>
        <v>4346</v>
      </c>
      <c r="J410" s="114">
        <f t="shared" si="83"/>
        <v>0</v>
      </c>
      <c r="K410" s="111">
        <f>K411</f>
        <v>0</v>
      </c>
      <c r="L410" s="114">
        <f t="shared" si="83"/>
        <v>0</v>
      </c>
      <c r="M410" s="111">
        <f t="shared" si="83"/>
        <v>4346</v>
      </c>
      <c r="N410" s="111">
        <f t="shared" si="83"/>
        <v>0</v>
      </c>
      <c r="O410" s="111">
        <f t="shared" si="83"/>
        <v>4346</v>
      </c>
      <c r="P410" s="97"/>
      <c r="Q410" s="97"/>
    </row>
    <row r="411" spans="1:17" ht="21" customHeight="1" x14ac:dyDescent="0.2">
      <c r="A411" s="40"/>
      <c r="B411" s="113" t="s">
        <v>433</v>
      </c>
      <c r="C411" s="113" t="s">
        <v>51</v>
      </c>
      <c r="D411" s="133" t="s">
        <v>430</v>
      </c>
      <c r="E411" s="133" t="s">
        <v>434</v>
      </c>
      <c r="F411" s="134" t="s">
        <v>11</v>
      </c>
      <c r="G411" s="111">
        <f>G412</f>
        <v>4346</v>
      </c>
      <c r="H411" s="109"/>
      <c r="I411" s="111">
        <f>I412</f>
        <v>4346</v>
      </c>
      <c r="J411" s="114">
        <f t="shared" si="83"/>
        <v>0</v>
      </c>
      <c r="K411" s="111"/>
      <c r="L411" s="114">
        <f t="shared" si="83"/>
        <v>0</v>
      </c>
      <c r="M411" s="111">
        <f t="shared" si="83"/>
        <v>4346</v>
      </c>
      <c r="N411" s="111">
        <f t="shared" si="83"/>
        <v>0</v>
      </c>
      <c r="O411" s="111">
        <f t="shared" si="83"/>
        <v>4346</v>
      </c>
      <c r="P411" s="97"/>
      <c r="Q411" s="97"/>
    </row>
    <row r="412" spans="1:17" ht="31.5" x14ac:dyDescent="0.2">
      <c r="A412" s="40"/>
      <c r="B412" s="113" t="s">
        <v>112</v>
      </c>
      <c r="C412" s="113" t="s">
        <v>51</v>
      </c>
      <c r="D412" s="133" t="s">
        <v>430</v>
      </c>
      <c r="E412" s="133" t="s">
        <v>434</v>
      </c>
      <c r="F412" s="134" t="s">
        <v>113</v>
      </c>
      <c r="G412" s="111">
        <v>4346</v>
      </c>
      <c r="H412" s="109"/>
      <c r="I412" s="111">
        <f>SUM(G412)</f>
        <v>4346</v>
      </c>
      <c r="J412" s="115">
        <v>0</v>
      </c>
      <c r="K412" s="109"/>
      <c r="L412" s="115">
        <v>0</v>
      </c>
      <c r="M412" s="111">
        <f>SUM(G412)</f>
        <v>4346</v>
      </c>
      <c r="N412" s="111">
        <f>SUM(H412)</f>
        <v>0</v>
      </c>
      <c r="O412" s="111">
        <f>SUM(M412)</f>
        <v>4346</v>
      </c>
      <c r="P412" s="97"/>
      <c r="Q412" s="97"/>
    </row>
    <row r="413" spans="1:17" ht="15.75" x14ac:dyDescent="0.2">
      <c r="A413" s="33" t="s">
        <v>435</v>
      </c>
      <c r="B413" s="110" t="s">
        <v>436</v>
      </c>
      <c r="C413" s="110" t="s">
        <v>51</v>
      </c>
      <c r="D413" s="131" t="s">
        <v>437</v>
      </c>
      <c r="E413" s="131" t="s">
        <v>11</v>
      </c>
      <c r="F413" s="132" t="s">
        <v>11</v>
      </c>
      <c r="G413" s="109">
        <f t="shared" ref="G413:O417" si="84">G414</f>
        <v>2930.2</v>
      </c>
      <c r="H413" s="111">
        <f t="shared" si="84"/>
        <v>0</v>
      </c>
      <c r="I413" s="109">
        <f t="shared" si="84"/>
        <v>2930.2</v>
      </c>
      <c r="J413" s="112">
        <f t="shared" si="84"/>
        <v>3074.2</v>
      </c>
      <c r="K413" s="111">
        <f>K414</f>
        <v>0</v>
      </c>
      <c r="L413" s="112">
        <f t="shared" si="84"/>
        <v>3074.2</v>
      </c>
      <c r="M413" s="109">
        <f t="shared" si="84"/>
        <v>6004.4</v>
      </c>
      <c r="N413" s="109">
        <f t="shared" si="84"/>
        <v>0</v>
      </c>
      <c r="O413" s="109">
        <f t="shared" si="84"/>
        <v>6004.4</v>
      </c>
      <c r="P413" s="97"/>
      <c r="Q413" s="97"/>
    </row>
    <row r="414" spans="1:17" ht="31.5" x14ac:dyDescent="0.2">
      <c r="A414" s="40"/>
      <c r="B414" s="113" t="s">
        <v>245</v>
      </c>
      <c r="C414" s="113" t="s">
        <v>51</v>
      </c>
      <c r="D414" s="133" t="s">
        <v>437</v>
      </c>
      <c r="E414" s="133" t="s">
        <v>246</v>
      </c>
      <c r="F414" s="134" t="s">
        <v>11</v>
      </c>
      <c r="G414" s="111">
        <f t="shared" si="84"/>
        <v>2930.2</v>
      </c>
      <c r="H414" s="111">
        <f t="shared" si="84"/>
        <v>0</v>
      </c>
      <c r="I414" s="111">
        <f t="shared" si="84"/>
        <v>2930.2</v>
      </c>
      <c r="J414" s="114">
        <f t="shared" si="84"/>
        <v>3074.2</v>
      </c>
      <c r="K414" s="111">
        <f>K415</f>
        <v>0</v>
      </c>
      <c r="L414" s="114">
        <f t="shared" si="84"/>
        <v>3074.2</v>
      </c>
      <c r="M414" s="111">
        <f t="shared" si="84"/>
        <v>6004.4</v>
      </c>
      <c r="N414" s="111">
        <f t="shared" si="84"/>
        <v>0</v>
      </c>
      <c r="O414" s="111">
        <f t="shared" si="84"/>
        <v>6004.4</v>
      </c>
      <c r="P414" s="97"/>
      <c r="Q414" s="97"/>
    </row>
    <row r="415" spans="1:17" ht="31.5" x14ac:dyDescent="0.2">
      <c r="A415" s="40"/>
      <c r="B415" s="113" t="s">
        <v>438</v>
      </c>
      <c r="C415" s="113" t="s">
        <v>51</v>
      </c>
      <c r="D415" s="133" t="s">
        <v>437</v>
      </c>
      <c r="E415" s="133" t="s">
        <v>439</v>
      </c>
      <c r="F415" s="134" t="s">
        <v>11</v>
      </c>
      <c r="G415" s="111">
        <f t="shared" si="84"/>
        <v>2930.2</v>
      </c>
      <c r="H415" s="111">
        <f t="shared" si="84"/>
        <v>0</v>
      </c>
      <c r="I415" s="111">
        <f t="shared" si="84"/>
        <v>2930.2</v>
      </c>
      <c r="J415" s="114">
        <f t="shared" si="84"/>
        <v>3074.2</v>
      </c>
      <c r="K415" s="111">
        <f>K416</f>
        <v>0</v>
      </c>
      <c r="L415" s="114">
        <f t="shared" si="84"/>
        <v>3074.2</v>
      </c>
      <c r="M415" s="111">
        <f t="shared" si="84"/>
        <v>6004.4</v>
      </c>
      <c r="N415" s="111">
        <f t="shared" si="84"/>
        <v>0</v>
      </c>
      <c r="O415" s="111">
        <f t="shared" si="84"/>
        <v>6004.4</v>
      </c>
      <c r="P415" s="97"/>
      <c r="Q415" s="97"/>
    </row>
    <row r="416" spans="1:17" ht="31.5" x14ac:dyDescent="0.2">
      <c r="A416" s="40"/>
      <c r="B416" s="113" t="s">
        <v>440</v>
      </c>
      <c r="C416" s="113" t="s">
        <v>51</v>
      </c>
      <c r="D416" s="133" t="s">
        <v>437</v>
      </c>
      <c r="E416" s="133" t="s">
        <v>441</v>
      </c>
      <c r="F416" s="134" t="s">
        <v>11</v>
      </c>
      <c r="G416" s="111">
        <f t="shared" si="84"/>
        <v>2930.2</v>
      </c>
      <c r="H416" s="111">
        <f t="shared" si="84"/>
        <v>0</v>
      </c>
      <c r="I416" s="111">
        <f t="shared" si="84"/>
        <v>2930.2</v>
      </c>
      <c r="J416" s="114">
        <f t="shared" si="84"/>
        <v>3074.2</v>
      </c>
      <c r="K416" s="111">
        <f>K417</f>
        <v>0</v>
      </c>
      <c r="L416" s="114">
        <f t="shared" si="84"/>
        <v>3074.2</v>
      </c>
      <c r="M416" s="111">
        <f t="shared" si="84"/>
        <v>6004.4</v>
      </c>
      <c r="N416" s="111">
        <f t="shared" si="84"/>
        <v>0</v>
      </c>
      <c r="O416" s="111">
        <f t="shared" si="84"/>
        <v>6004.4</v>
      </c>
      <c r="P416" s="97"/>
      <c r="Q416" s="97"/>
    </row>
    <row r="417" spans="1:17" ht="31.5" x14ac:dyDescent="0.2">
      <c r="A417" s="40"/>
      <c r="B417" s="113" t="s">
        <v>442</v>
      </c>
      <c r="C417" s="113" t="s">
        <v>51</v>
      </c>
      <c r="D417" s="133" t="s">
        <v>437</v>
      </c>
      <c r="E417" s="133" t="s">
        <v>443</v>
      </c>
      <c r="F417" s="134" t="s">
        <v>11</v>
      </c>
      <c r="G417" s="111">
        <f>G418</f>
        <v>2930.2</v>
      </c>
      <c r="H417" s="111"/>
      <c r="I417" s="111">
        <f>I418</f>
        <v>2930.2</v>
      </c>
      <c r="J417" s="114">
        <f t="shared" si="84"/>
        <v>3074.2</v>
      </c>
      <c r="K417" s="111"/>
      <c r="L417" s="114">
        <f t="shared" si="84"/>
        <v>3074.2</v>
      </c>
      <c r="M417" s="111">
        <f t="shared" si="84"/>
        <v>6004.4</v>
      </c>
      <c r="N417" s="111">
        <f t="shared" si="84"/>
        <v>0</v>
      </c>
      <c r="O417" s="111">
        <f t="shared" si="84"/>
        <v>6004.4</v>
      </c>
      <c r="P417" s="97"/>
      <c r="Q417" s="97"/>
    </row>
    <row r="418" spans="1:17" ht="31.5" x14ac:dyDescent="0.2">
      <c r="A418" s="40"/>
      <c r="B418" s="113" t="s">
        <v>112</v>
      </c>
      <c r="C418" s="113" t="s">
        <v>51</v>
      </c>
      <c r="D418" s="133" t="s">
        <v>437</v>
      </c>
      <c r="E418" s="133" t="s">
        <v>443</v>
      </c>
      <c r="F418" s="134" t="s">
        <v>113</v>
      </c>
      <c r="G418" s="111">
        <v>2930.2</v>
      </c>
      <c r="H418" s="109"/>
      <c r="I418" s="111">
        <v>2930.2</v>
      </c>
      <c r="J418" s="115">
        <v>3074.2</v>
      </c>
      <c r="K418" s="109"/>
      <c r="L418" s="115">
        <v>3074.2</v>
      </c>
      <c r="M418" s="111">
        <f>2930.2+J418</f>
        <v>6004.4</v>
      </c>
      <c r="N418" s="111"/>
      <c r="O418" s="111">
        <f>2930.2+L418</f>
        <v>6004.4</v>
      </c>
      <c r="P418" s="97"/>
      <c r="Q418" s="97"/>
    </row>
    <row r="419" spans="1:17" ht="15.75" x14ac:dyDescent="0.2">
      <c r="A419" s="33" t="s">
        <v>444</v>
      </c>
      <c r="B419" s="110" t="s">
        <v>445</v>
      </c>
      <c r="C419" s="110" t="s">
        <v>51</v>
      </c>
      <c r="D419" s="131" t="s">
        <v>446</v>
      </c>
      <c r="E419" s="131" t="s">
        <v>11</v>
      </c>
      <c r="F419" s="132" t="s">
        <v>11</v>
      </c>
      <c r="G419" s="109">
        <f t="shared" ref="G419:O423" si="85">G420</f>
        <v>120</v>
      </c>
      <c r="H419" s="111">
        <f t="shared" si="85"/>
        <v>0</v>
      </c>
      <c r="I419" s="109">
        <f t="shared" si="85"/>
        <v>120</v>
      </c>
      <c r="J419" s="112">
        <f t="shared" si="85"/>
        <v>0</v>
      </c>
      <c r="K419" s="111">
        <f>K420</f>
        <v>0</v>
      </c>
      <c r="L419" s="112">
        <f t="shared" si="85"/>
        <v>0</v>
      </c>
      <c r="M419" s="109">
        <f t="shared" si="85"/>
        <v>120</v>
      </c>
      <c r="N419" s="109">
        <f t="shared" si="85"/>
        <v>0</v>
      </c>
      <c r="O419" s="109">
        <f t="shared" si="85"/>
        <v>120</v>
      </c>
      <c r="P419" s="97"/>
      <c r="Q419" s="97"/>
    </row>
    <row r="420" spans="1:17" ht="31.5" x14ac:dyDescent="0.2">
      <c r="A420" s="40"/>
      <c r="B420" s="113" t="s">
        <v>87</v>
      </c>
      <c r="C420" s="113" t="s">
        <v>51</v>
      </c>
      <c r="D420" s="133" t="s">
        <v>446</v>
      </c>
      <c r="E420" s="133" t="s">
        <v>88</v>
      </c>
      <c r="F420" s="134" t="s">
        <v>11</v>
      </c>
      <c r="G420" s="111">
        <f t="shared" si="85"/>
        <v>120</v>
      </c>
      <c r="H420" s="111">
        <f t="shared" si="85"/>
        <v>0</v>
      </c>
      <c r="I420" s="111">
        <f t="shared" si="85"/>
        <v>120</v>
      </c>
      <c r="J420" s="114">
        <f t="shared" si="85"/>
        <v>0</v>
      </c>
      <c r="K420" s="111">
        <f>K421</f>
        <v>0</v>
      </c>
      <c r="L420" s="114">
        <f t="shared" si="85"/>
        <v>0</v>
      </c>
      <c r="M420" s="111">
        <f t="shared" si="85"/>
        <v>120</v>
      </c>
      <c r="N420" s="111">
        <f t="shared" si="85"/>
        <v>0</v>
      </c>
      <c r="O420" s="111">
        <f t="shared" si="85"/>
        <v>120</v>
      </c>
      <c r="P420" s="97"/>
      <c r="Q420" s="97"/>
    </row>
    <row r="421" spans="1:17" ht="47.25" x14ac:dyDescent="0.2">
      <c r="A421" s="40"/>
      <c r="B421" s="113" t="s">
        <v>89</v>
      </c>
      <c r="C421" s="113" t="s">
        <v>51</v>
      </c>
      <c r="D421" s="133" t="s">
        <v>446</v>
      </c>
      <c r="E421" s="133" t="s">
        <v>90</v>
      </c>
      <c r="F421" s="134" t="s">
        <v>11</v>
      </c>
      <c r="G421" s="111">
        <f t="shared" si="85"/>
        <v>120</v>
      </c>
      <c r="H421" s="111">
        <f t="shared" si="85"/>
        <v>0</v>
      </c>
      <c r="I421" s="111">
        <f t="shared" si="85"/>
        <v>120</v>
      </c>
      <c r="J421" s="114">
        <f t="shared" si="85"/>
        <v>0</v>
      </c>
      <c r="K421" s="111">
        <f>K422</f>
        <v>0</v>
      </c>
      <c r="L421" s="114">
        <f t="shared" si="85"/>
        <v>0</v>
      </c>
      <c r="M421" s="111">
        <f t="shared" si="85"/>
        <v>120</v>
      </c>
      <c r="N421" s="111">
        <f t="shared" si="85"/>
        <v>0</v>
      </c>
      <c r="O421" s="111">
        <f t="shared" si="85"/>
        <v>120</v>
      </c>
      <c r="P421" s="97"/>
      <c r="Q421" s="97"/>
    </row>
    <row r="422" spans="1:17" ht="36" customHeight="1" x14ac:dyDescent="0.2">
      <c r="A422" s="40"/>
      <c r="B422" s="113" t="s">
        <v>91</v>
      </c>
      <c r="C422" s="113" t="s">
        <v>51</v>
      </c>
      <c r="D422" s="133" t="s">
        <v>446</v>
      </c>
      <c r="E422" s="133" t="s">
        <v>92</v>
      </c>
      <c r="F422" s="134" t="s">
        <v>11</v>
      </c>
      <c r="G422" s="111">
        <f t="shared" si="85"/>
        <v>120</v>
      </c>
      <c r="H422" s="111">
        <f t="shared" si="85"/>
        <v>0</v>
      </c>
      <c r="I422" s="111">
        <f t="shared" si="85"/>
        <v>120</v>
      </c>
      <c r="J422" s="114">
        <f t="shared" si="85"/>
        <v>0</v>
      </c>
      <c r="K422" s="111">
        <f>K423</f>
        <v>0</v>
      </c>
      <c r="L422" s="114">
        <f t="shared" si="85"/>
        <v>0</v>
      </c>
      <c r="M422" s="111">
        <f t="shared" si="85"/>
        <v>120</v>
      </c>
      <c r="N422" s="111">
        <f t="shared" si="85"/>
        <v>0</v>
      </c>
      <c r="O422" s="111">
        <f t="shared" si="85"/>
        <v>120</v>
      </c>
      <c r="P422" s="97"/>
      <c r="Q422" s="97"/>
    </row>
    <row r="423" spans="1:17" ht="47.25" x14ac:dyDescent="0.2">
      <c r="A423" s="40"/>
      <c r="B423" s="113" t="s">
        <v>93</v>
      </c>
      <c r="C423" s="113" t="s">
        <v>51</v>
      </c>
      <c r="D423" s="133" t="s">
        <v>446</v>
      </c>
      <c r="E423" s="133" t="s">
        <v>94</v>
      </c>
      <c r="F423" s="134" t="s">
        <v>11</v>
      </c>
      <c r="G423" s="111">
        <f>G424</f>
        <v>120</v>
      </c>
      <c r="H423" s="111"/>
      <c r="I423" s="111">
        <f>I424</f>
        <v>120</v>
      </c>
      <c r="J423" s="114">
        <f t="shared" si="85"/>
        <v>0</v>
      </c>
      <c r="K423" s="111"/>
      <c r="L423" s="114">
        <f t="shared" si="85"/>
        <v>0</v>
      </c>
      <c r="M423" s="111">
        <f t="shared" si="85"/>
        <v>120</v>
      </c>
      <c r="N423" s="111">
        <f t="shared" si="85"/>
        <v>0</v>
      </c>
      <c r="O423" s="111">
        <f t="shared" si="85"/>
        <v>120</v>
      </c>
      <c r="P423" s="97"/>
      <c r="Q423" s="97"/>
    </row>
    <row r="424" spans="1:17" ht="33.6" customHeight="1" x14ac:dyDescent="0.2">
      <c r="A424" s="40"/>
      <c r="B424" s="113" t="s">
        <v>95</v>
      </c>
      <c r="C424" s="113" t="s">
        <v>51</v>
      </c>
      <c r="D424" s="133" t="s">
        <v>446</v>
      </c>
      <c r="E424" s="133" t="s">
        <v>94</v>
      </c>
      <c r="F424" s="134" t="s">
        <v>96</v>
      </c>
      <c r="G424" s="111">
        <v>120</v>
      </c>
      <c r="H424" s="106"/>
      <c r="I424" s="111">
        <v>120</v>
      </c>
      <c r="J424" s="115">
        <v>0</v>
      </c>
      <c r="K424" s="106"/>
      <c r="L424" s="115">
        <v>0</v>
      </c>
      <c r="M424" s="111">
        <v>120</v>
      </c>
      <c r="N424" s="111"/>
      <c r="O424" s="111">
        <v>120</v>
      </c>
      <c r="P424" s="97"/>
      <c r="Q424" s="97"/>
    </row>
    <row r="425" spans="1:17" ht="15.75" x14ac:dyDescent="0.2">
      <c r="A425" s="20" t="s">
        <v>447</v>
      </c>
      <c r="B425" s="107" t="s">
        <v>448</v>
      </c>
      <c r="C425" s="107" t="s">
        <v>51</v>
      </c>
      <c r="D425" s="129" t="s">
        <v>449</v>
      </c>
      <c r="E425" s="129" t="s">
        <v>11</v>
      </c>
      <c r="F425" s="130" t="s">
        <v>11</v>
      </c>
      <c r="G425" s="106">
        <f>G426</f>
        <v>1863.8</v>
      </c>
      <c r="H425" s="109">
        <f>H426+H431</f>
        <v>0</v>
      </c>
      <c r="I425" s="106">
        <f>I426</f>
        <v>1863.8</v>
      </c>
      <c r="J425" s="108">
        <f>J426</f>
        <v>0</v>
      </c>
      <c r="K425" s="109">
        <f>K426+K431</f>
        <v>0</v>
      </c>
      <c r="L425" s="108">
        <f>L426</f>
        <v>0</v>
      </c>
      <c r="M425" s="106">
        <f>M426</f>
        <v>1863.8</v>
      </c>
      <c r="N425" s="106">
        <f>N426</f>
        <v>0</v>
      </c>
      <c r="O425" s="106">
        <f>O426</f>
        <v>1863.8</v>
      </c>
      <c r="P425" s="97"/>
      <c r="Q425" s="97"/>
    </row>
    <row r="426" spans="1:17" ht="15.75" x14ac:dyDescent="0.2">
      <c r="A426" s="33" t="s">
        <v>450</v>
      </c>
      <c r="B426" s="110" t="s">
        <v>451</v>
      </c>
      <c r="C426" s="110" t="s">
        <v>51</v>
      </c>
      <c r="D426" s="131" t="s">
        <v>452</v>
      </c>
      <c r="E426" s="131" t="s">
        <v>11</v>
      </c>
      <c r="F426" s="132" t="s">
        <v>11</v>
      </c>
      <c r="G426" s="109">
        <f>G427+G432</f>
        <v>1863.8</v>
      </c>
      <c r="H426" s="111">
        <f t="shared" ref="G426:O428" si="86">H427</f>
        <v>0</v>
      </c>
      <c r="I426" s="109">
        <f>I427+I432</f>
        <v>1863.8</v>
      </c>
      <c r="J426" s="112">
        <f>J427+J432</f>
        <v>0</v>
      </c>
      <c r="K426" s="111">
        <f t="shared" si="86"/>
        <v>0</v>
      </c>
      <c r="L426" s="112">
        <f>L427+L432</f>
        <v>0</v>
      </c>
      <c r="M426" s="109">
        <f>M427+M432</f>
        <v>1863.8</v>
      </c>
      <c r="N426" s="109">
        <f>N427+N432</f>
        <v>0</v>
      </c>
      <c r="O426" s="109">
        <f>O427+O432</f>
        <v>1863.8</v>
      </c>
      <c r="P426" s="97"/>
      <c r="Q426" s="97"/>
    </row>
    <row r="427" spans="1:17" ht="31.5" x14ac:dyDescent="0.2">
      <c r="A427" s="40"/>
      <c r="B427" s="113" t="s">
        <v>453</v>
      </c>
      <c r="C427" s="113" t="s">
        <v>51</v>
      </c>
      <c r="D427" s="133" t="s">
        <v>452</v>
      </c>
      <c r="E427" s="133" t="s">
        <v>454</v>
      </c>
      <c r="F427" s="134" t="s">
        <v>11</v>
      </c>
      <c r="G427" s="111">
        <f t="shared" si="86"/>
        <v>1813.8</v>
      </c>
      <c r="H427" s="111">
        <f t="shared" si="86"/>
        <v>0</v>
      </c>
      <c r="I427" s="111">
        <f t="shared" si="86"/>
        <v>1813.8</v>
      </c>
      <c r="J427" s="114">
        <f t="shared" si="86"/>
        <v>0</v>
      </c>
      <c r="K427" s="111">
        <f t="shared" si="86"/>
        <v>0</v>
      </c>
      <c r="L427" s="114">
        <f t="shared" si="86"/>
        <v>0</v>
      </c>
      <c r="M427" s="111">
        <f t="shared" si="86"/>
        <v>1813.8</v>
      </c>
      <c r="N427" s="111">
        <f t="shared" si="86"/>
        <v>0</v>
      </c>
      <c r="O427" s="111">
        <f t="shared" si="86"/>
        <v>1813.8</v>
      </c>
      <c r="P427" s="97"/>
      <c r="Q427" s="97"/>
    </row>
    <row r="428" spans="1:17" ht="63" x14ac:dyDescent="0.2">
      <c r="A428" s="40"/>
      <c r="B428" s="113" t="s">
        <v>455</v>
      </c>
      <c r="C428" s="113" t="s">
        <v>51</v>
      </c>
      <c r="D428" s="133" t="s">
        <v>452</v>
      </c>
      <c r="E428" s="133" t="s">
        <v>456</v>
      </c>
      <c r="F428" s="134" t="s">
        <v>11</v>
      </c>
      <c r="G428" s="111">
        <f t="shared" si="86"/>
        <v>1813.8</v>
      </c>
      <c r="H428" s="111">
        <f>H429+H430</f>
        <v>0</v>
      </c>
      <c r="I428" s="111">
        <f t="shared" si="86"/>
        <v>1813.8</v>
      </c>
      <c r="J428" s="114">
        <f t="shared" si="86"/>
        <v>0</v>
      </c>
      <c r="K428" s="111">
        <f>K429+K430</f>
        <v>0</v>
      </c>
      <c r="L428" s="114">
        <f t="shared" si="86"/>
        <v>0</v>
      </c>
      <c r="M428" s="111">
        <f t="shared" si="86"/>
        <v>1813.8</v>
      </c>
      <c r="N428" s="111">
        <f t="shared" si="86"/>
        <v>0</v>
      </c>
      <c r="O428" s="111">
        <f t="shared" si="86"/>
        <v>1813.8</v>
      </c>
      <c r="P428" s="97"/>
      <c r="Q428" s="97"/>
    </row>
    <row r="429" spans="1:17" ht="47.25" x14ac:dyDescent="0.2">
      <c r="A429" s="40"/>
      <c r="B429" s="113" t="s">
        <v>457</v>
      </c>
      <c r="C429" s="113" t="s">
        <v>51</v>
      </c>
      <c r="D429" s="133" t="s">
        <v>452</v>
      </c>
      <c r="E429" s="133" t="s">
        <v>458</v>
      </c>
      <c r="F429" s="134" t="s">
        <v>11</v>
      </c>
      <c r="G429" s="111">
        <f>G430+G431</f>
        <v>1813.8</v>
      </c>
      <c r="H429" s="111"/>
      <c r="I429" s="111">
        <f>I430+I431</f>
        <v>1813.8</v>
      </c>
      <c r="J429" s="114">
        <f>J430+J431</f>
        <v>0</v>
      </c>
      <c r="K429" s="111"/>
      <c r="L429" s="114">
        <f>L430+L431</f>
        <v>0</v>
      </c>
      <c r="M429" s="111">
        <f>M430+M431</f>
        <v>1813.8</v>
      </c>
      <c r="N429" s="111">
        <f>N430+N431</f>
        <v>0</v>
      </c>
      <c r="O429" s="111">
        <f>O430+O431</f>
        <v>1813.8</v>
      </c>
      <c r="P429" s="97"/>
      <c r="Q429" s="97"/>
    </row>
    <row r="430" spans="1:17" ht="31.5" x14ac:dyDescent="0.2">
      <c r="A430" s="40"/>
      <c r="B430" s="113" t="s">
        <v>40</v>
      </c>
      <c r="C430" s="113" t="s">
        <v>51</v>
      </c>
      <c r="D430" s="133" t="s">
        <v>452</v>
      </c>
      <c r="E430" s="133" t="s">
        <v>458</v>
      </c>
      <c r="F430" s="134" t="s">
        <v>41</v>
      </c>
      <c r="G430" s="111">
        <v>300</v>
      </c>
      <c r="H430" s="111"/>
      <c r="I430" s="111">
        <v>300</v>
      </c>
      <c r="J430" s="115">
        <v>0</v>
      </c>
      <c r="K430" s="111"/>
      <c r="L430" s="115">
        <v>0</v>
      </c>
      <c r="M430" s="111">
        <v>300</v>
      </c>
      <c r="N430" s="111"/>
      <c r="O430" s="111">
        <v>300</v>
      </c>
      <c r="P430" s="97"/>
      <c r="Q430" s="97"/>
    </row>
    <row r="431" spans="1:17" ht="31.5" x14ac:dyDescent="0.2">
      <c r="A431" s="40"/>
      <c r="B431" s="113" t="s">
        <v>112</v>
      </c>
      <c r="C431" s="113" t="s">
        <v>51</v>
      </c>
      <c r="D431" s="133" t="s">
        <v>452</v>
      </c>
      <c r="E431" s="133" t="s">
        <v>458</v>
      </c>
      <c r="F431" s="134" t="s">
        <v>113</v>
      </c>
      <c r="G431" s="111">
        <v>1513.8</v>
      </c>
      <c r="H431" s="111"/>
      <c r="I431" s="111">
        <v>1513.8</v>
      </c>
      <c r="J431" s="115">
        <v>0</v>
      </c>
      <c r="K431" s="111"/>
      <c r="L431" s="115">
        <v>0</v>
      </c>
      <c r="M431" s="111">
        <v>1513.8</v>
      </c>
      <c r="N431" s="111"/>
      <c r="O431" s="111">
        <v>1513.8</v>
      </c>
      <c r="P431" s="97"/>
      <c r="Q431" s="97"/>
    </row>
    <row r="432" spans="1:17" ht="15.75" x14ac:dyDescent="0.2">
      <c r="A432" s="40"/>
      <c r="B432" s="113" t="s">
        <v>459</v>
      </c>
      <c r="C432" s="113" t="s">
        <v>51</v>
      </c>
      <c r="D432" s="133" t="s">
        <v>452</v>
      </c>
      <c r="E432" s="133" t="s">
        <v>460</v>
      </c>
      <c r="F432" s="134" t="s">
        <v>11</v>
      </c>
      <c r="G432" s="111">
        <f t="shared" ref="G432:O434" si="87">G433</f>
        <v>50</v>
      </c>
      <c r="H432" s="111">
        <f t="shared" si="87"/>
        <v>0</v>
      </c>
      <c r="I432" s="111">
        <f t="shared" si="87"/>
        <v>50</v>
      </c>
      <c r="J432" s="114">
        <f t="shared" si="87"/>
        <v>0</v>
      </c>
      <c r="K432" s="111">
        <f>K433</f>
        <v>0</v>
      </c>
      <c r="L432" s="114">
        <f t="shared" si="87"/>
        <v>0</v>
      </c>
      <c r="M432" s="111">
        <f t="shared" si="87"/>
        <v>50</v>
      </c>
      <c r="N432" s="111">
        <f t="shared" si="87"/>
        <v>0</v>
      </c>
      <c r="O432" s="111">
        <f t="shared" si="87"/>
        <v>50</v>
      </c>
      <c r="P432" s="97"/>
      <c r="Q432" s="97"/>
    </row>
    <row r="433" spans="1:17" ht="39.6" customHeight="1" x14ac:dyDescent="0.2">
      <c r="A433" s="40"/>
      <c r="B433" s="113" t="s">
        <v>461</v>
      </c>
      <c r="C433" s="113" t="s">
        <v>51</v>
      </c>
      <c r="D433" s="133" t="s">
        <v>452</v>
      </c>
      <c r="E433" s="133" t="s">
        <v>462</v>
      </c>
      <c r="F433" s="134" t="s">
        <v>11</v>
      </c>
      <c r="G433" s="111">
        <f t="shared" si="87"/>
        <v>50</v>
      </c>
      <c r="H433" s="111">
        <f t="shared" si="87"/>
        <v>0</v>
      </c>
      <c r="I433" s="111">
        <f t="shared" si="87"/>
        <v>50</v>
      </c>
      <c r="J433" s="114">
        <f t="shared" si="87"/>
        <v>0</v>
      </c>
      <c r="K433" s="111">
        <f>K434</f>
        <v>0</v>
      </c>
      <c r="L433" s="114">
        <f t="shared" si="87"/>
        <v>0</v>
      </c>
      <c r="M433" s="111">
        <f t="shared" si="87"/>
        <v>50</v>
      </c>
      <c r="N433" s="111">
        <f t="shared" si="87"/>
        <v>0</v>
      </c>
      <c r="O433" s="111">
        <f t="shared" si="87"/>
        <v>50</v>
      </c>
      <c r="P433" s="97"/>
      <c r="Q433" s="97"/>
    </row>
    <row r="434" spans="1:17" ht="31.5" x14ac:dyDescent="0.2">
      <c r="A434" s="40"/>
      <c r="B434" s="113" t="s">
        <v>463</v>
      </c>
      <c r="C434" s="113" t="s">
        <v>51</v>
      </c>
      <c r="D434" s="133" t="s">
        <v>452</v>
      </c>
      <c r="E434" s="133" t="s">
        <v>464</v>
      </c>
      <c r="F434" s="134" t="s">
        <v>11</v>
      </c>
      <c r="G434" s="111">
        <f>G435</f>
        <v>50</v>
      </c>
      <c r="H434" s="111"/>
      <c r="I434" s="111">
        <f>I435</f>
        <v>50</v>
      </c>
      <c r="J434" s="114">
        <f t="shared" si="87"/>
        <v>0</v>
      </c>
      <c r="K434" s="111"/>
      <c r="L434" s="114">
        <f t="shared" si="87"/>
        <v>0</v>
      </c>
      <c r="M434" s="111">
        <f t="shared" si="87"/>
        <v>50</v>
      </c>
      <c r="N434" s="111">
        <f t="shared" si="87"/>
        <v>0</v>
      </c>
      <c r="O434" s="111">
        <f t="shared" si="87"/>
        <v>50</v>
      </c>
      <c r="P434" s="97"/>
      <c r="Q434" s="97"/>
    </row>
    <row r="435" spans="1:17" ht="31.5" x14ac:dyDescent="0.2">
      <c r="A435" s="40"/>
      <c r="B435" s="113" t="s">
        <v>40</v>
      </c>
      <c r="C435" s="113" t="s">
        <v>51</v>
      </c>
      <c r="D435" s="133" t="s">
        <v>452</v>
      </c>
      <c r="E435" s="133" t="s">
        <v>464</v>
      </c>
      <c r="F435" s="134" t="s">
        <v>41</v>
      </c>
      <c r="G435" s="111">
        <v>50</v>
      </c>
      <c r="H435" s="106"/>
      <c r="I435" s="111">
        <v>50</v>
      </c>
      <c r="J435" s="115"/>
      <c r="K435" s="106">
        <f t="shared" ref="G435:O441" si="88">K436</f>
        <v>0</v>
      </c>
      <c r="L435" s="115"/>
      <c r="M435" s="111">
        <v>50</v>
      </c>
      <c r="N435" s="111"/>
      <c r="O435" s="111">
        <v>50</v>
      </c>
      <c r="P435" s="97"/>
      <c r="Q435" s="97"/>
    </row>
    <row r="436" spans="1:17" ht="31.5" x14ac:dyDescent="0.2">
      <c r="A436" s="20" t="s">
        <v>465</v>
      </c>
      <c r="B436" s="107" t="s">
        <v>466</v>
      </c>
      <c r="C436" s="107" t="s">
        <v>51</v>
      </c>
      <c r="D436" s="129" t="s">
        <v>467</v>
      </c>
      <c r="E436" s="129" t="s">
        <v>11</v>
      </c>
      <c r="F436" s="130" t="s">
        <v>11</v>
      </c>
      <c r="G436" s="106">
        <f t="shared" si="88"/>
        <v>10.5</v>
      </c>
      <c r="H436" s="109">
        <f t="shared" si="88"/>
        <v>0</v>
      </c>
      <c r="I436" s="106">
        <f t="shared" si="88"/>
        <v>10.5</v>
      </c>
      <c r="J436" s="108">
        <f t="shared" si="88"/>
        <v>0</v>
      </c>
      <c r="K436" s="109">
        <f t="shared" si="88"/>
        <v>0</v>
      </c>
      <c r="L436" s="108">
        <f t="shared" si="88"/>
        <v>0</v>
      </c>
      <c r="M436" s="106">
        <f t="shared" si="88"/>
        <v>10.5</v>
      </c>
      <c r="N436" s="106">
        <f t="shared" si="88"/>
        <v>0</v>
      </c>
      <c r="O436" s="106">
        <f t="shared" si="88"/>
        <v>10.5</v>
      </c>
      <c r="P436" s="97"/>
      <c r="Q436" s="97"/>
    </row>
    <row r="437" spans="1:17" ht="31.5" x14ac:dyDescent="0.2">
      <c r="A437" s="33" t="s">
        <v>468</v>
      </c>
      <c r="B437" s="110" t="s">
        <v>469</v>
      </c>
      <c r="C437" s="110" t="s">
        <v>51</v>
      </c>
      <c r="D437" s="131" t="s">
        <v>470</v>
      </c>
      <c r="E437" s="131" t="s">
        <v>11</v>
      </c>
      <c r="F437" s="132" t="s">
        <v>11</v>
      </c>
      <c r="G437" s="109">
        <f t="shared" si="88"/>
        <v>10.5</v>
      </c>
      <c r="H437" s="111">
        <f t="shared" si="88"/>
        <v>0</v>
      </c>
      <c r="I437" s="109">
        <f t="shared" si="88"/>
        <v>10.5</v>
      </c>
      <c r="J437" s="112">
        <f t="shared" si="88"/>
        <v>0</v>
      </c>
      <c r="K437" s="111">
        <f t="shared" si="88"/>
        <v>0</v>
      </c>
      <c r="L437" s="112">
        <f t="shared" si="88"/>
        <v>0</v>
      </c>
      <c r="M437" s="109">
        <f t="shared" si="88"/>
        <v>10.5</v>
      </c>
      <c r="N437" s="109">
        <f t="shared" si="88"/>
        <v>0</v>
      </c>
      <c r="O437" s="109">
        <f t="shared" si="88"/>
        <v>10.5</v>
      </c>
      <c r="P437" s="97"/>
      <c r="Q437" s="97"/>
    </row>
    <row r="438" spans="1:17" ht="31.5" x14ac:dyDescent="0.2">
      <c r="A438" s="40"/>
      <c r="B438" s="113" t="s">
        <v>128</v>
      </c>
      <c r="C438" s="113" t="s">
        <v>51</v>
      </c>
      <c r="D438" s="133" t="s">
        <v>470</v>
      </c>
      <c r="E438" s="133" t="s">
        <v>129</v>
      </c>
      <c r="F438" s="134" t="s">
        <v>11</v>
      </c>
      <c r="G438" s="111">
        <f t="shared" si="88"/>
        <v>10.5</v>
      </c>
      <c r="H438" s="111">
        <f t="shared" si="88"/>
        <v>0</v>
      </c>
      <c r="I438" s="111">
        <f t="shared" si="88"/>
        <v>10.5</v>
      </c>
      <c r="J438" s="114">
        <f t="shared" si="88"/>
        <v>0</v>
      </c>
      <c r="K438" s="111">
        <f t="shared" si="88"/>
        <v>0</v>
      </c>
      <c r="L438" s="114">
        <f t="shared" si="88"/>
        <v>0</v>
      </c>
      <c r="M438" s="111">
        <f t="shared" si="88"/>
        <v>10.5</v>
      </c>
      <c r="N438" s="111">
        <f t="shared" si="88"/>
        <v>0</v>
      </c>
      <c r="O438" s="111">
        <f t="shared" si="88"/>
        <v>10.5</v>
      </c>
      <c r="P438" s="97"/>
      <c r="Q438" s="97"/>
    </row>
    <row r="439" spans="1:17" ht="15.75" x14ac:dyDescent="0.2">
      <c r="A439" s="40"/>
      <c r="B439" s="113" t="s">
        <v>141</v>
      </c>
      <c r="C439" s="113" t="s">
        <v>51</v>
      </c>
      <c r="D439" s="133" t="s">
        <v>470</v>
      </c>
      <c r="E439" s="133" t="s">
        <v>142</v>
      </c>
      <c r="F439" s="134" t="s">
        <v>11</v>
      </c>
      <c r="G439" s="111">
        <f t="shared" si="88"/>
        <v>10.5</v>
      </c>
      <c r="H439" s="111">
        <f t="shared" si="88"/>
        <v>0</v>
      </c>
      <c r="I439" s="111">
        <f t="shared" si="88"/>
        <v>10.5</v>
      </c>
      <c r="J439" s="114">
        <f t="shared" si="88"/>
        <v>0</v>
      </c>
      <c r="K439" s="111">
        <f t="shared" si="88"/>
        <v>0</v>
      </c>
      <c r="L439" s="114">
        <f t="shared" si="88"/>
        <v>0</v>
      </c>
      <c r="M439" s="111">
        <f t="shared" si="88"/>
        <v>10.5</v>
      </c>
      <c r="N439" s="111">
        <f t="shared" si="88"/>
        <v>0</v>
      </c>
      <c r="O439" s="111">
        <f t="shared" si="88"/>
        <v>10.5</v>
      </c>
      <c r="P439" s="97"/>
      <c r="Q439" s="97"/>
    </row>
    <row r="440" spans="1:17" ht="24" customHeight="1" x14ac:dyDescent="0.2">
      <c r="A440" s="40"/>
      <c r="B440" s="113" t="s">
        <v>143</v>
      </c>
      <c r="C440" s="113" t="s">
        <v>51</v>
      </c>
      <c r="D440" s="133" t="s">
        <v>470</v>
      </c>
      <c r="E440" s="133" t="s">
        <v>144</v>
      </c>
      <c r="F440" s="134" t="s">
        <v>11</v>
      </c>
      <c r="G440" s="111">
        <f t="shared" si="88"/>
        <v>10.5</v>
      </c>
      <c r="H440" s="111">
        <f>SUM(H441)</f>
        <v>0</v>
      </c>
      <c r="I440" s="111">
        <f t="shared" si="88"/>
        <v>10.5</v>
      </c>
      <c r="J440" s="114">
        <f t="shared" si="88"/>
        <v>0</v>
      </c>
      <c r="K440" s="111">
        <f t="shared" si="88"/>
        <v>0</v>
      </c>
      <c r="L440" s="114">
        <f t="shared" si="88"/>
        <v>0</v>
      </c>
      <c r="M440" s="111">
        <f t="shared" si="88"/>
        <v>10.5</v>
      </c>
      <c r="N440" s="111">
        <f t="shared" si="88"/>
        <v>0</v>
      </c>
      <c r="O440" s="111">
        <f t="shared" si="88"/>
        <v>10.5</v>
      </c>
      <c r="P440" s="97"/>
      <c r="Q440" s="97"/>
    </row>
    <row r="441" spans="1:17" ht="15.75" x14ac:dyDescent="0.2">
      <c r="A441" s="40"/>
      <c r="B441" s="113" t="s">
        <v>471</v>
      </c>
      <c r="C441" s="113" t="s">
        <v>51</v>
      </c>
      <c r="D441" s="133" t="s">
        <v>470</v>
      </c>
      <c r="E441" s="133" t="s">
        <v>472</v>
      </c>
      <c r="F441" s="134" t="s">
        <v>11</v>
      </c>
      <c r="G441" s="111">
        <f t="shared" si="88"/>
        <v>10.5</v>
      </c>
      <c r="H441" s="111">
        <f t="shared" si="88"/>
        <v>0</v>
      </c>
      <c r="I441" s="111">
        <f t="shared" si="88"/>
        <v>10.5</v>
      </c>
      <c r="J441" s="114">
        <f t="shared" si="88"/>
        <v>0</v>
      </c>
      <c r="K441" s="111"/>
      <c r="L441" s="114">
        <f t="shared" si="88"/>
        <v>0</v>
      </c>
      <c r="M441" s="111">
        <f t="shared" si="88"/>
        <v>10.5</v>
      </c>
      <c r="N441" s="111">
        <f t="shared" si="88"/>
        <v>0</v>
      </c>
      <c r="O441" s="111">
        <f t="shared" si="88"/>
        <v>10.5</v>
      </c>
      <c r="P441" s="97"/>
      <c r="Q441" s="97"/>
    </row>
    <row r="442" spans="1:17" ht="31.5" x14ac:dyDescent="0.2">
      <c r="A442" s="40"/>
      <c r="B442" s="113" t="s">
        <v>473</v>
      </c>
      <c r="C442" s="113" t="s">
        <v>51</v>
      </c>
      <c r="D442" s="133" t="s">
        <v>470</v>
      </c>
      <c r="E442" s="133" t="s">
        <v>472</v>
      </c>
      <c r="F442" s="134" t="s">
        <v>474</v>
      </c>
      <c r="G442" s="111">
        <v>10.5</v>
      </c>
      <c r="H442" s="106"/>
      <c r="I442" s="111">
        <v>10.5</v>
      </c>
      <c r="J442" s="115">
        <v>0</v>
      </c>
      <c r="K442" s="106"/>
      <c r="L442" s="115">
        <v>0</v>
      </c>
      <c r="M442" s="111">
        <f>SUM(G442)</f>
        <v>10.5</v>
      </c>
      <c r="N442" s="111">
        <f>SUM(H442)</f>
        <v>0</v>
      </c>
      <c r="O442" s="111">
        <f>SUM(I442)</f>
        <v>10.5</v>
      </c>
      <c r="P442" s="97"/>
      <c r="Q442" s="97"/>
    </row>
    <row r="443" spans="1:17" ht="31.5" x14ac:dyDescent="0.2">
      <c r="A443" s="20" t="s">
        <v>475</v>
      </c>
      <c r="B443" s="107" t="s">
        <v>476</v>
      </c>
      <c r="C443" s="107" t="s">
        <v>477</v>
      </c>
      <c r="D443" s="129" t="s">
        <v>11</v>
      </c>
      <c r="E443" s="129" t="s">
        <v>11</v>
      </c>
      <c r="F443" s="130" t="s">
        <v>11</v>
      </c>
      <c r="G443" s="106">
        <f>G444</f>
        <v>139329.9</v>
      </c>
      <c r="H443" s="106">
        <f>H444+H472+H478</f>
        <v>230</v>
      </c>
      <c r="I443" s="106">
        <f>I444</f>
        <v>139559.9</v>
      </c>
      <c r="J443" s="108">
        <f>J444</f>
        <v>21624.1</v>
      </c>
      <c r="K443" s="109">
        <f>K444+K472+K480</f>
        <v>500</v>
      </c>
      <c r="L443" s="108">
        <f>L444</f>
        <v>22124.1</v>
      </c>
      <c r="M443" s="106">
        <f>M444</f>
        <v>160954</v>
      </c>
      <c r="N443" s="106">
        <f>N444</f>
        <v>730</v>
      </c>
      <c r="O443" s="106">
        <f>O444</f>
        <v>161684</v>
      </c>
      <c r="P443" s="97"/>
      <c r="Q443" s="98"/>
    </row>
    <row r="444" spans="1:17" ht="15.75" x14ac:dyDescent="0.2">
      <c r="A444" s="20" t="s">
        <v>478</v>
      </c>
      <c r="B444" s="107" t="s">
        <v>479</v>
      </c>
      <c r="C444" s="107" t="s">
        <v>477</v>
      </c>
      <c r="D444" s="129" t="s">
        <v>480</v>
      </c>
      <c r="E444" s="129" t="s">
        <v>11</v>
      </c>
      <c r="F444" s="130" t="s">
        <v>11</v>
      </c>
      <c r="G444" s="106">
        <f>G445+G473+G481</f>
        <v>139329.9</v>
      </c>
      <c r="H444" s="109">
        <f>H445+H481</f>
        <v>230</v>
      </c>
      <c r="I444" s="106">
        <f>I445+I473+I481</f>
        <v>139559.9</v>
      </c>
      <c r="J444" s="108">
        <f>J445+J473+J481</f>
        <v>21624.1</v>
      </c>
      <c r="K444" s="109">
        <f>K445+K473+K481</f>
        <v>500</v>
      </c>
      <c r="L444" s="108">
        <f>L445+L473+L481</f>
        <v>22124.1</v>
      </c>
      <c r="M444" s="106">
        <f>SUM(G444+J444)</f>
        <v>160954</v>
      </c>
      <c r="N444" s="106">
        <f>N445+N473+N481</f>
        <v>730</v>
      </c>
      <c r="O444" s="106">
        <f>SUM(I444+L444)</f>
        <v>161684</v>
      </c>
      <c r="P444" s="97"/>
      <c r="Q444" s="98"/>
    </row>
    <row r="445" spans="1:17" ht="15.75" x14ac:dyDescent="0.2">
      <c r="A445" s="33" t="s">
        <v>481</v>
      </c>
      <c r="B445" s="110" t="s">
        <v>482</v>
      </c>
      <c r="C445" s="110" t="s">
        <v>477</v>
      </c>
      <c r="D445" s="131" t="s">
        <v>483</v>
      </c>
      <c r="E445" s="131" t="s">
        <v>11</v>
      </c>
      <c r="F445" s="132" t="s">
        <v>11</v>
      </c>
      <c r="G445" s="109">
        <f>G446</f>
        <v>110456.5</v>
      </c>
      <c r="H445" s="111">
        <f>H446+H454</f>
        <v>230</v>
      </c>
      <c r="I445" s="109">
        <f>I446</f>
        <v>110686.5</v>
      </c>
      <c r="J445" s="112">
        <f>J446</f>
        <v>20950.3</v>
      </c>
      <c r="K445" s="111">
        <f>K446+K454</f>
        <v>500</v>
      </c>
      <c r="L445" s="112">
        <f>L446</f>
        <v>21450.3</v>
      </c>
      <c r="M445" s="109">
        <f>M446</f>
        <v>131406.79999999999</v>
      </c>
      <c r="N445" s="109">
        <f>N446</f>
        <v>730</v>
      </c>
      <c r="O445" s="109">
        <f>O446</f>
        <v>132136.79999999999</v>
      </c>
      <c r="P445" s="97"/>
      <c r="Q445" s="97"/>
    </row>
    <row r="446" spans="1:17" ht="31.5" x14ac:dyDescent="0.2">
      <c r="A446" s="40"/>
      <c r="B446" s="113" t="s">
        <v>484</v>
      </c>
      <c r="C446" s="113" t="s">
        <v>477</v>
      </c>
      <c r="D446" s="133" t="s">
        <v>483</v>
      </c>
      <c r="E446" s="133" t="s">
        <v>485</v>
      </c>
      <c r="F446" s="134" t="s">
        <v>11</v>
      </c>
      <c r="G446" s="111">
        <f>G447+G455</f>
        <v>110456.5</v>
      </c>
      <c r="H446" s="111">
        <f>H447+H462+H457+H464</f>
        <v>230</v>
      </c>
      <c r="I446" s="111">
        <f>I447+I455</f>
        <v>110686.5</v>
      </c>
      <c r="J446" s="114">
        <f>J447+J455</f>
        <v>20950.3</v>
      </c>
      <c r="K446" s="111">
        <f>K447+K455</f>
        <v>500</v>
      </c>
      <c r="L446" s="114">
        <f>L447+L455</f>
        <v>21450.3</v>
      </c>
      <c r="M446" s="111">
        <f>M447+M455</f>
        <v>131406.79999999999</v>
      </c>
      <c r="N446" s="111">
        <f>N447+N462+N457+N464+N466</f>
        <v>730</v>
      </c>
      <c r="O446" s="111">
        <f>O447+O455</f>
        <v>132136.79999999999</v>
      </c>
      <c r="P446" s="97"/>
      <c r="Q446" s="97"/>
    </row>
    <row r="447" spans="1:17" ht="15.75" x14ac:dyDescent="0.2">
      <c r="A447" s="40"/>
      <c r="B447" s="113" t="s">
        <v>486</v>
      </c>
      <c r="C447" s="113" t="s">
        <v>477</v>
      </c>
      <c r="D447" s="133" t="s">
        <v>483</v>
      </c>
      <c r="E447" s="133" t="s">
        <v>487</v>
      </c>
      <c r="F447" s="134" t="s">
        <v>11</v>
      </c>
      <c r="G447" s="111">
        <f>G448</f>
        <v>6334.3</v>
      </c>
      <c r="H447" s="111">
        <f>H448+H452</f>
        <v>0</v>
      </c>
      <c r="I447" s="111">
        <f>I448</f>
        <v>6334.3</v>
      </c>
      <c r="J447" s="114">
        <f>J448</f>
        <v>0</v>
      </c>
      <c r="K447" s="111">
        <f>K448+K450+K452</f>
        <v>0</v>
      </c>
      <c r="L447" s="114">
        <f>L448</f>
        <v>0</v>
      </c>
      <c r="M447" s="111">
        <f>M448</f>
        <v>6334.3</v>
      </c>
      <c r="N447" s="111">
        <f>N448</f>
        <v>0</v>
      </c>
      <c r="O447" s="111">
        <f>O448</f>
        <v>6334.3</v>
      </c>
      <c r="P447" s="97"/>
      <c r="Q447" s="97"/>
    </row>
    <row r="448" spans="1:17" ht="15.75" x14ac:dyDescent="0.2">
      <c r="A448" s="40"/>
      <c r="B448" s="113" t="s">
        <v>488</v>
      </c>
      <c r="C448" s="113" t="s">
        <v>477</v>
      </c>
      <c r="D448" s="133" t="s">
        <v>483</v>
      </c>
      <c r="E448" s="133" t="s">
        <v>489</v>
      </c>
      <c r="F448" s="134" t="s">
        <v>11</v>
      </c>
      <c r="G448" s="111">
        <f>G449+G451+G453</f>
        <v>6334.3</v>
      </c>
      <c r="H448" s="111">
        <f>H449</f>
        <v>0</v>
      </c>
      <c r="I448" s="111">
        <f>I449+I451+I453</f>
        <v>6334.3</v>
      </c>
      <c r="J448" s="114">
        <f>J449+J451+J453</f>
        <v>0</v>
      </c>
      <c r="K448" s="111">
        <f>K449</f>
        <v>0</v>
      </c>
      <c r="L448" s="114">
        <f>L449+L451+L453</f>
        <v>0</v>
      </c>
      <c r="M448" s="111">
        <f>M449+M451+M453</f>
        <v>6334.3</v>
      </c>
      <c r="N448" s="111">
        <f>N449+N451+N453</f>
        <v>0</v>
      </c>
      <c r="O448" s="111">
        <f>O449+O451+O453</f>
        <v>6334.3</v>
      </c>
      <c r="P448" s="97"/>
      <c r="Q448" s="97"/>
    </row>
    <row r="449" spans="1:17" ht="15.75" x14ac:dyDescent="0.2">
      <c r="A449" s="40"/>
      <c r="B449" s="113" t="s">
        <v>490</v>
      </c>
      <c r="C449" s="113" t="s">
        <v>477</v>
      </c>
      <c r="D449" s="133" t="s">
        <v>483</v>
      </c>
      <c r="E449" s="133" t="s">
        <v>491</v>
      </c>
      <c r="F449" s="134" t="s">
        <v>11</v>
      </c>
      <c r="G449" s="111">
        <f>G450</f>
        <v>6034.3</v>
      </c>
      <c r="H449" s="111">
        <f>H450</f>
        <v>0</v>
      </c>
      <c r="I449" s="111">
        <f>I450</f>
        <v>6034.3</v>
      </c>
      <c r="J449" s="114">
        <f>J450</f>
        <v>0</v>
      </c>
      <c r="K449" s="111"/>
      <c r="L449" s="114">
        <f>L450</f>
        <v>0</v>
      </c>
      <c r="M449" s="111">
        <f>M450</f>
        <v>6034.3</v>
      </c>
      <c r="N449" s="111">
        <f>N450</f>
        <v>0</v>
      </c>
      <c r="O449" s="111">
        <f>O450</f>
        <v>6034.3</v>
      </c>
      <c r="P449" s="97"/>
      <c r="Q449" s="97"/>
    </row>
    <row r="450" spans="1:17" ht="31.5" x14ac:dyDescent="0.2">
      <c r="A450" s="40"/>
      <c r="B450" s="113" t="s">
        <v>40</v>
      </c>
      <c r="C450" s="113" t="s">
        <v>477</v>
      </c>
      <c r="D450" s="133" t="s">
        <v>483</v>
      </c>
      <c r="E450" s="133" t="s">
        <v>491</v>
      </c>
      <c r="F450" s="134" t="s">
        <v>41</v>
      </c>
      <c r="G450" s="111">
        <v>6034.3</v>
      </c>
      <c r="H450" s="111"/>
      <c r="I450" s="111">
        <f>SUM(G450+H450)</f>
        <v>6034.3</v>
      </c>
      <c r="J450" s="115">
        <v>0</v>
      </c>
      <c r="K450" s="111"/>
      <c r="L450" s="115">
        <v>0</v>
      </c>
      <c r="M450" s="111">
        <f>SUM(G450)</f>
        <v>6034.3</v>
      </c>
      <c r="N450" s="111">
        <f>SUM(H450)</f>
        <v>0</v>
      </c>
      <c r="O450" s="111">
        <f>SUM(M450+N450)</f>
        <v>6034.3</v>
      </c>
      <c r="P450" s="97"/>
      <c r="Q450" s="97"/>
    </row>
    <row r="451" spans="1:17" ht="15.75" x14ac:dyDescent="0.2">
      <c r="A451" s="40"/>
      <c r="B451" s="113" t="s">
        <v>492</v>
      </c>
      <c r="C451" s="113" t="s">
        <v>477</v>
      </c>
      <c r="D451" s="133" t="s">
        <v>483</v>
      </c>
      <c r="E451" s="133" t="s">
        <v>493</v>
      </c>
      <c r="F451" s="134" t="s">
        <v>11</v>
      </c>
      <c r="G451" s="111">
        <f>G452</f>
        <v>300</v>
      </c>
      <c r="H451" s="111"/>
      <c r="I451" s="111">
        <f>I452</f>
        <v>300</v>
      </c>
      <c r="J451" s="114">
        <f>J452</f>
        <v>0</v>
      </c>
      <c r="K451" s="111"/>
      <c r="L451" s="114">
        <f>L452</f>
        <v>0</v>
      </c>
      <c r="M451" s="111">
        <f>M452</f>
        <v>300</v>
      </c>
      <c r="N451" s="111">
        <f>N452</f>
        <v>0</v>
      </c>
      <c r="O451" s="111">
        <f>O452</f>
        <v>300</v>
      </c>
      <c r="P451" s="97"/>
      <c r="Q451" s="97"/>
    </row>
    <row r="452" spans="1:17" ht="26.25" customHeight="1" x14ac:dyDescent="0.2">
      <c r="A452" s="40"/>
      <c r="B452" s="113" t="s">
        <v>40</v>
      </c>
      <c r="C452" s="113" t="s">
        <v>477</v>
      </c>
      <c r="D452" s="133" t="s">
        <v>483</v>
      </c>
      <c r="E452" s="133" t="s">
        <v>493</v>
      </c>
      <c r="F452" s="134" t="s">
        <v>41</v>
      </c>
      <c r="G452" s="111">
        <f>300000/1000</f>
        <v>300</v>
      </c>
      <c r="H452" s="111"/>
      <c r="I452" s="111">
        <f>300000/1000</f>
        <v>300</v>
      </c>
      <c r="J452" s="115">
        <v>0</v>
      </c>
      <c r="K452" s="111"/>
      <c r="L452" s="115">
        <v>0</v>
      </c>
      <c r="M452" s="111">
        <f>300000/1000</f>
        <v>300</v>
      </c>
      <c r="N452" s="111"/>
      <c r="O452" s="111">
        <f>300000/1000</f>
        <v>300</v>
      </c>
      <c r="P452" s="97"/>
      <c r="Q452" s="97"/>
    </row>
    <row r="453" spans="1:17" ht="15.75" hidden="1" x14ac:dyDescent="0.2">
      <c r="A453" s="40"/>
      <c r="B453" s="113" t="s">
        <v>378</v>
      </c>
      <c r="C453" s="113" t="s">
        <v>477</v>
      </c>
      <c r="D453" s="133" t="s">
        <v>483</v>
      </c>
      <c r="E453" s="133" t="s">
        <v>494</v>
      </c>
      <c r="F453" s="134" t="s">
        <v>11</v>
      </c>
      <c r="G453" s="111">
        <f>G454</f>
        <v>0</v>
      </c>
      <c r="H453" s="111"/>
      <c r="I453" s="111">
        <f>I454</f>
        <v>0</v>
      </c>
      <c r="J453" s="114">
        <f>J454</f>
        <v>0</v>
      </c>
      <c r="K453" s="111"/>
      <c r="L453" s="114">
        <f>L454</f>
        <v>0</v>
      </c>
      <c r="M453" s="111">
        <f>M454</f>
        <v>0</v>
      </c>
      <c r="N453" s="111">
        <f>N454</f>
        <v>0</v>
      </c>
      <c r="O453" s="111">
        <f>O454</f>
        <v>0</v>
      </c>
      <c r="P453" s="97"/>
      <c r="Q453" s="97"/>
    </row>
    <row r="454" spans="1:17" ht="31.5" hidden="1" x14ac:dyDescent="0.2">
      <c r="A454" s="40"/>
      <c r="B454" s="113" t="s">
        <v>40</v>
      </c>
      <c r="C454" s="113" t="s">
        <v>477</v>
      </c>
      <c r="D454" s="133" t="s">
        <v>483</v>
      </c>
      <c r="E454" s="133" t="s">
        <v>494</v>
      </c>
      <c r="F454" s="134" t="s">
        <v>41</v>
      </c>
      <c r="G454" s="111"/>
      <c r="H454" s="111"/>
      <c r="I454" s="111"/>
      <c r="J454" s="115">
        <v>0</v>
      </c>
      <c r="K454" s="111"/>
      <c r="L454" s="115">
        <v>0</v>
      </c>
      <c r="M454" s="111"/>
      <c r="N454" s="111"/>
      <c r="O454" s="111"/>
      <c r="P454" s="97"/>
      <c r="Q454" s="97"/>
    </row>
    <row r="455" spans="1:17" ht="47.25" x14ac:dyDescent="0.2">
      <c r="A455" s="40"/>
      <c r="B455" s="113" t="s">
        <v>495</v>
      </c>
      <c r="C455" s="113" t="s">
        <v>477</v>
      </c>
      <c r="D455" s="133" t="s">
        <v>483</v>
      </c>
      <c r="E455" s="133" t="s">
        <v>496</v>
      </c>
      <c r="F455" s="134" t="s">
        <v>11</v>
      </c>
      <c r="G455" s="111">
        <f>G456+G470</f>
        <v>104122.2</v>
      </c>
      <c r="H455" s="111">
        <f>H456+H461+H465+H470+H462</f>
        <v>230</v>
      </c>
      <c r="I455" s="111">
        <f>I456+I470</f>
        <v>104352.2</v>
      </c>
      <c r="J455" s="114">
        <f>J456+J470</f>
        <v>20950.3</v>
      </c>
      <c r="K455" s="111">
        <f>K456+K470</f>
        <v>500</v>
      </c>
      <c r="L455" s="114">
        <f>L456+L470</f>
        <v>21450.3</v>
      </c>
      <c r="M455" s="111">
        <f>M456+M470</f>
        <v>125072.49999999999</v>
      </c>
      <c r="N455" s="111">
        <f>N456</f>
        <v>730</v>
      </c>
      <c r="O455" s="111">
        <f>O456+O470</f>
        <v>125802.49999999999</v>
      </c>
      <c r="P455" s="97"/>
      <c r="Q455" s="97"/>
    </row>
    <row r="456" spans="1:17" ht="47.25" x14ac:dyDescent="0.2">
      <c r="A456" s="40"/>
      <c r="B456" s="113" t="s">
        <v>497</v>
      </c>
      <c r="C456" s="113" t="s">
        <v>477</v>
      </c>
      <c r="D456" s="133" t="s">
        <v>483</v>
      </c>
      <c r="E456" s="133" t="s">
        <v>498</v>
      </c>
      <c r="F456" s="134" t="s">
        <v>11</v>
      </c>
      <c r="G456" s="111">
        <f>G457+G464+G468+G462</f>
        <v>103867.8</v>
      </c>
      <c r="H456" s="111">
        <f>SUM(H457)</f>
        <v>0</v>
      </c>
      <c r="I456" s="111">
        <f>I457+I464+I468+I462</f>
        <v>104097.8</v>
      </c>
      <c r="J456" s="114">
        <f>J457+J464+J468+J462</f>
        <v>19387.8</v>
      </c>
      <c r="K456" s="111">
        <f>K457+K459+K462+K464+K468+K466</f>
        <v>500</v>
      </c>
      <c r="L456" s="114">
        <f>L457+L464+L468+L462+L466</f>
        <v>19887.8</v>
      </c>
      <c r="M456" s="111">
        <f>M457+M464+M468+M462+M466</f>
        <v>123255.59999999999</v>
      </c>
      <c r="N456" s="111">
        <f>N457+N464+N468+N462+N466</f>
        <v>730</v>
      </c>
      <c r="O456" s="111">
        <f>O457+O464+O468+O462+O466</f>
        <v>123985.59999999999</v>
      </c>
      <c r="P456" s="97"/>
      <c r="Q456" s="97"/>
    </row>
    <row r="457" spans="1:17" ht="31.5" x14ac:dyDescent="0.2">
      <c r="A457" s="40"/>
      <c r="B457" s="113" t="s">
        <v>134</v>
      </c>
      <c r="C457" s="113" t="s">
        <v>477</v>
      </c>
      <c r="D457" s="133" t="s">
        <v>483</v>
      </c>
      <c r="E457" s="133" t="s">
        <v>499</v>
      </c>
      <c r="F457" s="134" t="s">
        <v>11</v>
      </c>
      <c r="G457" s="111">
        <f>G458+G459+G460+G461</f>
        <v>99978.700000000012</v>
      </c>
      <c r="H457" s="111">
        <f>SUM(H459)+H460</f>
        <v>0</v>
      </c>
      <c r="I457" s="111">
        <f>I458+I459+I460+I461</f>
        <v>99978.700000000012</v>
      </c>
      <c r="J457" s="114">
        <f>J458+J459+J460+J461</f>
        <v>15541.599999999999</v>
      </c>
      <c r="K457" s="111"/>
      <c r="L457" s="114">
        <f>L458+L459+L460+L461</f>
        <v>15541.599999999999</v>
      </c>
      <c r="M457" s="111">
        <f>M458+M459+M460+M461</f>
        <v>115520.3</v>
      </c>
      <c r="N457" s="111">
        <f>N458+N459+N461+N460</f>
        <v>0</v>
      </c>
      <c r="O457" s="111">
        <f>O458+O459+O460+O461</f>
        <v>115520.3</v>
      </c>
      <c r="P457" s="97"/>
      <c r="Q457" s="97"/>
    </row>
    <row r="458" spans="1:17" ht="48" customHeight="1" x14ac:dyDescent="0.2">
      <c r="A458" s="40"/>
      <c r="B458" s="113" t="s">
        <v>61</v>
      </c>
      <c r="C458" s="113" t="s">
        <v>477</v>
      </c>
      <c r="D458" s="133" t="s">
        <v>483</v>
      </c>
      <c r="E458" s="133" t="s">
        <v>499</v>
      </c>
      <c r="F458" s="134" t="s">
        <v>62</v>
      </c>
      <c r="G458" s="111">
        <f>16503800/1000</f>
        <v>16503.8</v>
      </c>
      <c r="H458" s="111"/>
      <c r="I458" s="111">
        <f>16503800/1000</f>
        <v>16503.8</v>
      </c>
      <c r="J458" s="115">
        <v>2349.1999999999998</v>
      </c>
      <c r="K458" s="111"/>
      <c r="L458" s="111">
        <v>2349.1999999999998</v>
      </c>
      <c r="M458" s="111">
        <f>G458+J458</f>
        <v>18853</v>
      </c>
      <c r="N458" s="111">
        <f>SUM(K458)</f>
        <v>0</v>
      </c>
      <c r="O458" s="111">
        <f>I458+L458</f>
        <v>18853</v>
      </c>
      <c r="P458" s="97"/>
      <c r="Q458" s="97"/>
    </row>
    <row r="459" spans="1:17" ht="31.5" x14ac:dyDescent="0.2">
      <c r="A459" s="40"/>
      <c r="B459" s="113" t="s">
        <v>40</v>
      </c>
      <c r="C459" s="113" t="s">
        <v>477</v>
      </c>
      <c r="D459" s="133" t="s">
        <v>483</v>
      </c>
      <c r="E459" s="133" t="s">
        <v>499</v>
      </c>
      <c r="F459" s="134" t="s">
        <v>41</v>
      </c>
      <c r="G459" s="111">
        <v>6317.8</v>
      </c>
      <c r="H459" s="111"/>
      <c r="I459" s="111">
        <f>SUM(G459)</f>
        <v>6317.8</v>
      </c>
      <c r="J459" s="115">
        <v>0</v>
      </c>
      <c r="K459" s="111"/>
      <c r="L459" s="115">
        <v>0</v>
      </c>
      <c r="M459" s="111">
        <f>SUM(G459)</f>
        <v>6317.8</v>
      </c>
      <c r="N459" s="111">
        <f>SUM(H459)</f>
        <v>0</v>
      </c>
      <c r="O459" s="111">
        <f>SUM(I459)</f>
        <v>6317.8</v>
      </c>
      <c r="P459" s="97"/>
      <c r="Q459" s="97"/>
    </row>
    <row r="460" spans="1:17" ht="39" customHeight="1" x14ac:dyDescent="0.2">
      <c r="A460" s="40"/>
      <c r="B460" s="113" t="s">
        <v>95</v>
      </c>
      <c r="C460" s="113" t="s">
        <v>477</v>
      </c>
      <c r="D460" s="133" t="s">
        <v>483</v>
      </c>
      <c r="E460" s="133" t="s">
        <v>499</v>
      </c>
      <c r="F460" s="134" t="s">
        <v>96</v>
      </c>
      <c r="G460" s="111">
        <f>75925300/1000+1213.2</f>
        <v>77138.5</v>
      </c>
      <c r="H460" s="111"/>
      <c r="I460" s="111">
        <f>75925300/1000+1213.2+H460</f>
        <v>77138.5</v>
      </c>
      <c r="J460" s="115">
        <v>13192.4</v>
      </c>
      <c r="K460" s="111"/>
      <c r="L460" s="111">
        <v>13192.4</v>
      </c>
      <c r="M460" s="111">
        <f>G460+J460</f>
        <v>90330.9</v>
      </c>
      <c r="N460" s="111">
        <f>SUM(K460)</f>
        <v>0</v>
      </c>
      <c r="O460" s="111">
        <f>I460+L460</f>
        <v>90330.9</v>
      </c>
      <c r="P460" s="97"/>
      <c r="Q460" s="97"/>
    </row>
    <row r="461" spans="1:17" ht="15.75" x14ac:dyDescent="0.2">
      <c r="A461" s="40"/>
      <c r="B461" s="113" t="s">
        <v>338</v>
      </c>
      <c r="C461" s="113" t="s">
        <v>477</v>
      </c>
      <c r="D461" s="133" t="s">
        <v>483</v>
      </c>
      <c r="E461" s="133" t="s">
        <v>499</v>
      </c>
      <c r="F461" s="134" t="s">
        <v>71</v>
      </c>
      <c r="G461" s="111">
        <f>18600/1000</f>
        <v>18.600000000000001</v>
      </c>
      <c r="H461" s="111"/>
      <c r="I461" s="111">
        <f>18600/1000</f>
        <v>18.600000000000001</v>
      </c>
      <c r="J461" s="115">
        <v>0</v>
      </c>
      <c r="K461" s="111"/>
      <c r="L461" s="115">
        <v>0</v>
      </c>
      <c r="M461" s="111">
        <f>18600/1000</f>
        <v>18.600000000000001</v>
      </c>
      <c r="N461" s="111"/>
      <c r="O461" s="111">
        <f>18600/1000</f>
        <v>18.600000000000001</v>
      </c>
      <c r="P461" s="97"/>
      <c r="Q461" s="97"/>
    </row>
    <row r="462" spans="1:17" ht="31.5" x14ac:dyDescent="0.2">
      <c r="A462" s="40"/>
      <c r="B462" s="113" t="s">
        <v>500</v>
      </c>
      <c r="C462" s="113">
        <v>993</v>
      </c>
      <c r="D462" s="133" t="s">
        <v>483</v>
      </c>
      <c r="E462" s="136" t="s">
        <v>501</v>
      </c>
      <c r="F462" s="134"/>
      <c r="G462" s="111">
        <f>SUM(F462)+G463</f>
        <v>2048.9</v>
      </c>
      <c r="H462" s="111">
        <f>SUM(H463)</f>
        <v>230</v>
      </c>
      <c r="I462" s="111">
        <f>SUM(G462)+H462</f>
        <v>2278.9</v>
      </c>
      <c r="J462" s="115">
        <f>SUM(J463)</f>
        <v>0</v>
      </c>
      <c r="K462" s="111">
        <f>SUM(K463)</f>
        <v>0</v>
      </c>
      <c r="L462" s="115">
        <f>SUM(J462)+K462</f>
        <v>0</v>
      </c>
      <c r="M462" s="111">
        <f>SUM(G462+J462)</f>
        <v>2048.9</v>
      </c>
      <c r="N462" s="111">
        <f>SUM(K462)+H462</f>
        <v>230</v>
      </c>
      <c r="O462" s="111">
        <f>SUM(I462)+L462</f>
        <v>2278.9</v>
      </c>
      <c r="P462" s="97"/>
      <c r="Q462" s="97"/>
    </row>
    <row r="463" spans="1:17" ht="47.25" x14ac:dyDescent="0.2">
      <c r="A463" s="40"/>
      <c r="B463" s="113" t="s">
        <v>95</v>
      </c>
      <c r="C463" s="113">
        <v>993</v>
      </c>
      <c r="D463" s="133" t="s">
        <v>483</v>
      </c>
      <c r="E463" s="136" t="s">
        <v>501</v>
      </c>
      <c r="F463" s="134">
        <v>600</v>
      </c>
      <c r="G463" s="111">
        <v>2048.9</v>
      </c>
      <c r="H463" s="111">
        <v>230</v>
      </c>
      <c r="I463" s="111">
        <f>SUM(G463)+H463</f>
        <v>2278.9</v>
      </c>
      <c r="J463" s="115">
        <v>0</v>
      </c>
      <c r="K463" s="111"/>
      <c r="L463" s="115">
        <f>SUM(J463)+K463</f>
        <v>0</v>
      </c>
      <c r="M463" s="111">
        <f>SUM(G463+J463)</f>
        <v>2048.9</v>
      </c>
      <c r="N463" s="111">
        <f>SUM(K463)+H463</f>
        <v>230</v>
      </c>
      <c r="O463" s="111">
        <f>SUM(I463)+L463</f>
        <v>2278.9</v>
      </c>
      <c r="P463" s="97"/>
      <c r="Q463" s="97"/>
    </row>
    <row r="464" spans="1:17" ht="47.25" x14ac:dyDescent="0.2">
      <c r="A464" s="40"/>
      <c r="B464" s="113" t="s">
        <v>283</v>
      </c>
      <c r="C464" s="113" t="s">
        <v>477</v>
      </c>
      <c r="D464" s="133" t="s">
        <v>483</v>
      </c>
      <c r="E464" s="133" t="s">
        <v>502</v>
      </c>
      <c r="F464" s="134" t="s">
        <v>11</v>
      </c>
      <c r="G464" s="111">
        <f>G465</f>
        <v>1214</v>
      </c>
      <c r="H464" s="111">
        <f>SUM(H465)</f>
        <v>0</v>
      </c>
      <c r="I464" s="111">
        <f>SUM(G464)+H464</f>
        <v>1214</v>
      </c>
      <c r="J464" s="114">
        <f t="shared" ref="J464:O464" si="89">J465</f>
        <v>0</v>
      </c>
      <c r="K464" s="111">
        <f t="shared" si="89"/>
        <v>0</v>
      </c>
      <c r="L464" s="114">
        <f t="shared" si="89"/>
        <v>0</v>
      </c>
      <c r="M464" s="111">
        <f t="shared" si="89"/>
        <v>1214</v>
      </c>
      <c r="N464" s="111">
        <f t="shared" si="89"/>
        <v>0</v>
      </c>
      <c r="O464" s="111">
        <f t="shared" si="89"/>
        <v>1214</v>
      </c>
      <c r="P464" s="97"/>
      <c r="Q464" s="97"/>
    </row>
    <row r="465" spans="1:17" ht="36" customHeight="1" x14ac:dyDescent="0.2">
      <c r="A465" s="40"/>
      <c r="B465" s="113" t="s">
        <v>95</v>
      </c>
      <c r="C465" s="113" t="s">
        <v>477</v>
      </c>
      <c r="D465" s="133" t="s">
        <v>483</v>
      </c>
      <c r="E465" s="133" t="s">
        <v>502</v>
      </c>
      <c r="F465" s="134" t="s">
        <v>96</v>
      </c>
      <c r="G465" s="111">
        <v>1214</v>
      </c>
      <c r="H465" s="111"/>
      <c r="I465" s="111">
        <f>SUM(G465)+H465</f>
        <v>1214</v>
      </c>
      <c r="J465" s="115"/>
      <c r="K465" s="111">
        <v>0</v>
      </c>
      <c r="L465" s="115">
        <f>SUM(J465:K465)</f>
        <v>0</v>
      </c>
      <c r="M465" s="111">
        <f>SUM(G465)</f>
        <v>1214</v>
      </c>
      <c r="N465" s="111">
        <f>H465+K465</f>
        <v>0</v>
      </c>
      <c r="O465" s="111">
        <f>SUM(M465)+N465</f>
        <v>1214</v>
      </c>
      <c r="P465" s="97"/>
      <c r="Q465" s="97"/>
    </row>
    <row r="466" spans="1:17" ht="79.150000000000006" customHeight="1" x14ac:dyDescent="0.2">
      <c r="A466" s="40"/>
      <c r="B466" s="118" t="s">
        <v>587</v>
      </c>
      <c r="C466" s="113" t="s">
        <v>477</v>
      </c>
      <c r="D466" s="133" t="s">
        <v>483</v>
      </c>
      <c r="E466" s="136" t="s">
        <v>586</v>
      </c>
      <c r="F466" s="134" t="s">
        <v>11</v>
      </c>
      <c r="G466" s="111"/>
      <c r="H466" s="111"/>
      <c r="I466" s="111"/>
      <c r="J466" s="115">
        <f t="shared" ref="J466:O466" si="90">J467</f>
        <v>0</v>
      </c>
      <c r="K466" s="111">
        <f t="shared" si="90"/>
        <v>500</v>
      </c>
      <c r="L466" s="115">
        <f t="shared" si="90"/>
        <v>500</v>
      </c>
      <c r="M466" s="111">
        <f t="shared" si="90"/>
        <v>0</v>
      </c>
      <c r="N466" s="111">
        <f t="shared" si="90"/>
        <v>500</v>
      </c>
      <c r="O466" s="111">
        <f t="shared" si="90"/>
        <v>500</v>
      </c>
      <c r="P466" s="97"/>
      <c r="Q466" s="97"/>
    </row>
    <row r="467" spans="1:17" ht="36" customHeight="1" x14ac:dyDescent="0.2">
      <c r="A467" s="40"/>
      <c r="B467" s="113" t="s">
        <v>95</v>
      </c>
      <c r="C467" s="113" t="s">
        <v>477</v>
      </c>
      <c r="D467" s="133" t="s">
        <v>483</v>
      </c>
      <c r="E467" s="136" t="s">
        <v>586</v>
      </c>
      <c r="F467" s="134" t="s">
        <v>96</v>
      </c>
      <c r="G467" s="111"/>
      <c r="H467" s="111"/>
      <c r="I467" s="111"/>
      <c r="J467" s="115"/>
      <c r="K467" s="111">
        <v>500</v>
      </c>
      <c r="L467" s="115">
        <f>SUM(J467:K467)</f>
        <v>500</v>
      </c>
      <c r="M467" s="111">
        <f>G467+J467</f>
        <v>0</v>
      </c>
      <c r="N467" s="111">
        <f>H467+K467</f>
        <v>500</v>
      </c>
      <c r="O467" s="111">
        <f>SUM(M467:N467)</f>
        <v>500</v>
      </c>
      <c r="P467" s="97"/>
      <c r="Q467" s="97"/>
    </row>
    <row r="468" spans="1:17" ht="31.5" x14ac:dyDescent="0.2">
      <c r="A468" s="40"/>
      <c r="B468" s="113" t="s">
        <v>503</v>
      </c>
      <c r="C468" s="113" t="s">
        <v>477</v>
      </c>
      <c r="D468" s="133" t="s">
        <v>483</v>
      </c>
      <c r="E468" s="133" t="s">
        <v>504</v>
      </c>
      <c r="F468" s="134" t="s">
        <v>11</v>
      </c>
      <c r="G468" s="111">
        <f>G469</f>
        <v>626.20000000000005</v>
      </c>
      <c r="H468" s="111"/>
      <c r="I468" s="111">
        <f>I469</f>
        <v>626.20000000000005</v>
      </c>
      <c r="J468" s="114">
        <f>J469</f>
        <v>3846.2</v>
      </c>
      <c r="K468" s="111"/>
      <c r="L468" s="114">
        <f>L469</f>
        <v>3846.2</v>
      </c>
      <c r="M468" s="111">
        <f>M469</f>
        <v>4472.3999999999996</v>
      </c>
      <c r="N468" s="111">
        <f>N469</f>
        <v>0</v>
      </c>
      <c r="O468" s="111">
        <f>O469</f>
        <v>4472.3999999999996</v>
      </c>
      <c r="P468" s="97"/>
      <c r="Q468" s="97"/>
    </row>
    <row r="469" spans="1:17" ht="36" customHeight="1" x14ac:dyDescent="0.2">
      <c r="A469" s="40"/>
      <c r="B469" s="113" t="s">
        <v>95</v>
      </c>
      <c r="C469" s="113" t="s">
        <v>477</v>
      </c>
      <c r="D469" s="133" t="s">
        <v>483</v>
      </c>
      <c r="E469" s="133" t="s">
        <v>504</v>
      </c>
      <c r="F469" s="134" t="s">
        <v>96</v>
      </c>
      <c r="G469" s="111">
        <v>626.20000000000005</v>
      </c>
      <c r="H469" s="111"/>
      <c r="I469" s="111">
        <v>626.20000000000005</v>
      </c>
      <c r="J469" s="115">
        <v>3846.2</v>
      </c>
      <c r="K469" s="111"/>
      <c r="L469" s="115">
        <v>3846.2</v>
      </c>
      <c r="M469" s="111">
        <f>626.2+J469</f>
        <v>4472.3999999999996</v>
      </c>
      <c r="N469" s="111"/>
      <c r="O469" s="111">
        <f>626.2+L469</f>
        <v>4472.3999999999996</v>
      </c>
      <c r="P469" s="97"/>
      <c r="Q469" s="97"/>
    </row>
    <row r="470" spans="1:17" ht="16.899999999999999" customHeight="1" x14ac:dyDescent="0.2">
      <c r="A470" s="40"/>
      <c r="B470" s="135" t="s">
        <v>505</v>
      </c>
      <c r="C470" s="113">
        <v>993</v>
      </c>
      <c r="D470" s="133" t="s">
        <v>483</v>
      </c>
      <c r="E470" s="133" t="s">
        <v>506</v>
      </c>
      <c r="F470" s="134"/>
      <c r="G470" s="111">
        <v>254.4</v>
      </c>
      <c r="H470" s="111"/>
      <c r="I470" s="111">
        <v>254.4</v>
      </c>
      <c r="J470" s="115">
        <v>1562.5</v>
      </c>
      <c r="K470" s="111"/>
      <c r="L470" s="115">
        <v>1562.5</v>
      </c>
      <c r="M470" s="111">
        <f>254.4+J470</f>
        <v>1816.9</v>
      </c>
      <c r="N470" s="111"/>
      <c r="O470" s="111">
        <f>254.4+L470</f>
        <v>1816.9</v>
      </c>
      <c r="P470" s="97"/>
      <c r="Q470" s="97"/>
    </row>
    <row r="471" spans="1:17" ht="36" customHeight="1" x14ac:dyDescent="0.2">
      <c r="A471" s="40"/>
      <c r="B471" s="135" t="s">
        <v>507</v>
      </c>
      <c r="C471" s="113">
        <v>993</v>
      </c>
      <c r="D471" s="133" t="s">
        <v>483</v>
      </c>
      <c r="E471" s="133" t="s">
        <v>508</v>
      </c>
      <c r="F471" s="134"/>
      <c r="G471" s="111">
        <v>254.4</v>
      </c>
      <c r="H471" s="111"/>
      <c r="I471" s="111">
        <v>254.4</v>
      </c>
      <c r="J471" s="115">
        <v>1562.5</v>
      </c>
      <c r="K471" s="111"/>
      <c r="L471" s="115">
        <v>1562.5</v>
      </c>
      <c r="M471" s="111">
        <f>254.4+J471</f>
        <v>1816.9</v>
      </c>
      <c r="N471" s="111"/>
      <c r="O471" s="111">
        <f>254.4+L471</f>
        <v>1816.9</v>
      </c>
      <c r="P471" s="97"/>
      <c r="Q471" s="97"/>
    </row>
    <row r="472" spans="1:17" ht="36" customHeight="1" x14ac:dyDescent="0.2">
      <c r="A472" s="40"/>
      <c r="B472" s="113" t="s">
        <v>95</v>
      </c>
      <c r="C472" s="113">
        <v>993</v>
      </c>
      <c r="D472" s="133" t="s">
        <v>483</v>
      </c>
      <c r="E472" s="133" t="s">
        <v>508</v>
      </c>
      <c r="F472" s="134">
        <v>600</v>
      </c>
      <c r="G472" s="111">
        <v>254.4</v>
      </c>
      <c r="H472" s="109"/>
      <c r="I472" s="111">
        <v>254.4</v>
      </c>
      <c r="J472" s="115">
        <v>1562.5</v>
      </c>
      <c r="K472" s="109"/>
      <c r="L472" s="115">
        <v>1562.5</v>
      </c>
      <c r="M472" s="111">
        <f>254.4+J472</f>
        <v>1816.9</v>
      </c>
      <c r="N472" s="111"/>
      <c r="O472" s="111">
        <f>254.4+L472</f>
        <v>1816.9</v>
      </c>
      <c r="P472" s="97"/>
      <c r="Q472" s="97"/>
    </row>
    <row r="473" spans="1:17" ht="15.75" x14ac:dyDescent="0.2">
      <c r="A473" s="33" t="s">
        <v>509</v>
      </c>
      <c r="B473" s="110" t="s">
        <v>510</v>
      </c>
      <c r="C473" s="110" t="s">
        <v>477</v>
      </c>
      <c r="D473" s="131" t="s">
        <v>511</v>
      </c>
      <c r="E473" s="131" t="s">
        <v>11</v>
      </c>
      <c r="F473" s="132" t="s">
        <v>11</v>
      </c>
      <c r="G473" s="109">
        <f t="shared" ref="G473:O477" si="91">G474</f>
        <v>11335.7</v>
      </c>
      <c r="H473" s="111">
        <f t="shared" si="91"/>
        <v>0</v>
      </c>
      <c r="I473" s="109">
        <f t="shared" si="91"/>
        <v>11335.7</v>
      </c>
      <c r="J473" s="112">
        <f t="shared" si="91"/>
        <v>266.2</v>
      </c>
      <c r="K473" s="111">
        <f>K474</f>
        <v>0</v>
      </c>
      <c r="L473" s="112">
        <f t="shared" si="91"/>
        <v>266.2</v>
      </c>
      <c r="M473" s="109">
        <f>M474</f>
        <v>11601.900000000001</v>
      </c>
      <c r="N473" s="109">
        <f t="shared" si="91"/>
        <v>0</v>
      </c>
      <c r="O473" s="109">
        <f t="shared" si="91"/>
        <v>11601.900000000001</v>
      </c>
      <c r="P473" s="97"/>
      <c r="Q473" s="97"/>
    </row>
    <row r="474" spans="1:17" ht="31.5" x14ac:dyDescent="0.2">
      <c r="A474" s="40"/>
      <c r="B474" s="113" t="s">
        <v>484</v>
      </c>
      <c r="C474" s="113" t="s">
        <v>477</v>
      </c>
      <c r="D474" s="133" t="s">
        <v>511</v>
      </c>
      <c r="E474" s="133" t="s">
        <v>485</v>
      </c>
      <c r="F474" s="134" t="s">
        <v>11</v>
      </c>
      <c r="G474" s="111">
        <f t="shared" si="91"/>
        <v>11335.7</v>
      </c>
      <c r="H474" s="111">
        <f t="shared" si="91"/>
        <v>0</v>
      </c>
      <c r="I474" s="111">
        <f t="shared" si="91"/>
        <v>11335.7</v>
      </c>
      <c r="J474" s="114">
        <f t="shared" si="91"/>
        <v>266.2</v>
      </c>
      <c r="K474" s="111">
        <f>K475</f>
        <v>0</v>
      </c>
      <c r="L474" s="114">
        <f t="shared" si="91"/>
        <v>266.2</v>
      </c>
      <c r="M474" s="111">
        <f t="shared" si="91"/>
        <v>11601.900000000001</v>
      </c>
      <c r="N474" s="111">
        <f t="shared" si="91"/>
        <v>0</v>
      </c>
      <c r="O474" s="111">
        <f t="shared" si="91"/>
        <v>11601.900000000001</v>
      </c>
      <c r="P474" s="97"/>
      <c r="Q474" s="97"/>
    </row>
    <row r="475" spans="1:17" ht="47.25" x14ac:dyDescent="0.2">
      <c r="A475" s="40"/>
      <c r="B475" s="113" t="s">
        <v>495</v>
      </c>
      <c r="C475" s="113" t="s">
        <v>477</v>
      </c>
      <c r="D475" s="133" t="s">
        <v>511</v>
      </c>
      <c r="E475" s="133" t="s">
        <v>496</v>
      </c>
      <c r="F475" s="134" t="s">
        <v>11</v>
      </c>
      <c r="G475" s="111">
        <f t="shared" si="91"/>
        <v>11335.7</v>
      </c>
      <c r="H475" s="111">
        <f t="shared" si="91"/>
        <v>0</v>
      </c>
      <c r="I475" s="111">
        <f t="shared" si="91"/>
        <v>11335.7</v>
      </c>
      <c r="J475" s="114">
        <f t="shared" si="91"/>
        <v>266.2</v>
      </c>
      <c r="K475" s="111">
        <f>K476</f>
        <v>0</v>
      </c>
      <c r="L475" s="114">
        <f t="shared" si="91"/>
        <v>266.2</v>
      </c>
      <c r="M475" s="111">
        <f t="shared" si="91"/>
        <v>11601.900000000001</v>
      </c>
      <c r="N475" s="111">
        <f t="shared" si="91"/>
        <v>0</v>
      </c>
      <c r="O475" s="111">
        <f t="shared" si="91"/>
        <v>11601.900000000001</v>
      </c>
      <c r="P475" s="97"/>
      <c r="Q475" s="97"/>
    </row>
    <row r="476" spans="1:17" ht="47.25" x14ac:dyDescent="0.2">
      <c r="A476" s="40"/>
      <c r="B476" s="113" t="s">
        <v>497</v>
      </c>
      <c r="C476" s="113" t="s">
        <v>477</v>
      </c>
      <c r="D476" s="133" t="s">
        <v>511</v>
      </c>
      <c r="E476" s="133" t="s">
        <v>498</v>
      </c>
      <c r="F476" s="134" t="s">
        <v>11</v>
      </c>
      <c r="G476" s="111">
        <f>G477+G479</f>
        <v>11335.7</v>
      </c>
      <c r="H476" s="111">
        <f>SUM(H477)</f>
        <v>0</v>
      </c>
      <c r="I476" s="111">
        <f>I477+I479</f>
        <v>11335.7</v>
      </c>
      <c r="J476" s="114">
        <f t="shared" si="91"/>
        <v>266.2</v>
      </c>
      <c r="K476" s="111">
        <f>K477</f>
        <v>0</v>
      </c>
      <c r="L476" s="114">
        <f t="shared" si="91"/>
        <v>266.2</v>
      </c>
      <c r="M476" s="111">
        <f>M477+M479</f>
        <v>11601.900000000001</v>
      </c>
      <c r="N476" s="111">
        <f>SUM(K476)</f>
        <v>0</v>
      </c>
      <c r="O476" s="111">
        <f>O477+O479</f>
        <v>11601.900000000001</v>
      </c>
      <c r="P476" s="97"/>
      <c r="Q476" s="97"/>
    </row>
    <row r="477" spans="1:17" ht="31.5" x14ac:dyDescent="0.2">
      <c r="A477" s="40"/>
      <c r="B477" s="113" t="s">
        <v>134</v>
      </c>
      <c r="C477" s="113" t="s">
        <v>477</v>
      </c>
      <c r="D477" s="133" t="s">
        <v>511</v>
      </c>
      <c r="E477" s="133" t="s">
        <v>499</v>
      </c>
      <c r="F477" s="134" t="s">
        <v>11</v>
      </c>
      <c r="G477" s="111">
        <f>G478</f>
        <v>10735.7</v>
      </c>
      <c r="H477" s="109"/>
      <c r="I477" s="111">
        <f>I478</f>
        <v>10735.7</v>
      </c>
      <c r="J477" s="114">
        <f t="shared" si="91"/>
        <v>266.2</v>
      </c>
      <c r="K477" s="109"/>
      <c r="L477" s="114">
        <f t="shared" si="91"/>
        <v>266.2</v>
      </c>
      <c r="M477" s="111">
        <f t="shared" si="91"/>
        <v>11001.900000000001</v>
      </c>
      <c r="N477" s="111">
        <f t="shared" si="91"/>
        <v>0</v>
      </c>
      <c r="O477" s="111">
        <f t="shared" si="91"/>
        <v>11001.900000000001</v>
      </c>
      <c r="P477" s="97"/>
      <c r="Q477" s="97"/>
    </row>
    <row r="478" spans="1:17" ht="36.6" customHeight="1" x14ac:dyDescent="0.2">
      <c r="A478" s="40"/>
      <c r="B478" s="113" t="s">
        <v>95</v>
      </c>
      <c r="C478" s="113" t="s">
        <v>477</v>
      </c>
      <c r="D478" s="133" t="s">
        <v>511</v>
      </c>
      <c r="E478" s="133" t="s">
        <v>499</v>
      </c>
      <c r="F478" s="134" t="s">
        <v>96</v>
      </c>
      <c r="G478" s="111">
        <f>10735700/1000</f>
        <v>10735.7</v>
      </c>
      <c r="H478" s="109"/>
      <c r="I478" s="111">
        <f>10735700/1000+H478</f>
        <v>10735.7</v>
      </c>
      <c r="J478" s="115">
        <v>266.2</v>
      </c>
      <c r="K478" s="109"/>
      <c r="L478" s="115">
        <v>266.2</v>
      </c>
      <c r="M478" s="111">
        <f>G478+J478</f>
        <v>11001.900000000001</v>
      </c>
      <c r="N478" s="111">
        <f>SUM(K478)</f>
        <v>0</v>
      </c>
      <c r="O478" s="111">
        <f>I478+L478</f>
        <v>11001.900000000001</v>
      </c>
      <c r="P478" s="97"/>
      <c r="Q478" s="97"/>
    </row>
    <row r="479" spans="1:17" ht="36.6" customHeight="1" x14ac:dyDescent="0.2">
      <c r="A479" s="40"/>
      <c r="B479" s="113" t="s">
        <v>283</v>
      </c>
      <c r="C479" s="113">
        <v>993</v>
      </c>
      <c r="D479" s="133" t="s">
        <v>511</v>
      </c>
      <c r="E479" s="133" t="s">
        <v>502</v>
      </c>
      <c r="F479" s="134"/>
      <c r="G479" s="111">
        <f>SUM(G480)</f>
        <v>600</v>
      </c>
      <c r="H479" s="109"/>
      <c r="I479" s="111">
        <f>SUM(G479)</f>
        <v>600</v>
      </c>
      <c r="J479" s="115"/>
      <c r="K479" s="109"/>
      <c r="L479" s="115"/>
      <c r="M479" s="111">
        <f t="shared" ref="M479:O480" si="92">SUM(G479)</f>
        <v>600</v>
      </c>
      <c r="N479" s="111">
        <f t="shared" si="92"/>
        <v>0</v>
      </c>
      <c r="O479" s="111">
        <f t="shared" si="92"/>
        <v>600</v>
      </c>
      <c r="P479" s="97"/>
      <c r="Q479" s="97"/>
    </row>
    <row r="480" spans="1:17" ht="36.6" customHeight="1" x14ac:dyDescent="0.2">
      <c r="A480" s="40"/>
      <c r="B480" s="113" t="s">
        <v>95</v>
      </c>
      <c r="C480" s="113">
        <v>993</v>
      </c>
      <c r="D480" s="133" t="s">
        <v>511</v>
      </c>
      <c r="E480" s="133" t="s">
        <v>502</v>
      </c>
      <c r="F480" s="134">
        <v>600</v>
      </c>
      <c r="G480" s="111">
        <v>600</v>
      </c>
      <c r="H480" s="109"/>
      <c r="I480" s="111">
        <f>SUM(G480)</f>
        <v>600</v>
      </c>
      <c r="J480" s="115"/>
      <c r="K480" s="109"/>
      <c r="L480" s="115"/>
      <c r="M480" s="111">
        <f t="shared" si="92"/>
        <v>600</v>
      </c>
      <c r="N480" s="111">
        <f t="shared" si="92"/>
        <v>0</v>
      </c>
      <c r="O480" s="111">
        <f t="shared" si="92"/>
        <v>600</v>
      </c>
      <c r="P480" s="97"/>
      <c r="Q480" s="97"/>
    </row>
    <row r="481" spans="1:17" ht="31.5" x14ac:dyDescent="0.2">
      <c r="A481" s="33" t="s">
        <v>512</v>
      </c>
      <c r="B481" s="110" t="s">
        <v>513</v>
      </c>
      <c r="C481" s="110" t="s">
        <v>477</v>
      </c>
      <c r="D481" s="131" t="s">
        <v>514</v>
      </c>
      <c r="E481" s="131" t="s">
        <v>11</v>
      </c>
      <c r="F481" s="132" t="s">
        <v>11</v>
      </c>
      <c r="G481" s="109">
        <f>G482</f>
        <v>17537.699999999997</v>
      </c>
      <c r="H481" s="111">
        <f>H482+H492</f>
        <v>0</v>
      </c>
      <c r="I481" s="109">
        <f>I482</f>
        <v>17537.699999999997</v>
      </c>
      <c r="J481" s="112">
        <f>J482</f>
        <v>407.6</v>
      </c>
      <c r="K481" s="111">
        <f>K482+K492</f>
        <v>0</v>
      </c>
      <c r="L481" s="112">
        <f>L482</f>
        <v>407.6</v>
      </c>
      <c r="M481" s="109">
        <f>M482</f>
        <v>17945.3</v>
      </c>
      <c r="N481" s="109">
        <f>N482</f>
        <v>0</v>
      </c>
      <c r="O481" s="109">
        <f>O482</f>
        <v>17945.3</v>
      </c>
      <c r="P481" s="97"/>
      <c r="Q481" s="97"/>
    </row>
    <row r="482" spans="1:17" ht="31.5" x14ac:dyDescent="0.2">
      <c r="A482" s="40"/>
      <c r="B482" s="113" t="s">
        <v>484</v>
      </c>
      <c r="C482" s="113" t="s">
        <v>477</v>
      </c>
      <c r="D482" s="133" t="s">
        <v>514</v>
      </c>
      <c r="E482" s="133" t="s">
        <v>485</v>
      </c>
      <c r="F482" s="134" t="s">
        <v>11</v>
      </c>
      <c r="G482" s="111">
        <f>G483+G493</f>
        <v>17537.699999999997</v>
      </c>
      <c r="H482" s="111">
        <f>H483+H487+H493</f>
        <v>0</v>
      </c>
      <c r="I482" s="111">
        <f>I483+I493</f>
        <v>17537.699999999997</v>
      </c>
      <c r="J482" s="114">
        <f>J483+J493</f>
        <v>407.6</v>
      </c>
      <c r="K482" s="111">
        <f>K483+K487</f>
        <v>0</v>
      </c>
      <c r="L482" s="114">
        <f>L483+L493</f>
        <v>407.6</v>
      </c>
      <c r="M482" s="111">
        <f>M483+M493</f>
        <v>17945.3</v>
      </c>
      <c r="N482" s="111">
        <f>N483+N493</f>
        <v>0</v>
      </c>
      <c r="O482" s="111">
        <f>O483+O493</f>
        <v>17945.3</v>
      </c>
      <c r="P482" s="97"/>
      <c r="Q482" s="97"/>
    </row>
    <row r="483" spans="1:17" ht="47.25" x14ac:dyDescent="0.2">
      <c r="A483" s="40"/>
      <c r="B483" s="113" t="s">
        <v>495</v>
      </c>
      <c r="C483" s="113" t="s">
        <v>477</v>
      </c>
      <c r="D483" s="133" t="s">
        <v>514</v>
      </c>
      <c r="E483" s="133" t="s">
        <v>496</v>
      </c>
      <c r="F483" s="134" t="s">
        <v>11</v>
      </c>
      <c r="G483" s="111">
        <f>G484+G488</f>
        <v>15447.099999999999</v>
      </c>
      <c r="H483" s="111">
        <f>H484+H488</f>
        <v>0</v>
      </c>
      <c r="I483" s="111">
        <f>I484+I488</f>
        <v>15447.099999999999</v>
      </c>
      <c r="J483" s="114">
        <f>J484+J488</f>
        <v>407.6</v>
      </c>
      <c r="K483" s="111">
        <f>K484</f>
        <v>0</v>
      </c>
      <c r="L483" s="114">
        <f>L484+L488</f>
        <v>407.6</v>
      </c>
      <c r="M483" s="111">
        <f>M484+M488</f>
        <v>15854.7</v>
      </c>
      <c r="N483" s="111">
        <f>N484+N488</f>
        <v>0</v>
      </c>
      <c r="O483" s="111">
        <f>O484+O488</f>
        <v>15854.7</v>
      </c>
      <c r="P483" s="97"/>
      <c r="Q483" s="97"/>
    </row>
    <row r="484" spans="1:17" ht="47.25" x14ac:dyDescent="0.2">
      <c r="A484" s="40"/>
      <c r="B484" s="113" t="s">
        <v>497</v>
      </c>
      <c r="C484" s="113" t="s">
        <v>477</v>
      </c>
      <c r="D484" s="133" t="s">
        <v>514</v>
      </c>
      <c r="E484" s="133" t="s">
        <v>498</v>
      </c>
      <c r="F484" s="134" t="s">
        <v>11</v>
      </c>
      <c r="G484" s="111">
        <f>G485</f>
        <v>4730.5999999999995</v>
      </c>
      <c r="H484" s="111">
        <f>H485+H486</f>
        <v>0</v>
      </c>
      <c r="I484" s="111">
        <f>I485</f>
        <v>4730.5999999999995</v>
      </c>
      <c r="J484" s="114">
        <f>J485</f>
        <v>407.6</v>
      </c>
      <c r="K484" s="111"/>
      <c r="L484" s="114">
        <f>L485</f>
        <v>407.6</v>
      </c>
      <c r="M484" s="111">
        <f>M485</f>
        <v>5138.2</v>
      </c>
      <c r="N484" s="111">
        <f>N485</f>
        <v>0</v>
      </c>
      <c r="O484" s="111">
        <f>O485</f>
        <v>5138.2</v>
      </c>
      <c r="P484" s="97"/>
      <c r="Q484" s="97"/>
    </row>
    <row r="485" spans="1:17" ht="31.5" x14ac:dyDescent="0.2">
      <c r="A485" s="40"/>
      <c r="B485" s="113" t="s">
        <v>134</v>
      </c>
      <c r="C485" s="113" t="s">
        <v>477</v>
      </c>
      <c r="D485" s="133" t="s">
        <v>514</v>
      </c>
      <c r="E485" s="133" t="s">
        <v>499</v>
      </c>
      <c r="F485" s="134" t="s">
        <v>11</v>
      </c>
      <c r="G485" s="111">
        <f>G486+G487</f>
        <v>4730.5999999999995</v>
      </c>
      <c r="H485" s="111"/>
      <c r="I485" s="111">
        <f>I486+I487</f>
        <v>4730.5999999999995</v>
      </c>
      <c r="J485" s="114">
        <f>J486+J487</f>
        <v>407.6</v>
      </c>
      <c r="K485" s="111"/>
      <c r="L485" s="114">
        <f>L486+L487</f>
        <v>407.6</v>
      </c>
      <c r="M485" s="111">
        <f>M486+M487</f>
        <v>5138.2</v>
      </c>
      <c r="N485" s="111">
        <f>N486+N487</f>
        <v>0</v>
      </c>
      <c r="O485" s="111">
        <f>O486+O487</f>
        <v>5138.2</v>
      </c>
      <c r="P485" s="97"/>
      <c r="Q485" s="97"/>
    </row>
    <row r="486" spans="1:17" ht="78.75" x14ac:dyDescent="0.2">
      <c r="A486" s="40"/>
      <c r="B486" s="113" t="s">
        <v>61</v>
      </c>
      <c r="C486" s="113" t="s">
        <v>477</v>
      </c>
      <c r="D486" s="133" t="s">
        <v>514</v>
      </c>
      <c r="E486" s="133" t="s">
        <v>499</v>
      </c>
      <c r="F486" s="134" t="s">
        <v>62</v>
      </c>
      <c r="G486" s="111">
        <f>3786600/1000+351.1</f>
        <v>4137.7</v>
      </c>
      <c r="H486" s="111"/>
      <c r="I486" s="111">
        <f>3786600/1000+351.1+H486</f>
        <v>4137.7</v>
      </c>
      <c r="J486" s="115">
        <v>407.6</v>
      </c>
      <c r="K486" s="111"/>
      <c r="L486" s="115">
        <f>SUM(J486)</f>
        <v>407.6</v>
      </c>
      <c r="M486" s="111">
        <f>G486+J486</f>
        <v>4545.3</v>
      </c>
      <c r="N486" s="111">
        <f>SUM(K486)</f>
        <v>0</v>
      </c>
      <c r="O486" s="111">
        <f>I486+L486</f>
        <v>4545.3</v>
      </c>
      <c r="P486" s="97"/>
      <c r="Q486" s="97"/>
    </row>
    <row r="487" spans="1:17" ht="31.5" x14ac:dyDescent="0.2">
      <c r="A487" s="40"/>
      <c r="B487" s="113" t="s">
        <v>40</v>
      </c>
      <c r="C487" s="113" t="s">
        <v>477</v>
      </c>
      <c r="D487" s="133" t="s">
        <v>514</v>
      </c>
      <c r="E487" s="133" t="s">
        <v>499</v>
      </c>
      <c r="F487" s="134" t="s">
        <v>41</v>
      </c>
      <c r="G487" s="111">
        <v>592.9</v>
      </c>
      <c r="H487" s="111"/>
      <c r="I487" s="111">
        <f>SUM(G487+H487)</f>
        <v>592.9</v>
      </c>
      <c r="J487" s="115"/>
      <c r="K487" s="111"/>
      <c r="L487" s="115"/>
      <c r="M487" s="111">
        <f>SUM(G487)</f>
        <v>592.9</v>
      </c>
      <c r="N487" s="111">
        <f>SUM(H487)</f>
        <v>0</v>
      </c>
      <c r="O487" s="111">
        <f>SUM(M487+N487)</f>
        <v>592.9</v>
      </c>
      <c r="P487" s="97"/>
      <c r="Q487" s="97"/>
    </row>
    <row r="488" spans="1:17" ht="47.25" x14ac:dyDescent="0.2">
      <c r="A488" s="40"/>
      <c r="B488" s="113" t="s">
        <v>515</v>
      </c>
      <c r="C488" s="113" t="s">
        <v>477</v>
      </c>
      <c r="D488" s="133" t="s">
        <v>514</v>
      </c>
      <c r="E488" s="133" t="s">
        <v>516</v>
      </c>
      <c r="F488" s="134" t="s">
        <v>11</v>
      </c>
      <c r="G488" s="111">
        <f>G489</f>
        <v>10716.5</v>
      </c>
      <c r="H488" s="111">
        <f>H489</f>
        <v>0</v>
      </c>
      <c r="I488" s="111">
        <f>I489</f>
        <v>10716.5</v>
      </c>
      <c r="J488" s="114">
        <f>J489</f>
        <v>0</v>
      </c>
      <c r="K488" s="111">
        <f>K489+K490+K491</f>
        <v>0</v>
      </c>
      <c r="L488" s="114">
        <f>L489</f>
        <v>0</v>
      </c>
      <c r="M488" s="111">
        <f>M489</f>
        <v>10716.5</v>
      </c>
      <c r="N488" s="111">
        <f>N489</f>
        <v>0</v>
      </c>
      <c r="O488" s="111">
        <f>O489</f>
        <v>10716.5</v>
      </c>
      <c r="P488" s="97"/>
      <c r="Q488" s="97"/>
    </row>
    <row r="489" spans="1:17" ht="31.5" x14ac:dyDescent="0.2">
      <c r="A489" s="40"/>
      <c r="B489" s="113" t="s">
        <v>134</v>
      </c>
      <c r="C489" s="113" t="s">
        <v>477</v>
      </c>
      <c r="D489" s="133" t="s">
        <v>514</v>
      </c>
      <c r="E489" s="133" t="s">
        <v>517</v>
      </c>
      <c r="F489" s="134" t="s">
        <v>11</v>
      </c>
      <c r="G489" s="111">
        <f>G490+G491+G492</f>
        <v>10716.5</v>
      </c>
      <c r="H489" s="111">
        <f>SUM(H490+H491)</f>
        <v>0</v>
      </c>
      <c r="I489" s="111">
        <f>I490+I491+I492</f>
        <v>10716.5</v>
      </c>
      <c r="J489" s="114">
        <f>J490+J491+J492</f>
        <v>0</v>
      </c>
      <c r="K489" s="111"/>
      <c r="L489" s="114">
        <f>L490+L491+L492</f>
        <v>0</v>
      </c>
      <c r="M489" s="111">
        <f>M490+M491+M492</f>
        <v>10716.5</v>
      </c>
      <c r="N489" s="111">
        <f>N490+N491+N492</f>
        <v>0</v>
      </c>
      <c r="O489" s="111">
        <f>O490+O491+O492</f>
        <v>10716.5</v>
      </c>
      <c r="P489" s="97"/>
      <c r="Q489" s="97"/>
    </row>
    <row r="490" spans="1:17" ht="78.75" x14ac:dyDescent="0.2">
      <c r="A490" s="40"/>
      <c r="B490" s="113" t="s">
        <v>61</v>
      </c>
      <c r="C490" s="113" t="s">
        <v>477</v>
      </c>
      <c r="D490" s="133" t="s">
        <v>514</v>
      </c>
      <c r="E490" s="133" t="s">
        <v>517</v>
      </c>
      <c r="F490" s="134" t="s">
        <v>62</v>
      </c>
      <c r="G490" s="111">
        <v>9288.5</v>
      </c>
      <c r="H490" s="111"/>
      <c r="I490" s="111">
        <f>SUM(G490)+H490</f>
        <v>9288.5</v>
      </c>
      <c r="J490" s="115">
        <v>0</v>
      </c>
      <c r="K490" s="111"/>
      <c r="L490" s="115">
        <v>0</v>
      </c>
      <c r="M490" s="111">
        <f t="shared" ref="M490:O491" si="93">SUM(G490)</f>
        <v>9288.5</v>
      </c>
      <c r="N490" s="111">
        <f t="shared" si="93"/>
        <v>0</v>
      </c>
      <c r="O490" s="111">
        <f t="shared" si="93"/>
        <v>9288.5</v>
      </c>
      <c r="P490" s="97"/>
      <c r="Q490" s="97"/>
    </row>
    <row r="491" spans="1:17" ht="31.5" x14ac:dyDescent="0.2">
      <c r="A491" s="40"/>
      <c r="B491" s="113" t="s">
        <v>40</v>
      </c>
      <c r="C491" s="113" t="s">
        <v>477</v>
      </c>
      <c r="D491" s="133" t="s">
        <v>514</v>
      </c>
      <c r="E491" s="133" t="s">
        <v>517</v>
      </c>
      <c r="F491" s="134" t="s">
        <v>41</v>
      </c>
      <c r="G491" s="111">
        <v>1426.9</v>
      </c>
      <c r="H491" s="111"/>
      <c r="I491" s="111">
        <f>SUM(G491)</f>
        <v>1426.9</v>
      </c>
      <c r="J491" s="115">
        <v>0</v>
      </c>
      <c r="K491" s="111"/>
      <c r="L491" s="115">
        <v>0</v>
      </c>
      <c r="M491" s="111">
        <f t="shared" si="93"/>
        <v>1426.9</v>
      </c>
      <c r="N491" s="111">
        <f t="shared" si="93"/>
        <v>0</v>
      </c>
      <c r="O491" s="111">
        <f t="shared" si="93"/>
        <v>1426.9</v>
      </c>
      <c r="P491" s="97"/>
      <c r="Q491" s="97"/>
    </row>
    <row r="492" spans="1:17" ht="15.75" x14ac:dyDescent="0.2">
      <c r="A492" s="40"/>
      <c r="B492" s="113" t="s">
        <v>70</v>
      </c>
      <c r="C492" s="113" t="s">
        <v>477</v>
      </c>
      <c r="D492" s="133" t="s">
        <v>514</v>
      </c>
      <c r="E492" s="133" t="s">
        <v>517</v>
      </c>
      <c r="F492" s="134" t="s">
        <v>71</v>
      </c>
      <c r="G492" s="111">
        <f>1100/1000</f>
        <v>1.1000000000000001</v>
      </c>
      <c r="H492" s="111"/>
      <c r="I492" s="111">
        <f>1100/1000</f>
        <v>1.1000000000000001</v>
      </c>
      <c r="J492" s="115">
        <v>0</v>
      </c>
      <c r="K492" s="111"/>
      <c r="L492" s="115">
        <v>0</v>
      </c>
      <c r="M492" s="111">
        <f>1100/1000</f>
        <v>1.1000000000000001</v>
      </c>
      <c r="N492" s="111"/>
      <c r="O492" s="111">
        <f>1100/1000</f>
        <v>1.1000000000000001</v>
      </c>
      <c r="P492" s="97"/>
      <c r="Q492" s="97"/>
    </row>
    <row r="493" spans="1:17" ht="31.5" x14ac:dyDescent="0.2">
      <c r="A493" s="40"/>
      <c r="B493" s="113" t="s">
        <v>518</v>
      </c>
      <c r="C493" s="113" t="s">
        <v>477</v>
      </c>
      <c r="D493" s="133" t="s">
        <v>514</v>
      </c>
      <c r="E493" s="133" t="s">
        <v>519</v>
      </c>
      <c r="F493" s="134" t="s">
        <v>11</v>
      </c>
      <c r="G493" s="111">
        <f t="shared" ref="G493:O494" si="94">G494</f>
        <v>2090.6</v>
      </c>
      <c r="H493" s="111">
        <f t="shared" si="94"/>
        <v>0</v>
      </c>
      <c r="I493" s="111">
        <f t="shared" si="94"/>
        <v>2090.6</v>
      </c>
      <c r="J493" s="114">
        <f t="shared" si="94"/>
        <v>0</v>
      </c>
      <c r="K493" s="111">
        <f t="shared" si="94"/>
        <v>0</v>
      </c>
      <c r="L493" s="114">
        <f t="shared" si="94"/>
        <v>0</v>
      </c>
      <c r="M493" s="111">
        <f t="shared" si="94"/>
        <v>2090.6</v>
      </c>
      <c r="N493" s="111">
        <f t="shared" si="94"/>
        <v>0</v>
      </c>
      <c r="O493" s="111">
        <f t="shared" si="94"/>
        <v>2090.6</v>
      </c>
      <c r="P493" s="97"/>
      <c r="Q493" s="97"/>
    </row>
    <row r="494" spans="1:17" ht="31.5" x14ac:dyDescent="0.2">
      <c r="A494" s="40"/>
      <c r="B494" s="113" t="s">
        <v>520</v>
      </c>
      <c r="C494" s="113" t="s">
        <v>477</v>
      </c>
      <c r="D494" s="133" t="s">
        <v>514</v>
      </c>
      <c r="E494" s="133" t="s">
        <v>521</v>
      </c>
      <c r="F494" s="134" t="s">
        <v>11</v>
      </c>
      <c r="G494" s="111">
        <f t="shared" si="94"/>
        <v>2090.6</v>
      </c>
      <c r="H494" s="111">
        <f>H495</f>
        <v>0</v>
      </c>
      <c r="I494" s="111">
        <f t="shared" si="94"/>
        <v>2090.6</v>
      </c>
      <c r="J494" s="114">
        <f t="shared" si="94"/>
        <v>0</v>
      </c>
      <c r="K494" s="111">
        <f>K495+K496</f>
        <v>0</v>
      </c>
      <c r="L494" s="114">
        <f t="shared" si="94"/>
        <v>0</v>
      </c>
      <c r="M494" s="111">
        <f t="shared" si="94"/>
        <v>2090.6</v>
      </c>
      <c r="N494" s="111">
        <f>SUM(H494)</f>
        <v>0</v>
      </c>
      <c r="O494" s="111">
        <f t="shared" si="94"/>
        <v>2090.6</v>
      </c>
      <c r="P494" s="97"/>
      <c r="Q494" s="97"/>
    </row>
    <row r="495" spans="1:17" ht="31.5" x14ac:dyDescent="0.2">
      <c r="A495" s="40"/>
      <c r="B495" s="113" t="s">
        <v>38</v>
      </c>
      <c r="C495" s="113" t="s">
        <v>477</v>
      </c>
      <c r="D495" s="133" t="s">
        <v>514</v>
      </c>
      <c r="E495" s="133" t="s">
        <v>522</v>
      </c>
      <c r="F495" s="134" t="s">
        <v>11</v>
      </c>
      <c r="G495" s="111">
        <f>G496+G497+G498</f>
        <v>2090.6</v>
      </c>
      <c r="H495" s="111"/>
      <c r="I495" s="111">
        <f>I496+I497+I498</f>
        <v>2090.6</v>
      </c>
      <c r="J495" s="114">
        <f>J496+J497</f>
        <v>0</v>
      </c>
      <c r="K495" s="111"/>
      <c r="L495" s="114">
        <f>L496+L497</f>
        <v>0</v>
      </c>
      <c r="M495" s="111">
        <f>M496+M497+M498</f>
        <v>2090.6</v>
      </c>
      <c r="N495" s="111"/>
      <c r="O495" s="111">
        <f>O496+O497+O498</f>
        <v>2090.6</v>
      </c>
      <c r="P495" s="97"/>
      <c r="Q495" s="97"/>
    </row>
    <row r="496" spans="1:17" ht="78.75" x14ac:dyDescent="0.2">
      <c r="A496" s="40"/>
      <c r="B496" s="113" t="s">
        <v>61</v>
      </c>
      <c r="C496" s="113" t="s">
        <v>477</v>
      </c>
      <c r="D496" s="133" t="s">
        <v>514</v>
      </c>
      <c r="E496" s="133" t="s">
        <v>522</v>
      </c>
      <c r="F496" s="134" t="s">
        <v>62</v>
      </c>
      <c r="G496" s="111">
        <v>2080.6</v>
      </c>
      <c r="H496" s="111"/>
      <c r="I496" s="111">
        <f>SUM(G496)</f>
        <v>2080.6</v>
      </c>
      <c r="J496" s="115">
        <v>0</v>
      </c>
      <c r="K496" s="111"/>
      <c r="L496" s="115">
        <v>0</v>
      </c>
      <c r="M496" s="111">
        <f t="shared" ref="M496:O498" si="95">SUM(G496)</f>
        <v>2080.6</v>
      </c>
      <c r="N496" s="111">
        <f t="shared" si="95"/>
        <v>0</v>
      </c>
      <c r="O496" s="111">
        <f t="shared" si="95"/>
        <v>2080.6</v>
      </c>
      <c r="P496" s="97"/>
      <c r="Q496" s="97"/>
    </row>
    <row r="497" spans="1:17" ht="31.5" x14ac:dyDescent="0.2">
      <c r="A497" s="40"/>
      <c r="B497" s="113" t="s">
        <v>40</v>
      </c>
      <c r="C497" s="113" t="s">
        <v>477</v>
      </c>
      <c r="D497" s="133" t="s">
        <v>514</v>
      </c>
      <c r="E497" s="133" t="s">
        <v>522</v>
      </c>
      <c r="F497" s="134" t="s">
        <v>41</v>
      </c>
      <c r="G497" s="111">
        <v>9.5</v>
      </c>
      <c r="H497" s="106"/>
      <c r="I497" s="111">
        <f>SUM(G497)</f>
        <v>9.5</v>
      </c>
      <c r="J497" s="115">
        <v>0</v>
      </c>
      <c r="K497" s="106"/>
      <c r="L497" s="115">
        <v>0</v>
      </c>
      <c r="M497" s="111">
        <f t="shared" si="95"/>
        <v>9.5</v>
      </c>
      <c r="N497" s="111">
        <f t="shared" si="95"/>
        <v>0</v>
      </c>
      <c r="O497" s="111">
        <f t="shared" si="95"/>
        <v>9.5</v>
      </c>
      <c r="P497" s="97"/>
      <c r="Q497" s="97"/>
    </row>
    <row r="498" spans="1:17" ht="15.75" x14ac:dyDescent="0.2">
      <c r="A498" s="40"/>
      <c r="B498" s="113" t="s">
        <v>70</v>
      </c>
      <c r="C498" s="113" t="s">
        <v>477</v>
      </c>
      <c r="D498" s="133" t="s">
        <v>514</v>
      </c>
      <c r="E498" s="133" t="s">
        <v>522</v>
      </c>
      <c r="F498" s="134">
        <v>800</v>
      </c>
      <c r="G498" s="111">
        <v>0.5</v>
      </c>
      <c r="H498" s="106"/>
      <c r="I498" s="111">
        <f>SUM(H498)+G498</f>
        <v>0.5</v>
      </c>
      <c r="J498" s="115"/>
      <c r="K498" s="106"/>
      <c r="L498" s="115"/>
      <c r="M498" s="111">
        <f t="shared" si="95"/>
        <v>0.5</v>
      </c>
      <c r="N498" s="111">
        <f t="shared" si="95"/>
        <v>0</v>
      </c>
      <c r="O498" s="111">
        <f t="shared" si="95"/>
        <v>0.5</v>
      </c>
      <c r="P498" s="97"/>
      <c r="Q498" s="97"/>
    </row>
    <row r="499" spans="1:17" ht="47.25" x14ac:dyDescent="0.2">
      <c r="A499" s="20" t="s">
        <v>523</v>
      </c>
      <c r="B499" s="107" t="s">
        <v>524</v>
      </c>
      <c r="C499" s="107" t="s">
        <v>525</v>
      </c>
      <c r="D499" s="129" t="s">
        <v>11</v>
      </c>
      <c r="E499" s="129" t="s">
        <v>11</v>
      </c>
      <c r="F499" s="130" t="s">
        <v>11</v>
      </c>
      <c r="G499" s="106">
        <f>G500+G512</f>
        <v>16488.099999999999</v>
      </c>
      <c r="H499" s="106">
        <f>H500+H512</f>
        <v>0</v>
      </c>
      <c r="I499" s="106">
        <f>I500+I512</f>
        <v>16488.099999999999</v>
      </c>
      <c r="J499" s="108">
        <f>J500+J512</f>
        <v>0</v>
      </c>
      <c r="K499" s="106">
        <f>K500</f>
        <v>0</v>
      </c>
      <c r="L499" s="108">
        <f>L500+L512</f>
        <v>0</v>
      </c>
      <c r="M499" s="106">
        <f>M500+M512</f>
        <v>16488.099999999999</v>
      </c>
      <c r="N499" s="106">
        <f>N500+N512</f>
        <v>0</v>
      </c>
      <c r="O499" s="106">
        <f>O500+O512</f>
        <v>16488.099999999999</v>
      </c>
      <c r="P499" s="97"/>
      <c r="Q499" s="97"/>
    </row>
    <row r="500" spans="1:17" ht="15.75" x14ac:dyDescent="0.2">
      <c r="A500" s="20" t="s">
        <v>526</v>
      </c>
      <c r="B500" s="107" t="s">
        <v>30</v>
      </c>
      <c r="C500" s="107" t="s">
        <v>525</v>
      </c>
      <c r="D500" s="129" t="s">
        <v>31</v>
      </c>
      <c r="E500" s="129" t="s">
        <v>11</v>
      </c>
      <c r="F500" s="130" t="s">
        <v>11</v>
      </c>
      <c r="G500" s="106">
        <f t="shared" ref="G500:O502" si="96">G501</f>
        <v>4851.6000000000004</v>
      </c>
      <c r="H500" s="109">
        <f t="shared" si="96"/>
        <v>0</v>
      </c>
      <c r="I500" s="106">
        <f t="shared" si="96"/>
        <v>4851.6000000000004</v>
      </c>
      <c r="J500" s="108">
        <f t="shared" si="96"/>
        <v>0</v>
      </c>
      <c r="K500" s="109">
        <f>K501</f>
        <v>0</v>
      </c>
      <c r="L500" s="108">
        <f t="shared" si="96"/>
        <v>0</v>
      </c>
      <c r="M500" s="106">
        <f t="shared" si="96"/>
        <v>4851.6000000000004</v>
      </c>
      <c r="N500" s="106">
        <f t="shared" si="96"/>
        <v>0</v>
      </c>
      <c r="O500" s="106">
        <f t="shared" si="96"/>
        <v>4851.6000000000004</v>
      </c>
      <c r="P500" s="97"/>
      <c r="Q500" s="97"/>
    </row>
    <row r="501" spans="1:17" ht="15.75" x14ac:dyDescent="0.2">
      <c r="A501" s="33" t="s">
        <v>527</v>
      </c>
      <c r="B501" s="110" t="s">
        <v>85</v>
      </c>
      <c r="C501" s="110" t="s">
        <v>525</v>
      </c>
      <c r="D501" s="131" t="s">
        <v>86</v>
      </c>
      <c r="E501" s="131" t="s">
        <v>11</v>
      </c>
      <c r="F501" s="132" t="s">
        <v>11</v>
      </c>
      <c r="G501" s="109">
        <f t="shared" si="96"/>
        <v>4851.6000000000004</v>
      </c>
      <c r="H501" s="111">
        <f t="shared" si="96"/>
        <v>0</v>
      </c>
      <c r="I501" s="109">
        <f t="shared" si="96"/>
        <v>4851.6000000000004</v>
      </c>
      <c r="J501" s="112">
        <f t="shared" si="96"/>
        <v>0</v>
      </c>
      <c r="K501" s="111">
        <f>K502</f>
        <v>0</v>
      </c>
      <c r="L501" s="112">
        <f t="shared" si="96"/>
        <v>0</v>
      </c>
      <c r="M501" s="109">
        <f t="shared" si="96"/>
        <v>4851.6000000000004</v>
      </c>
      <c r="N501" s="109">
        <f t="shared" si="96"/>
        <v>0</v>
      </c>
      <c r="O501" s="109">
        <f t="shared" si="96"/>
        <v>4851.6000000000004</v>
      </c>
      <c r="P501" s="97"/>
      <c r="Q501" s="97"/>
    </row>
    <row r="502" spans="1:17" ht="31.5" x14ac:dyDescent="0.2">
      <c r="A502" s="40"/>
      <c r="B502" s="113" t="s">
        <v>128</v>
      </c>
      <c r="C502" s="113" t="s">
        <v>525</v>
      </c>
      <c r="D502" s="133" t="s">
        <v>86</v>
      </c>
      <c r="E502" s="133" t="s">
        <v>129</v>
      </c>
      <c r="F502" s="134" t="s">
        <v>11</v>
      </c>
      <c r="G502" s="111">
        <f t="shared" si="96"/>
        <v>4851.6000000000004</v>
      </c>
      <c r="H502" s="111">
        <f t="shared" si="96"/>
        <v>0</v>
      </c>
      <c r="I502" s="111">
        <f t="shared" si="96"/>
        <v>4851.6000000000004</v>
      </c>
      <c r="J502" s="114">
        <f t="shared" si="96"/>
        <v>0</v>
      </c>
      <c r="K502" s="111">
        <f>K503+K507</f>
        <v>0</v>
      </c>
      <c r="L502" s="114">
        <f t="shared" si="96"/>
        <v>0</v>
      </c>
      <c r="M502" s="111">
        <f t="shared" si="96"/>
        <v>4851.6000000000004</v>
      </c>
      <c r="N502" s="111">
        <f t="shared" si="96"/>
        <v>0</v>
      </c>
      <c r="O502" s="111">
        <f t="shared" si="96"/>
        <v>4851.6000000000004</v>
      </c>
      <c r="P502" s="97"/>
      <c r="Q502" s="97"/>
    </row>
    <row r="503" spans="1:17" ht="31.5" x14ac:dyDescent="0.2">
      <c r="A503" s="40"/>
      <c r="B503" s="113" t="s">
        <v>528</v>
      </c>
      <c r="C503" s="113" t="s">
        <v>525</v>
      </c>
      <c r="D503" s="133" t="s">
        <v>86</v>
      </c>
      <c r="E503" s="133" t="s">
        <v>529</v>
      </c>
      <c r="F503" s="134" t="s">
        <v>11</v>
      </c>
      <c r="G503" s="111">
        <f>G504+G508</f>
        <v>4851.6000000000004</v>
      </c>
      <c r="H503" s="111">
        <f>H504+H508</f>
        <v>0</v>
      </c>
      <c r="I503" s="111">
        <f>I504+I508</f>
        <v>4851.6000000000004</v>
      </c>
      <c r="J503" s="114">
        <f>J504+J508</f>
        <v>0</v>
      </c>
      <c r="K503" s="111">
        <f>K504</f>
        <v>0</v>
      </c>
      <c r="L503" s="114">
        <f>L504+L508</f>
        <v>0</v>
      </c>
      <c r="M503" s="111">
        <f>M504+M508</f>
        <v>4851.6000000000004</v>
      </c>
      <c r="N503" s="111">
        <f>N504+N508</f>
        <v>0</v>
      </c>
      <c r="O503" s="111">
        <f>O504+O508</f>
        <v>4851.6000000000004</v>
      </c>
      <c r="P503" s="97"/>
      <c r="Q503" s="97"/>
    </row>
    <row r="504" spans="1:17" ht="47.25" x14ac:dyDescent="0.2">
      <c r="A504" s="40"/>
      <c r="B504" s="113" t="s">
        <v>530</v>
      </c>
      <c r="C504" s="113" t="s">
        <v>525</v>
      </c>
      <c r="D504" s="133" t="s">
        <v>86</v>
      </c>
      <c r="E504" s="133" t="s">
        <v>531</v>
      </c>
      <c r="F504" s="134" t="s">
        <v>11</v>
      </c>
      <c r="G504" s="111">
        <f>G505</f>
        <v>3784.2</v>
      </c>
      <c r="H504" s="111">
        <f>H505</f>
        <v>0</v>
      </c>
      <c r="I504" s="111">
        <f>I505</f>
        <v>3784.2</v>
      </c>
      <c r="J504" s="114">
        <f>J505</f>
        <v>0</v>
      </c>
      <c r="K504" s="111"/>
      <c r="L504" s="114">
        <f>L505</f>
        <v>0</v>
      </c>
      <c r="M504" s="111">
        <f>M505</f>
        <v>3784.2</v>
      </c>
      <c r="N504" s="111">
        <f>N505</f>
        <v>0</v>
      </c>
      <c r="O504" s="111">
        <f>O505</f>
        <v>3784.2</v>
      </c>
      <c r="P504" s="97"/>
      <c r="Q504" s="97"/>
    </row>
    <row r="505" spans="1:17" ht="31.5" x14ac:dyDescent="0.2">
      <c r="A505" s="40"/>
      <c r="B505" s="113" t="s">
        <v>38</v>
      </c>
      <c r="C505" s="113" t="s">
        <v>525</v>
      </c>
      <c r="D505" s="133" t="s">
        <v>86</v>
      </c>
      <c r="E505" s="133" t="s">
        <v>532</v>
      </c>
      <c r="F505" s="134" t="s">
        <v>11</v>
      </c>
      <c r="G505" s="111">
        <f>G506+G507</f>
        <v>3784.2</v>
      </c>
      <c r="H505" s="111">
        <f>SUM(H506)+H507</f>
        <v>0</v>
      </c>
      <c r="I505" s="111">
        <f>I506+I507</f>
        <v>3784.2</v>
      </c>
      <c r="J505" s="114">
        <f>J506+J507</f>
        <v>0</v>
      </c>
      <c r="K505" s="111"/>
      <c r="L505" s="114">
        <f>L506+L507</f>
        <v>0</v>
      </c>
      <c r="M505" s="111">
        <f>M506+M507</f>
        <v>3784.2</v>
      </c>
      <c r="N505" s="111">
        <f>N506+N507</f>
        <v>0</v>
      </c>
      <c r="O505" s="111">
        <f>O506+O507</f>
        <v>3784.2</v>
      </c>
      <c r="P505" s="97"/>
      <c r="Q505" s="97"/>
    </row>
    <row r="506" spans="1:17" ht="78.75" x14ac:dyDescent="0.2">
      <c r="A506" s="40"/>
      <c r="B506" s="113" t="s">
        <v>61</v>
      </c>
      <c r="C506" s="113" t="s">
        <v>525</v>
      </c>
      <c r="D506" s="133" t="s">
        <v>86</v>
      </c>
      <c r="E506" s="133" t="s">
        <v>532</v>
      </c>
      <c r="F506" s="134" t="s">
        <v>62</v>
      </c>
      <c r="G506" s="111">
        <v>3766.6</v>
      </c>
      <c r="H506" s="111"/>
      <c r="I506" s="111">
        <f>SUM(G506)+H506</f>
        <v>3766.6</v>
      </c>
      <c r="J506" s="115">
        <v>0</v>
      </c>
      <c r="K506" s="111"/>
      <c r="L506" s="115">
        <v>0</v>
      </c>
      <c r="M506" s="111">
        <f t="shared" ref="M506:O507" si="97">SUM(G506)</f>
        <v>3766.6</v>
      </c>
      <c r="N506" s="111">
        <f t="shared" si="97"/>
        <v>0</v>
      </c>
      <c r="O506" s="111">
        <f t="shared" si="97"/>
        <v>3766.6</v>
      </c>
      <c r="P506" s="97"/>
      <c r="Q506" s="97"/>
    </row>
    <row r="507" spans="1:17" ht="31.5" x14ac:dyDescent="0.2">
      <c r="A507" s="40"/>
      <c r="B507" s="113" t="s">
        <v>40</v>
      </c>
      <c r="C507" s="113" t="s">
        <v>525</v>
      </c>
      <c r="D507" s="133" t="s">
        <v>86</v>
      </c>
      <c r="E507" s="133" t="s">
        <v>532</v>
      </c>
      <c r="F507" s="134" t="s">
        <v>41</v>
      </c>
      <c r="G507" s="111">
        <v>17.600000000000001</v>
      </c>
      <c r="H507" s="111"/>
      <c r="I507" s="111">
        <f>SUM(G507)</f>
        <v>17.600000000000001</v>
      </c>
      <c r="J507" s="115">
        <v>0</v>
      </c>
      <c r="K507" s="111">
        <f>K508</f>
        <v>0</v>
      </c>
      <c r="L507" s="115">
        <v>0</v>
      </c>
      <c r="M507" s="111">
        <f t="shared" si="97"/>
        <v>17.600000000000001</v>
      </c>
      <c r="N507" s="111">
        <f t="shared" si="97"/>
        <v>0</v>
      </c>
      <c r="O507" s="111">
        <f t="shared" si="97"/>
        <v>17.600000000000001</v>
      </c>
      <c r="P507" s="97"/>
      <c r="Q507" s="97"/>
    </row>
    <row r="508" spans="1:17" ht="47.25" x14ac:dyDescent="0.2">
      <c r="A508" s="40"/>
      <c r="B508" s="113" t="s">
        <v>533</v>
      </c>
      <c r="C508" s="113" t="s">
        <v>525</v>
      </c>
      <c r="D508" s="133" t="s">
        <v>86</v>
      </c>
      <c r="E508" s="133" t="s">
        <v>534</v>
      </c>
      <c r="F508" s="134" t="s">
        <v>11</v>
      </c>
      <c r="G508" s="111">
        <f>G509</f>
        <v>1067.4000000000001</v>
      </c>
      <c r="H508" s="111">
        <f>SUM(H509)</f>
        <v>0</v>
      </c>
      <c r="I508" s="111">
        <f>I509</f>
        <v>1067.4000000000001</v>
      </c>
      <c r="J508" s="114">
        <f>J509</f>
        <v>0</v>
      </c>
      <c r="K508" s="111">
        <f>K509+K510</f>
        <v>0</v>
      </c>
      <c r="L508" s="114">
        <f>L509</f>
        <v>0</v>
      </c>
      <c r="M508" s="111">
        <f>M509</f>
        <v>1067.4000000000001</v>
      </c>
      <c r="N508" s="111">
        <f>N509</f>
        <v>0</v>
      </c>
      <c r="O508" s="111">
        <f>O509</f>
        <v>1067.4000000000001</v>
      </c>
      <c r="P508" s="97"/>
      <c r="Q508" s="97"/>
    </row>
    <row r="509" spans="1:17" ht="47.25" x14ac:dyDescent="0.2">
      <c r="A509" s="40"/>
      <c r="B509" s="113" t="s">
        <v>535</v>
      </c>
      <c r="C509" s="113" t="s">
        <v>525</v>
      </c>
      <c r="D509" s="133" t="s">
        <v>86</v>
      </c>
      <c r="E509" s="133" t="s">
        <v>536</v>
      </c>
      <c r="F509" s="134" t="s">
        <v>11</v>
      </c>
      <c r="G509" s="111">
        <f>G510+G511</f>
        <v>1067.4000000000001</v>
      </c>
      <c r="H509" s="111">
        <f>H510+H511</f>
        <v>0</v>
      </c>
      <c r="I509" s="111">
        <f>I510+I511</f>
        <v>1067.4000000000001</v>
      </c>
      <c r="J509" s="114">
        <f>J510+J511</f>
        <v>0</v>
      </c>
      <c r="K509" s="111"/>
      <c r="L509" s="114">
        <f>L510+L511</f>
        <v>0</v>
      </c>
      <c r="M509" s="111">
        <f>M510+M511</f>
        <v>1067.4000000000001</v>
      </c>
      <c r="N509" s="111">
        <f>N510+N511</f>
        <v>0</v>
      </c>
      <c r="O509" s="111">
        <f>O510+O511</f>
        <v>1067.4000000000001</v>
      </c>
      <c r="P509" s="97"/>
      <c r="Q509" s="97"/>
    </row>
    <row r="510" spans="1:17" ht="31.5" x14ac:dyDescent="0.2">
      <c r="A510" s="40"/>
      <c r="B510" s="113" t="s">
        <v>40</v>
      </c>
      <c r="C510" s="113" t="s">
        <v>525</v>
      </c>
      <c r="D510" s="133" t="s">
        <v>86</v>
      </c>
      <c r="E510" s="133" t="s">
        <v>536</v>
      </c>
      <c r="F510" s="134" t="s">
        <v>41</v>
      </c>
      <c r="G510" s="111">
        <v>1067.4000000000001</v>
      </c>
      <c r="H510" s="111"/>
      <c r="I510" s="111">
        <f>SUM(G510)</f>
        <v>1067.4000000000001</v>
      </c>
      <c r="J510" s="115">
        <v>0</v>
      </c>
      <c r="K510" s="111"/>
      <c r="L510" s="115">
        <v>0</v>
      </c>
      <c r="M510" s="111">
        <f>SUM(G510)</f>
        <v>1067.4000000000001</v>
      </c>
      <c r="N510" s="111">
        <f>SUM(H510)</f>
        <v>0</v>
      </c>
      <c r="O510" s="111">
        <f>SUM(I510)</f>
        <v>1067.4000000000001</v>
      </c>
      <c r="P510" s="97"/>
      <c r="Q510" s="97"/>
    </row>
    <row r="511" spans="1:17" ht="15.75" x14ac:dyDescent="0.2">
      <c r="A511" s="40"/>
      <c r="B511" s="113" t="s">
        <v>70</v>
      </c>
      <c r="C511" s="113" t="s">
        <v>525</v>
      </c>
      <c r="D511" s="133" t="s">
        <v>86</v>
      </c>
      <c r="E511" s="133" t="s">
        <v>536</v>
      </c>
      <c r="F511" s="134" t="s">
        <v>71</v>
      </c>
      <c r="G511" s="111">
        <v>0</v>
      </c>
      <c r="H511" s="106"/>
      <c r="I511" s="111">
        <v>0</v>
      </c>
      <c r="J511" s="115">
        <v>0</v>
      </c>
      <c r="K511" s="106">
        <f t="shared" ref="G511:O517" si="98">K512</f>
        <v>0</v>
      </c>
      <c r="L511" s="115">
        <v>0</v>
      </c>
      <c r="M511" s="111">
        <v>0</v>
      </c>
      <c r="N511" s="111">
        <f>SUM(H511)</f>
        <v>0</v>
      </c>
      <c r="O511" s="111">
        <v>0</v>
      </c>
      <c r="P511" s="97"/>
      <c r="Q511" s="97"/>
    </row>
    <row r="512" spans="1:17" ht="15.75" x14ac:dyDescent="0.2">
      <c r="A512" s="20" t="s">
        <v>537</v>
      </c>
      <c r="B512" s="107" t="s">
        <v>213</v>
      </c>
      <c r="C512" s="107" t="s">
        <v>525</v>
      </c>
      <c r="D512" s="129" t="s">
        <v>214</v>
      </c>
      <c r="E512" s="129" t="s">
        <v>11</v>
      </c>
      <c r="F512" s="130" t="s">
        <v>11</v>
      </c>
      <c r="G512" s="106">
        <f t="shared" si="98"/>
        <v>11636.5</v>
      </c>
      <c r="H512" s="109">
        <f t="shared" si="98"/>
        <v>0</v>
      </c>
      <c r="I512" s="106">
        <f t="shared" si="98"/>
        <v>11636.5</v>
      </c>
      <c r="J512" s="108">
        <f t="shared" si="98"/>
        <v>0</v>
      </c>
      <c r="K512" s="109">
        <f t="shared" si="98"/>
        <v>0</v>
      </c>
      <c r="L512" s="108">
        <f t="shared" si="98"/>
        <v>0</v>
      </c>
      <c r="M512" s="106">
        <f t="shared" si="98"/>
        <v>11636.5</v>
      </c>
      <c r="N512" s="106">
        <f t="shared" si="98"/>
        <v>0</v>
      </c>
      <c r="O512" s="106">
        <f t="shared" si="98"/>
        <v>11636.5</v>
      </c>
      <c r="P512" s="97"/>
      <c r="Q512" s="97"/>
    </row>
    <row r="513" spans="1:17" ht="26.45" customHeight="1" x14ac:dyDescent="0.2">
      <c r="A513" s="33" t="s">
        <v>538</v>
      </c>
      <c r="B513" s="110" t="s">
        <v>261</v>
      </c>
      <c r="C513" s="110" t="s">
        <v>525</v>
      </c>
      <c r="D513" s="131" t="s">
        <v>262</v>
      </c>
      <c r="E513" s="131" t="s">
        <v>11</v>
      </c>
      <c r="F513" s="132" t="s">
        <v>11</v>
      </c>
      <c r="G513" s="109">
        <f t="shared" si="98"/>
        <v>11636.5</v>
      </c>
      <c r="H513" s="111">
        <f t="shared" si="98"/>
        <v>0</v>
      </c>
      <c r="I513" s="109">
        <f t="shared" si="98"/>
        <v>11636.5</v>
      </c>
      <c r="J513" s="112">
        <f t="shared" si="98"/>
        <v>0</v>
      </c>
      <c r="K513" s="111">
        <f t="shared" si="98"/>
        <v>0</v>
      </c>
      <c r="L513" s="112">
        <f t="shared" si="98"/>
        <v>0</v>
      </c>
      <c r="M513" s="109">
        <f t="shared" si="98"/>
        <v>11636.5</v>
      </c>
      <c r="N513" s="109">
        <f t="shared" si="98"/>
        <v>0</v>
      </c>
      <c r="O513" s="109">
        <f t="shared" si="98"/>
        <v>11636.5</v>
      </c>
      <c r="P513" s="97"/>
      <c r="Q513" s="97"/>
    </row>
    <row r="514" spans="1:17" ht="31.5" x14ac:dyDescent="0.2">
      <c r="A514" s="40"/>
      <c r="B514" s="113" t="s">
        <v>128</v>
      </c>
      <c r="C514" s="113" t="s">
        <v>525</v>
      </c>
      <c r="D514" s="133" t="s">
        <v>262</v>
      </c>
      <c r="E514" s="133" t="s">
        <v>129</v>
      </c>
      <c r="F514" s="134" t="s">
        <v>11</v>
      </c>
      <c r="G514" s="111">
        <f t="shared" si="98"/>
        <v>11636.5</v>
      </c>
      <c r="H514" s="111">
        <f t="shared" si="98"/>
        <v>0</v>
      </c>
      <c r="I514" s="111">
        <f t="shared" si="98"/>
        <v>11636.5</v>
      </c>
      <c r="J514" s="114">
        <f t="shared" si="98"/>
        <v>0</v>
      </c>
      <c r="K514" s="111">
        <f t="shared" si="98"/>
        <v>0</v>
      </c>
      <c r="L514" s="114">
        <f t="shared" si="98"/>
        <v>0</v>
      </c>
      <c r="M514" s="111">
        <f t="shared" si="98"/>
        <v>11636.5</v>
      </c>
      <c r="N514" s="111">
        <f t="shared" si="98"/>
        <v>0</v>
      </c>
      <c r="O514" s="111">
        <f t="shared" si="98"/>
        <v>11636.5</v>
      </c>
      <c r="P514" s="97"/>
      <c r="Q514" s="97"/>
    </row>
    <row r="515" spans="1:17" ht="31.5" x14ac:dyDescent="0.2">
      <c r="A515" s="40"/>
      <c r="B515" s="113" t="s">
        <v>528</v>
      </c>
      <c r="C515" s="113" t="s">
        <v>525</v>
      </c>
      <c r="D515" s="133" t="s">
        <v>262</v>
      </c>
      <c r="E515" s="133" t="s">
        <v>529</v>
      </c>
      <c r="F515" s="134" t="s">
        <v>11</v>
      </c>
      <c r="G515" s="111">
        <f t="shared" si="98"/>
        <v>11636.5</v>
      </c>
      <c r="H515" s="111">
        <f t="shared" si="98"/>
        <v>0</v>
      </c>
      <c r="I515" s="111">
        <f t="shared" si="98"/>
        <v>11636.5</v>
      </c>
      <c r="J515" s="114">
        <f t="shared" si="98"/>
        <v>0</v>
      </c>
      <c r="K515" s="111">
        <f t="shared" si="98"/>
        <v>0</v>
      </c>
      <c r="L515" s="114">
        <f t="shared" si="98"/>
        <v>0</v>
      </c>
      <c r="M515" s="111">
        <f t="shared" si="98"/>
        <v>11636.5</v>
      </c>
      <c r="N515" s="111">
        <f t="shared" si="98"/>
        <v>0</v>
      </c>
      <c r="O515" s="111">
        <f t="shared" si="98"/>
        <v>11636.5</v>
      </c>
      <c r="P515" s="97"/>
      <c r="Q515" s="97"/>
    </row>
    <row r="516" spans="1:17" ht="47.25" x14ac:dyDescent="0.2">
      <c r="A516" s="40"/>
      <c r="B516" s="113" t="s">
        <v>539</v>
      </c>
      <c r="C516" s="113" t="s">
        <v>525</v>
      </c>
      <c r="D516" s="133" t="s">
        <v>262</v>
      </c>
      <c r="E516" s="133" t="s">
        <v>540</v>
      </c>
      <c r="F516" s="134" t="s">
        <v>11</v>
      </c>
      <c r="G516" s="111">
        <f t="shared" si="98"/>
        <v>11636.5</v>
      </c>
      <c r="H516" s="111">
        <f t="shared" si="98"/>
        <v>0</v>
      </c>
      <c r="I516" s="111">
        <f t="shared" si="98"/>
        <v>11636.5</v>
      </c>
      <c r="J516" s="114">
        <f t="shared" si="98"/>
        <v>0</v>
      </c>
      <c r="K516" s="111">
        <f t="shared" si="98"/>
        <v>0</v>
      </c>
      <c r="L516" s="114">
        <f t="shared" si="98"/>
        <v>0</v>
      </c>
      <c r="M516" s="111">
        <f t="shared" si="98"/>
        <v>11636.5</v>
      </c>
      <c r="N516" s="111">
        <f t="shared" si="98"/>
        <v>0</v>
      </c>
      <c r="O516" s="111">
        <f t="shared" si="98"/>
        <v>11636.5</v>
      </c>
      <c r="P516" s="97"/>
      <c r="Q516" s="97"/>
    </row>
    <row r="517" spans="1:17" ht="32.25" thickBot="1" x14ac:dyDescent="0.25">
      <c r="A517" s="40"/>
      <c r="B517" s="113" t="s">
        <v>134</v>
      </c>
      <c r="C517" s="113" t="s">
        <v>525</v>
      </c>
      <c r="D517" s="133" t="s">
        <v>262</v>
      </c>
      <c r="E517" s="133" t="s">
        <v>541</v>
      </c>
      <c r="F517" s="134" t="s">
        <v>11</v>
      </c>
      <c r="G517" s="111">
        <f t="shared" si="98"/>
        <v>11636.5</v>
      </c>
      <c r="H517" s="122">
        <f>SUM(H518)</f>
        <v>0</v>
      </c>
      <c r="I517" s="111">
        <f t="shared" si="98"/>
        <v>11636.5</v>
      </c>
      <c r="J517" s="114">
        <f t="shared" si="98"/>
        <v>0</v>
      </c>
      <c r="K517" s="122"/>
      <c r="L517" s="114">
        <f t="shared" si="98"/>
        <v>0</v>
      </c>
      <c r="M517" s="111">
        <f t="shared" si="98"/>
        <v>11636.5</v>
      </c>
      <c r="N517" s="111">
        <f t="shared" si="98"/>
        <v>0</v>
      </c>
      <c r="O517" s="111">
        <f t="shared" si="98"/>
        <v>11636.5</v>
      </c>
      <c r="P517" s="97"/>
      <c r="Q517" s="97"/>
    </row>
    <row r="518" spans="1:17" ht="48" thickBot="1" x14ac:dyDescent="0.25">
      <c r="A518" s="49"/>
      <c r="B518" s="123" t="s">
        <v>95</v>
      </c>
      <c r="C518" s="123" t="s">
        <v>525</v>
      </c>
      <c r="D518" s="146" t="s">
        <v>262</v>
      </c>
      <c r="E518" s="146" t="s">
        <v>541</v>
      </c>
      <c r="F518" s="147" t="s">
        <v>96</v>
      </c>
      <c r="G518" s="122">
        <v>11636.5</v>
      </c>
      <c r="H518" s="124"/>
      <c r="I518" s="122">
        <f>SUM(G518)</f>
        <v>11636.5</v>
      </c>
      <c r="J518" s="125">
        <v>0</v>
      </c>
      <c r="K518" s="124"/>
      <c r="L518" s="125">
        <v>0</v>
      </c>
      <c r="M518" s="122">
        <f>SUM(G518)</f>
        <v>11636.5</v>
      </c>
      <c r="N518" s="122">
        <f>SUM(H518)</f>
        <v>0</v>
      </c>
      <c r="O518" s="122">
        <f>SUM(I518)</f>
        <v>11636.5</v>
      </c>
      <c r="P518" s="97"/>
      <c r="Q518" s="97"/>
    </row>
    <row r="520" spans="1:17" x14ac:dyDescent="0.2">
      <c r="B520" s="302" t="s">
        <v>542</v>
      </c>
      <c r="C520" s="266"/>
      <c r="D520" s="266"/>
      <c r="E520" s="266"/>
      <c r="F520" s="266"/>
      <c r="G520" s="266"/>
      <c r="H520" s="266"/>
      <c r="I520" s="266"/>
      <c r="J520" s="266"/>
      <c r="K520" s="266"/>
      <c r="L520" s="266"/>
      <c r="M520" s="266"/>
      <c r="N520" s="266"/>
      <c r="O520" s="266"/>
    </row>
    <row r="521" spans="1:17" x14ac:dyDescent="0.2">
      <c r="B521" s="266"/>
      <c r="C521" s="266"/>
      <c r="D521" s="266"/>
      <c r="E521" s="266"/>
      <c r="F521" s="266"/>
      <c r="G521" s="266"/>
      <c r="H521" s="266"/>
      <c r="I521" s="266"/>
      <c r="J521" s="266"/>
      <c r="K521" s="266"/>
      <c r="L521" s="266"/>
      <c r="M521" s="266"/>
      <c r="N521" s="266"/>
      <c r="O521" s="266"/>
    </row>
    <row r="522" spans="1:17" x14ac:dyDescent="0.2">
      <c r="B522" s="266"/>
      <c r="C522" s="266"/>
      <c r="D522" s="266"/>
      <c r="E522" s="266"/>
      <c r="F522" s="266"/>
      <c r="G522" s="266"/>
      <c r="H522" s="266"/>
      <c r="I522" s="266"/>
      <c r="J522" s="266"/>
      <c r="K522" s="266"/>
      <c r="L522" s="266"/>
      <c r="M522" s="266"/>
      <c r="N522" s="266"/>
      <c r="O522" s="266"/>
    </row>
  </sheetData>
  <mergeCells count="21">
    <mergeCell ref="J6:O6"/>
    <mergeCell ref="J1:O1"/>
    <mergeCell ref="J2:O2"/>
    <mergeCell ref="J3:O3"/>
    <mergeCell ref="J4:O4"/>
    <mergeCell ref="J5:O5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C19:F19"/>
    <mergeCell ref="G19:O19"/>
    <mergeCell ref="B520:O522"/>
    <mergeCell ref="B15:G15"/>
    <mergeCell ref="B16:G16"/>
  </mergeCells>
  <pageMargins left="0.19685039370078741" right="0.31496062992125984" top="0.31496062992125984" bottom="0.39370078740157483" header="0.51181102362204722" footer="0.19685039370078741"/>
  <pageSetup paperSize="9" scale="60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1"/>
  <sheetViews>
    <sheetView topLeftCell="A282" zoomScale="60" zoomScaleNormal="60" workbookViewId="0">
      <selection activeCell="N223" sqref="N223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  <col min="18" max="18" width="10" bestFit="1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571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91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91"/>
      <c r="I15" s="91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92"/>
      <c r="I16" s="92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90" t="s">
        <v>16</v>
      </c>
      <c r="D18" s="90" t="s">
        <v>17</v>
      </c>
      <c r="E18" s="90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90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>G21+G33+G424+G478</f>
        <v>639922.99999999988</v>
      </c>
      <c r="H20" s="31">
        <f>H21+H33+H424+H478</f>
        <v>11399.699999999993</v>
      </c>
      <c r="I20" s="31">
        <f>I21+I33+I424+I478</f>
        <v>651322.69999999995</v>
      </c>
      <c r="J20" s="32">
        <f>J21+J33+J424+J478</f>
        <v>2501441.7000000007</v>
      </c>
      <c r="K20" s="25">
        <f>SUM(K33+K21+K424+K478)</f>
        <v>155847</v>
      </c>
      <c r="L20" s="32">
        <f>L21+L33+L424+L478</f>
        <v>2657288.7000000007</v>
      </c>
      <c r="M20" s="31">
        <f>M21+M33+M424+M478</f>
        <v>3141364.6999999997</v>
      </c>
      <c r="N20" s="31">
        <f>N21+N33+N424+N478</f>
        <v>167246.70000000001</v>
      </c>
      <c r="O20" s="31">
        <f>O21+O33+O424+O478</f>
        <v>3308611.4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76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O26" si="0">J24</f>
        <v>0</v>
      </c>
      <c r="K23" s="45">
        <f>K24</f>
        <v>0</v>
      </c>
      <c r="L23" s="39">
        <f t="shared" si="0"/>
        <v>0</v>
      </c>
      <c r="M23" s="38">
        <f t="shared" si="0"/>
        <v>8.1</v>
      </c>
      <c r="N23" s="38">
        <f t="shared" si="0"/>
        <v>0</v>
      </c>
      <c r="O23" s="38">
        <f t="shared" si="0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0"/>
        <v>0</v>
      </c>
      <c r="K24" s="45">
        <f>K25</f>
        <v>0</v>
      </c>
      <c r="L24" s="46">
        <f t="shared" si="0"/>
        <v>0</v>
      </c>
      <c r="M24" s="45">
        <f t="shared" si="0"/>
        <v>8.1</v>
      </c>
      <c r="N24" s="45">
        <f t="shared" si="0"/>
        <v>0</v>
      </c>
      <c r="O24" s="45">
        <f t="shared" si="0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0"/>
        <v>0</v>
      </c>
      <c r="K25" s="45">
        <f>K26</f>
        <v>0</v>
      </c>
      <c r="L25" s="46">
        <f t="shared" si="0"/>
        <v>0</v>
      </c>
      <c r="M25" s="45">
        <f t="shared" si="0"/>
        <v>8.1</v>
      </c>
      <c r="N25" s="45">
        <f t="shared" si="0"/>
        <v>0</v>
      </c>
      <c r="O25" s="45">
        <f t="shared" si="0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0"/>
        <v>0</v>
      </c>
      <c r="K26" s="45"/>
      <c r="L26" s="46">
        <f t="shared" si="0"/>
        <v>0</v>
      </c>
      <c r="M26" s="45">
        <f t="shared" si="0"/>
        <v>8.1</v>
      </c>
      <c r="N26" s="45">
        <f t="shared" si="0"/>
        <v>0</v>
      </c>
      <c r="O26" s="45">
        <f t="shared" si="0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O31" si="1">G29</f>
        <v>1387.5</v>
      </c>
      <c r="H28" s="45">
        <f t="shared" si="1"/>
        <v>0</v>
      </c>
      <c r="I28" s="38">
        <f t="shared" si="1"/>
        <v>1387.5</v>
      </c>
      <c r="J28" s="39">
        <f t="shared" si="1"/>
        <v>0</v>
      </c>
      <c r="K28" s="45">
        <f>K29</f>
        <v>0</v>
      </c>
      <c r="L28" s="39">
        <f t="shared" si="1"/>
        <v>0</v>
      </c>
      <c r="M28" s="38">
        <f t="shared" si="1"/>
        <v>1387.5</v>
      </c>
      <c r="N28" s="38">
        <f t="shared" si="1"/>
        <v>0</v>
      </c>
      <c r="O28" s="38">
        <f t="shared" si="1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1"/>
        <v>1387.5</v>
      </c>
      <c r="H29" s="45">
        <f t="shared" si="1"/>
        <v>0</v>
      </c>
      <c r="I29" s="45">
        <f t="shared" si="1"/>
        <v>1387.5</v>
      </c>
      <c r="J29" s="46">
        <f t="shared" si="1"/>
        <v>0</v>
      </c>
      <c r="K29" s="45">
        <f>K30</f>
        <v>0</v>
      </c>
      <c r="L29" s="46">
        <f t="shared" si="1"/>
        <v>0</v>
      </c>
      <c r="M29" s="45">
        <f t="shared" si="1"/>
        <v>1387.5</v>
      </c>
      <c r="N29" s="45">
        <f t="shared" si="1"/>
        <v>0</v>
      </c>
      <c r="O29" s="45">
        <f t="shared" si="1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1"/>
        <v>1387.5</v>
      </c>
      <c r="H30" s="45">
        <f t="shared" si="1"/>
        <v>0</v>
      </c>
      <c r="I30" s="45">
        <f t="shared" si="1"/>
        <v>1387.5</v>
      </c>
      <c r="J30" s="46">
        <f t="shared" si="1"/>
        <v>0</v>
      </c>
      <c r="K30" s="45">
        <f>K31</f>
        <v>0</v>
      </c>
      <c r="L30" s="46">
        <f t="shared" si="1"/>
        <v>0</v>
      </c>
      <c r="M30" s="45">
        <f t="shared" si="1"/>
        <v>1387.5</v>
      </c>
      <c r="N30" s="45">
        <f t="shared" si="1"/>
        <v>0</v>
      </c>
      <c r="O30" s="45">
        <f t="shared" si="1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1"/>
        <v>0</v>
      </c>
      <c r="K31" s="45"/>
      <c r="L31" s="46">
        <f t="shared" si="1"/>
        <v>0</v>
      </c>
      <c r="M31" s="45">
        <f t="shared" si="1"/>
        <v>1387.5</v>
      </c>
      <c r="N31" s="45">
        <f t="shared" si="1"/>
        <v>0</v>
      </c>
      <c r="O31" s="45">
        <f t="shared" si="1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G34+G111+G163+G245+G358+G381+G406+G417</f>
        <v>485664.59999999992</v>
      </c>
      <c r="H33" s="25">
        <f t="shared" ref="H33:O33" si="2">H34+H111+H163+H245+H358+H381+H406+H417</f>
        <v>8444.4999999999927</v>
      </c>
      <c r="I33" s="25">
        <f t="shared" si="2"/>
        <v>494109.10000000003</v>
      </c>
      <c r="J33" s="25">
        <f t="shared" si="2"/>
        <v>2496033.0000000005</v>
      </c>
      <c r="K33" s="25">
        <f t="shared" si="2"/>
        <v>139631.6</v>
      </c>
      <c r="L33" s="25">
        <f t="shared" si="2"/>
        <v>2635664.6000000006</v>
      </c>
      <c r="M33" s="25">
        <f t="shared" si="2"/>
        <v>2981697.5999999996</v>
      </c>
      <c r="N33" s="25">
        <f t="shared" si="2"/>
        <v>148076.1</v>
      </c>
      <c r="O33" s="76">
        <f t="shared" si="2"/>
        <v>3129773.6999999997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93306.699999999983</v>
      </c>
      <c r="H34" s="25">
        <f t="shared" ref="H34:O34" si="3">H35+H40+H54+H59</f>
        <v>7421.8</v>
      </c>
      <c r="I34" s="25">
        <f t="shared" si="3"/>
        <v>100728.5</v>
      </c>
      <c r="J34" s="25">
        <f t="shared" si="3"/>
        <v>768.1</v>
      </c>
      <c r="K34" s="25">
        <f t="shared" si="3"/>
        <v>100</v>
      </c>
      <c r="L34" s="25">
        <f t="shared" si="3"/>
        <v>868.1</v>
      </c>
      <c r="M34" s="25">
        <f t="shared" si="3"/>
        <v>94074.799999999988</v>
      </c>
      <c r="N34" s="25">
        <f t="shared" si="3"/>
        <v>7521.8</v>
      </c>
      <c r="O34" s="77">
        <f t="shared" si="3"/>
        <v>101596.6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 t="shared" ref="G35:O38" si="4">G36</f>
        <v>2021.3</v>
      </c>
      <c r="H35" s="45">
        <f t="shared" si="4"/>
        <v>246.8</v>
      </c>
      <c r="I35" s="38">
        <f t="shared" si="4"/>
        <v>2268.1</v>
      </c>
      <c r="J35" s="39">
        <f t="shared" si="4"/>
        <v>0</v>
      </c>
      <c r="K35" s="45">
        <f>K36</f>
        <v>0</v>
      </c>
      <c r="L35" s="39">
        <f t="shared" si="4"/>
        <v>0</v>
      </c>
      <c r="M35" s="38">
        <f t="shared" si="4"/>
        <v>2021.3</v>
      </c>
      <c r="N35" s="38">
        <f t="shared" si="4"/>
        <v>246.8</v>
      </c>
      <c r="O35" s="78">
        <f t="shared" si="4"/>
        <v>2268.1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 t="shared" si="4"/>
        <v>2021.3</v>
      </c>
      <c r="H36" s="45">
        <f t="shared" si="4"/>
        <v>246.8</v>
      </c>
      <c r="I36" s="45">
        <f t="shared" si="4"/>
        <v>2268.1</v>
      </c>
      <c r="J36" s="46">
        <f t="shared" si="4"/>
        <v>0</v>
      </c>
      <c r="K36" s="45">
        <f>K37</f>
        <v>0</v>
      </c>
      <c r="L36" s="46">
        <f t="shared" si="4"/>
        <v>0</v>
      </c>
      <c r="M36" s="45">
        <f t="shared" si="4"/>
        <v>2021.3</v>
      </c>
      <c r="N36" s="45">
        <f t="shared" si="4"/>
        <v>246.8</v>
      </c>
      <c r="O36" s="45">
        <f t="shared" si="4"/>
        <v>2268.1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 t="shared" si="4"/>
        <v>2021.3</v>
      </c>
      <c r="H37" s="45">
        <f t="shared" si="4"/>
        <v>246.8</v>
      </c>
      <c r="I37" s="45">
        <f t="shared" si="4"/>
        <v>2268.1</v>
      </c>
      <c r="J37" s="46">
        <f t="shared" si="4"/>
        <v>0</v>
      </c>
      <c r="K37" s="45">
        <f>K38</f>
        <v>0</v>
      </c>
      <c r="L37" s="46">
        <f t="shared" si="4"/>
        <v>0</v>
      </c>
      <c r="M37" s="45">
        <f t="shared" si="4"/>
        <v>2021.3</v>
      </c>
      <c r="N37" s="45">
        <f t="shared" si="4"/>
        <v>246.8</v>
      </c>
      <c r="O37" s="45">
        <f t="shared" si="4"/>
        <v>2268.1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38">
        <v>246.8</v>
      </c>
      <c r="I38" s="45">
        <f>I39</f>
        <v>2268.1</v>
      </c>
      <c r="J38" s="46">
        <f t="shared" si="4"/>
        <v>0</v>
      </c>
      <c r="K38" s="45"/>
      <c r="L38" s="46">
        <f t="shared" si="4"/>
        <v>0</v>
      </c>
      <c r="M38" s="45">
        <f t="shared" si="4"/>
        <v>2021.3</v>
      </c>
      <c r="N38" s="45">
        <f t="shared" si="4"/>
        <v>246.8</v>
      </c>
      <c r="O38" s="45">
        <f t="shared" si="4"/>
        <v>2268.1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>
        <v>246.8</v>
      </c>
      <c r="I39" s="45">
        <f>2021.3+H39</f>
        <v>2268.1</v>
      </c>
      <c r="J39" s="47">
        <v>0</v>
      </c>
      <c r="K39" s="38"/>
      <c r="L39" s="47">
        <v>0</v>
      </c>
      <c r="M39" s="45">
        <v>2021.3</v>
      </c>
      <c r="N39" s="45">
        <f>SUM(H39)</f>
        <v>246.8</v>
      </c>
      <c r="O39" s="45">
        <f>2021.3+N39</f>
        <v>2268.1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31630.2</v>
      </c>
      <c r="H40" s="45">
        <f>H41</f>
        <v>4114.5</v>
      </c>
      <c r="I40" s="38">
        <f>I41</f>
        <v>35744.700000000004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32398.3</v>
      </c>
      <c r="N40" s="38">
        <f>N41</f>
        <v>4114.5</v>
      </c>
      <c r="O40" s="78">
        <f>O41</f>
        <v>36512.800000000003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31630.2</v>
      </c>
      <c r="H41" s="45">
        <f>H42</f>
        <v>4114.5</v>
      </c>
      <c r="I41" s="45">
        <f>I42+I47</f>
        <v>35744.700000000004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32398.3</v>
      </c>
      <c r="N41" s="45">
        <f>N42+N47</f>
        <v>4114.5</v>
      </c>
      <c r="O41" s="45">
        <f>O42+O47</f>
        <v>36512.800000000003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31630.2</v>
      </c>
      <c r="H42" s="45">
        <f>H43</f>
        <v>4114.5</v>
      </c>
      <c r="I42" s="45">
        <f>I43</f>
        <v>35744.700000000004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31630.2</v>
      </c>
      <c r="N42" s="45">
        <f>N43</f>
        <v>4114.5</v>
      </c>
      <c r="O42" s="45">
        <f>O43</f>
        <v>35744.700000000004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31630.2</v>
      </c>
      <c r="H43" s="45">
        <f>SUM(H44)+H45+H46</f>
        <v>4114.5</v>
      </c>
      <c r="I43" s="45">
        <f>I44+I45+I46</f>
        <v>35744.700000000004</v>
      </c>
      <c r="J43" s="46">
        <f>J44+J45+J46</f>
        <v>0</v>
      </c>
      <c r="K43" s="45"/>
      <c r="L43" s="46">
        <f>L44+L45+L46</f>
        <v>0</v>
      </c>
      <c r="M43" s="45">
        <f>M44+M45+M46</f>
        <v>31630.2</v>
      </c>
      <c r="N43" s="45">
        <f>N44+N45+N46</f>
        <v>4114.5</v>
      </c>
      <c r="O43" s="45">
        <f>O44+O45+O46</f>
        <v>35744.700000000004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31298.799999999999</v>
      </c>
      <c r="H44" s="45">
        <v>3976</v>
      </c>
      <c r="I44" s="45">
        <f>SUM(G44)+H44</f>
        <v>35274.800000000003</v>
      </c>
      <c r="J44" s="47">
        <v>0</v>
      </c>
      <c r="K44" s="45"/>
      <c r="L44" s="47">
        <v>0</v>
      </c>
      <c r="M44" s="45">
        <f>SUM(G44)</f>
        <v>31298.799999999999</v>
      </c>
      <c r="N44" s="45">
        <f>SUM(H44)</f>
        <v>3976</v>
      </c>
      <c r="O44" s="45">
        <f>SUM(N44)+M44</f>
        <v>35274.800000000003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f>291.4+H45</f>
        <v>291.39999999999998</v>
      </c>
      <c r="J45" s="47">
        <v>0</v>
      </c>
      <c r="K45" s="45"/>
      <c r="L45" s="47">
        <v>0</v>
      </c>
      <c r="M45" s="45">
        <v>291.39999999999998</v>
      </c>
      <c r="N45" s="45">
        <f>SUM(H45)</f>
        <v>0</v>
      </c>
      <c r="O45" s="45">
        <f>291.4+N45</f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v>138.5</v>
      </c>
      <c r="I46" s="45">
        <f>40+H46</f>
        <v>178.5</v>
      </c>
      <c r="J46" s="47">
        <v>0</v>
      </c>
      <c r="K46" s="45">
        <f>K51</f>
        <v>0</v>
      </c>
      <c r="L46" s="47">
        <v>0</v>
      </c>
      <c r="M46" s="45">
        <v>40</v>
      </c>
      <c r="N46" s="45">
        <f>SUM(H46)</f>
        <v>138.5</v>
      </c>
      <c r="O46" s="45">
        <f>40+N46</f>
        <v>178.5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5">H52</f>
        <v>0</v>
      </c>
      <c r="I51" s="45"/>
      <c r="J51" s="47"/>
      <c r="K51" s="45">
        <f t="shared" si="5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5"/>
        <v>0</v>
      </c>
      <c r="H52" s="45">
        <v>0</v>
      </c>
      <c r="I52" s="45">
        <f t="shared" si="5"/>
        <v>0</v>
      </c>
      <c r="J52" s="47">
        <f t="shared" si="5"/>
        <v>12.4</v>
      </c>
      <c r="K52" s="45">
        <v>0</v>
      </c>
      <c r="L52" s="47">
        <f t="shared" si="5"/>
        <v>12.4</v>
      </c>
      <c r="M52" s="45">
        <f t="shared" si="5"/>
        <v>12.4</v>
      </c>
      <c r="N52" s="45">
        <f t="shared" si="5"/>
        <v>0</v>
      </c>
      <c r="O52" s="45">
        <f t="shared" si="5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O57" si="6">G55</f>
        <v>2091.1999999999998</v>
      </c>
      <c r="H54" s="45">
        <f t="shared" si="6"/>
        <v>0</v>
      </c>
      <c r="I54" s="38">
        <f t="shared" si="6"/>
        <v>2091.1999999999998</v>
      </c>
      <c r="J54" s="39">
        <f t="shared" si="6"/>
        <v>0</v>
      </c>
      <c r="K54" s="45">
        <f>K55</f>
        <v>0</v>
      </c>
      <c r="L54" s="39">
        <f t="shared" si="6"/>
        <v>0</v>
      </c>
      <c r="M54" s="38">
        <f t="shared" si="6"/>
        <v>2091.1999999999998</v>
      </c>
      <c r="N54" s="38">
        <f t="shared" si="6"/>
        <v>0</v>
      </c>
      <c r="O54" s="79">
        <f t="shared" si="6"/>
        <v>2091.1999999999998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6"/>
        <v>2091.1999999999998</v>
      </c>
      <c r="H55" s="45">
        <f t="shared" si="6"/>
        <v>0</v>
      </c>
      <c r="I55" s="45">
        <f t="shared" si="6"/>
        <v>2091.1999999999998</v>
      </c>
      <c r="J55" s="46">
        <f t="shared" si="6"/>
        <v>0</v>
      </c>
      <c r="K55" s="45">
        <f>K56</f>
        <v>0</v>
      </c>
      <c r="L55" s="46">
        <f t="shared" si="6"/>
        <v>0</v>
      </c>
      <c r="M55" s="45">
        <f t="shared" si="6"/>
        <v>2091.1999999999998</v>
      </c>
      <c r="N55" s="45">
        <f t="shared" si="6"/>
        <v>0</v>
      </c>
      <c r="O55" s="60">
        <f t="shared" si="6"/>
        <v>2091.1999999999998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6"/>
        <v>2091.1999999999998</v>
      </c>
      <c r="H56" s="45">
        <f t="shared" si="6"/>
        <v>0</v>
      </c>
      <c r="I56" s="45">
        <f t="shared" si="6"/>
        <v>2091.1999999999998</v>
      </c>
      <c r="J56" s="46">
        <f t="shared" si="6"/>
        <v>0</v>
      </c>
      <c r="K56" s="45">
        <f>K57</f>
        <v>0</v>
      </c>
      <c r="L56" s="46">
        <f t="shared" si="6"/>
        <v>0</v>
      </c>
      <c r="M56" s="45">
        <f t="shared" si="6"/>
        <v>2091.1999999999998</v>
      </c>
      <c r="N56" s="45">
        <f t="shared" si="6"/>
        <v>0</v>
      </c>
      <c r="O56" s="60">
        <f t="shared" si="6"/>
        <v>2091.1999999999998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2091.1999999999998</v>
      </c>
      <c r="H57" s="79"/>
      <c r="I57" s="45">
        <f>I58</f>
        <v>2091.1999999999998</v>
      </c>
      <c r="J57" s="46">
        <f t="shared" si="6"/>
        <v>0</v>
      </c>
      <c r="K57" s="45"/>
      <c r="L57" s="46">
        <f t="shared" si="6"/>
        <v>0</v>
      </c>
      <c r="M57" s="45">
        <f t="shared" si="6"/>
        <v>2091.1999999999998</v>
      </c>
      <c r="N57" s="45">
        <f t="shared" si="6"/>
        <v>0</v>
      </c>
      <c r="O57" s="60">
        <f t="shared" si="6"/>
        <v>2091.1999999999998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2091.1999999999998</v>
      </c>
      <c r="H58" s="79"/>
      <c r="I58" s="45">
        <f>SUM(G58)+H58</f>
        <v>2091.1999999999998</v>
      </c>
      <c r="J58" s="47">
        <v>0</v>
      </c>
      <c r="K58" s="38"/>
      <c r="L58" s="47">
        <v>0</v>
      </c>
      <c r="M58" s="45">
        <f>SUM(G58)</f>
        <v>2091.1999999999998</v>
      </c>
      <c r="N58" s="45">
        <f>SUM(H58)</f>
        <v>0</v>
      </c>
      <c r="O58" s="60">
        <f>SUM(I58)</f>
        <v>2091.1999999999998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G60+G65+G70+G89+G107</f>
        <v>57563.999999999993</v>
      </c>
      <c r="H59" s="45">
        <f>H60+H108+H89+H81</f>
        <v>3060.5</v>
      </c>
      <c r="I59" s="38">
        <f>I60+I65+I70+I89+I107</f>
        <v>60624.5</v>
      </c>
      <c r="J59" s="39">
        <f>J60+J65+J70+J89+J107</f>
        <v>0</v>
      </c>
      <c r="K59" s="45">
        <f>K60+K70</f>
        <v>100</v>
      </c>
      <c r="L59" s="39">
        <f>L60+L65+L70+L89+L107</f>
        <v>100</v>
      </c>
      <c r="M59" s="38">
        <f>M60+M65+M70+M89+M107</f>
        <v>57563.999999999993</v>
      </c>
      <c r="N59" s="38">
        <f>N60+N65+N70+N89+N107</f>
        <v>3160.5</v>
      </c>
      <c r="O59" s="78">
        <f>O60+O65+O70+O89+O107</f>
        <v>60724.5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 t="shared" ref="G60:O63" si="7">G61</f>
        <v>80</v>
      </c>
      <c r="H60" s="45">
        <f t="shared" si="7"/>
        <v>0</v>
      </c>
      <c r="I60" s="45">
        <f t="shared" si="7"/>
        <v>80</v>
      </c>
      <c r="J60" s="46">
        <f t="shared" si="7"/>
        <v>0</v>
      </c>
      <c r="K60" s="45">
        <f>K61</f>
        <v>0</v>
      </c>
      <c r="L60" s="46">
        <f t="shared" si="7"/>
        <v>0</v>
      </c>
      <c r="M60" s="45">
        <f t="shared" si="7"/>
        <v>80</v>
      </c>
      <c r="N60" s="45">
        <f t="shared" si="7"/>
        <v>0</v>
      </c>
      <c r="O60" s="45">
        <f t="shared" si="7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 t="shared" si="7"/>
        <v>80</v>
      </c>
      <c r="H61" s="45">
        <f t="shared" si="7"/>
        <v>0</v>
      </c>
      <c r="I61" s="45">
        <f t="shared" si="7"/>
        <v>80</v>
      </c>
      <c r="J61" s="46">
        <f t="shared" si="7"/>
        <v>0</v>
      </c>
      <c r="K61" s="45">
        <f>K62</f>
        <v>0</v>
      </c>
      <c r="L61" s="46">
        <f t="shared" si="7"/>
        <v>0</v>
      </c>
      <c r="M61" s="45">
        <f t="shared" si="7"/>
        <v>80</v>
      </c>
      <c r="N61" s="45">
        <f t="shared" si="7"/>
        <v>0</v>
      </c>
      <c r="O61" s="45">
        <f t="shared" si="7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 t="shared" si="7"/>
        <v>80</v>
      </c>
      <c r="H62" s="45">
        <f t="shared" si="7"/>
        <v>0</v>
      </c>
      <c r="I62" s="45">
        <f t="shared" si="7"/>
        <v>80</v>
      </c>
      <c r="J62" s="46">
        <f t="shared" si="7"/>
        <v>0</v>
      </c>
      <c r="K62" s="45">
        <f>K63</f>
        <v>0</v>
      </c>
      <c r="L62" s="46">
        <f t="shared" si="7"/>
        <v>0</v>
      </c>
      <c r="M62" s="45">
        <f t="shared" si="7"/>
        <v>80</v>
      </c>
      <c r="N62" s="45">
        <f t="shared" si="7"/>
        <v>0</v>
      </c>
      <c r="O62" s="45">
        <f t="shared" si="7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7"/>
        <v>0</v>
      </c>
      <c r="K63" s="45"/>
      <c r="L63" s="46">
        <f t="shared" si="7"/>
        <v>0</v>
      </c>
      <c r="M63" s="45">
        <f t="shared" si="7"/>
        <v>80</v>
      </c>
      <c r="N63" s="45">
        <f t="shared" si="7"/>
        <v>0</v>
      </c>
      <c r="O63" s="45">
        <f t="shared" si="7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O68" si="8">G66</f>
        <v>3500</v>
      </c>
      <c r="H65" s="45">
        <f t="shared" si="8"/>
        <v>0</v>
      </c>
      <c r="I65" s="45">
        <f t="shared" si="8"/>
        <v>3500</v>
      </c>
      <c r="J65" s="46">
        <f t="shared" si="8"/>
        <v>0</v>
      </c>
      <c r="K65" s="45">
        <f>K66</f>
        <v>0</v>
      </c>
      <c r="L65" s="46">
        <f t="shared" si="8"/>
        <v>0</v>
      </c>
      <c r="M65" s="45">
        <f t="shared" si="8"/>
        <v>3500</v>
      </c>
      <c r="N65" s="45">
        <f t="shared" si="8"/>
        <v>0</v>
      </c>
      <c r="O65" s="45">
        <f t="shared" si="8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8"/>
        <v>3500</v>
      </c>
      <c r="H66" s="45">
        <f t="shared" si="8"/>
        <v>0</v>
      </c>
      <c r="I66" s="45">
        <f t="shared" si="8"/>
        <v>3500</v>
      </c>
      <c r="J66" s="46">
        <f t="shared" si="8"/>
        <v>0</v>
      </c>
      <c r="K66" s="45">
        <f>K67</f>
        <v>0</v>
      </c>
      <c r="L66" s="46">
        <f t="shared" si="8"/>
        <v>0</v>
      </c>
      <c r="M66" s="45">
        <f t="shared" si="8"/>
        <v>3500</v>
      </c>
      <c r="N66" s="45">
        <f t="shared" si="8"/>
        <v>0</v>
      </c>
      <c r="O66" s="45">
        <f t="shared" si="8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8"/>
        <v>3500</v>
      </c>
      <c r="H67" s="45">
        <f t="shared" si="8"/>
        <v>0</v>
      </c>
      <c r="I67" s="45">
        <f t="shared" si="8"/>
        <v>3500</v>
      </c>
      <c r="J67" s="46">
        <f t="shared" si="8"/>
        <v>0</v>
      </c>
      <c r="K67" s="45">
        <f>K68</f>
        <v>0</v>
      </c>
      <c r="L67" s="46">
        <f t="shared" si="8"/>
        <v>0</v>
      </c>
      <c r="M67" s="45">
        <f t="shared" si="8"/>
        <v>3500</v>
      </c>
      <c r="N67" s="45">
        <f t="shared" si="8"/>
        <v>0</v>
      </c>
      <c r="O67" s="45">
        <f t="shared" si="8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8"/>
        <v>0</v>
      </c>
      <c r="K68" s="45"/>
      <c r="L68" s="46">
        <f t="shared" si="8"/>
        <v>0</v>
      </c>
      <c r="M68" s="45">
        <f t="shared" si="8"/>
        <v>3500</v>
      </c>
      <c r="N68" s="45">
        <f t="shared" si="8"/>
        <v>0</v>
      </c>
      <c r="O68" s="45">
        <f t="shared" si="8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H71+H81</f>
        <v>300</v>
      </c>
      <c r="I70" s="45">
        <f>I71+I77+I81</f>
        <v>5472</v>
      </c>
      <c r="J70" s="46">
        <f>J71+J77+J81</f>
        <v>0</v>
      </c>
      <c r="K70" s="45">
        <f>K71+K81</f>
        <v>100</v>
      </c>
      <c r="L70" s="46">
        <f>L71+L77+L81</f>
        <v>100</v>
      </c>
      <c r="M70" s="45">
        <f>M71+M77+M81</f>
        <v>5172</v>
      </c>
      <c r="N70" s="45">
        <f>N71+N77+N81</f>
        <v>400</v>
      </c>
      <c r="O70" s="45">
        <f>O71+O77+O81</f>
        <v>5572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/>
      <c r="I75" s="45">
        <f>I76</f>
        <v>10</v>
      </c>
      <c r="J75" s="46">
        <f>J76</f>
        <v>0</v>
      </c>
      <c r="K75" s="45"/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O79" si="9">G78</f>
        <v>150</v>
      </c>
      <c r="H77" s="45">
        <f t="shared" si="9"/>
        <v>0</v>
      </c>
      <c r="I77" s="45">
        <f t="shared" si="9"/>
        <v>150</v>
      </c>
      <c r="J77" s="46">
        <f t="shared" si="9"/>
        <v>0</v>
      </c>
      <c r="K77" s="45">
        <f>K78</f>
        <v>0</v>
      </c>
      <c r="L77" s="46">
        <f t="shared" si="9"/>
        <v>0</v>
      </c>
      <c r="M77" s="45">
        <f t="shared" si="9"/>
        <v>150</v>
      </c>
      <c r="N77" s="45">
        <f t="shared" si="9"/>
        <v>0</v>
      </c>
      <c r="O77" s="45">
        <f t="shared" si="9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9"/>
        <v>150</v>
      </c>
      <c r="H78" s="45">
        <f t="shared" si="9"/>
        <v>0</v>
      </c>
      <c r="I78" s="45">
        <f t="shared" si="9"/>
        <v>150</v>
      </c>
      <c r="J78" s="46">
        <f t="shared" si="9"/>
        <v>0</v>
      </c>
      <c r="K78" s="45">
        <f>K79</f>
        <v>0</v>
      </c>
      <c r="L78" s="46">
        <f t="shared" si="9"/>
        <v>0</v>
      </c>
      <c r="M78" s="45">
        <f t="shared" si="9"/>
        <v>150</v>
      </c>
      <c r="N78" s="45">
        <f t="shared" si="9"/>
        <v>0</v>
      </c>
      <c r="O78" s="45">
        <f t="shared" si="9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9"/>
        <v>0</v>
      </c>
      <c r="K79" s="45"/>
      <c r="L79" s="46">
        <f t="shared" si="9"/>
        <v>0</v>
      </c>
      <c r="M79" s="45">
        <f t="shared" si="9"/>
        <v>150</v>
      </c>
      <c r="N79" s="45">
        <f t="shared" si="9"/>
        <v>0</v>
      </c>
      <c r="O79" s="45">
        <f t="shared" si="9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10">G82</f>
        <v>2600</v>
      </c>
      <c r="H81" s="45">
        <f t="shared" si="10"/>
        <v>300</v>
      </c>
      <c r="I81" s="45">
        <f t="shared" si="10"/>
        <v>2900</v>
      </c>
      <c r="J81" s="46">
        <f t="shared" si="10"/>
        <v>0</v>
      </c>
      <c r="K81" s="45">
        <f>K82+K86</f>
        <v>100</v>
      </c>
      <c r="L81" s="45">
        <f>L82+L86</f>
        <v>100</v>
      </c>
      <c r="M81" s="45">
        <f t="shared" si="10"/>
        <v>2600</v>
      </c>
      <c r="N81" s="45">
        <f>N82+N86</f>
        <v>400</v>
      </c>
      <c r="O81" s="45">
        <f>O82+O86</f>
        <v>3000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10"/>
        <v>2600</v>
      </c>
      <c r="H82" s="45">
        <f>H83+H84</f>
        <v>300</v>
      </c>
      <c r="I82" s="45">
        <f t="shared" si="10"/>
        <v>2900</v>
      </c>
      <c r="J82" s="46">
        <f t="shared" si="10"/>
        <v>0</v>
      </c>
      <c r="K82" s="45">
        <f>K83+K84</f>
        <v>0</v>
      </c>
      <c r="L82" s="46">
        <f t="shared" si="10"/>
        <v>0</v>
      </c>
      <c r="M82" s="45">
        <f t="shared" si="10"/>
        <v>2600</v>
      </c>
      <c r="N82" s="45">
        <f t="shared" si="10"/>
        <v>300</v>
      </c>
      <c r="O82" s="45">
        <f t="shared" si="10"/>
        <v>2900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2900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300</v>
      </c>
      <c r="O83" s="45">
        <f>O84+O85</f>
        <v>2900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>
        <f>150+150</f>
        <v>300</v>
      </c>
      <c r="I84" s="45">
        <f>2536.8+H84</f>
        <v>2836.8</v>
      </c>
      <c r="J84" s="47">
        <v>0</v>
      </c>
      <c r="K84" s="45"/>
      <c r="L84" s="47">
        <v>0</v>
      </c>
      <c r="M84" s="45">
        <v>2536.8000000000002</v>
      </c>
      <c r="N84" s="45">
        <f>SUM(H84)</f>
        <v>300</v>
      </c>
      <c r="O84" s="45">
        <f>2536.8+N84</f>
        <v>2836.8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47.25" x14ac:dyDescent="0.2">
      <c r="A86" s="40"/>
      <c r="B86" s="41" t="s">
        <v>564</v>
      </c>
      <c r="C86" s="42">
        <v>992</v>
      </c>
      <c r="D86" s="43" t="s">
        <v>86</v>
      </c>
      <c r="E86" s="43">
        <v>1030200000</v>
      </c>
      <c r="F86" s="44"/>
      <c r="G86" s="45"/>
      <c r="H86" s="45"/>
      <c r="I86" s="45"/>
      <c r="J86" s="47"/>
      <c r="K86" s="45">
        <f>SUM(K87)</f>
        <v>100</v>
      </c>
      <c r="L86" s="45">
        <f>SUM(L87)</f>
        <v>100</v>
      </c>
      <c r="M86" s="45"/>
      <c r="N86" s="45">
        <f t="shared" ref="N86:O88" si="11">SUM(K86)</f>
        <v>100</v>
      </c>
      <c r="O86" s="45">
        <f t="shared" si="11"/>
        <v>100</v>
      </c>
    </row>
    <row r="87" spans="1:16" ht="47.25" x14ac:dyDescent="0.2">
      <c r="A87" s="40"/>
      <c r="B87" s="41" t="s">
        <v>565</v>
      </c>
      <c r="C87" s="42">
        <v>992</v>
      </c>
      <c r="D87" s="43" t="s">
        <v>86</v>
      </c>
      <c r="E87" s="43">
        <v>1030222500</v>
      </c>
      <c r="F87" s="44"/>
      <c r="G87" s="45"/>
      <c r="H87" s="45"/>
      <c r="I87" s="45"/>
      <c r="J87" s="47"/>
      <c r="K87" s="45">
        <f>SUM(K88)</f>
        <v>100</v>
      </c>
      <c r="L87" s="45">
        <f>SUM(L88)</f>
        <v>100</v>
      </c>
      <c r="M87" s="45"/>
      <c r="N87" s="45">
        <f t="shared" si="11"/>
        <v>100</v>
      </c>
      <c r="O87" s="45">
        <f t="shared" si="11"/>
        <v>100</v>
      </c>
    </row>
    <row r="88" spans="1:16" ht="31.5" x14ac:dyDescent="0.2">
      <c r="A88" s="40"/>
      <c r="B88" s="41" t="s">
        <v>40</v>
      </c>
      <c r="C88" s="42">
        <v>992</v>
      </c>
      <c r="D88" s="43" t="s">
        <v>86</v>
      </c>
      <c r="E88" s="43">
        <v>1030222500</v>
      </c>
      <c r="F88" s="44">
        <v>200</v>
      </c>
      <c r="G88" s="45"/>
      <c r="H88" s="45"/>
      <c r="I88" s="45"/>
      <c r="J88" s="47"/>
      <c r="K88" s="45">
        <v>100</v>
      </c>
      <c r="L88" s="47">
        <f>SUM(K88)</f>
        <v>100</v>
      </c>
      <c r="M88" s="45"/>
      <c r="N88" s="45">
        <f t="shared" si="11"/>
        <v>100</v>
      </c>
      <c r="O88" s="45">
        <f t="shared" si="11"/>
        <v>100</v>
      </c>
    </row>
    <row r="89" spans="1:16" ht="31.5" x14ac:dyDescent="0.2">
      <c r="A89" s="40"/>
      <c r="B89" s="41" t="s">
        <v>128</v>
      </c>
      <c r="C89" s="42" t="s">
        <v>51</v>
      </c>
      <c r="D89" s="43" t="s">
        <v>86</v>
      </c>
      <c r="E89" s="43" t="s">
        <v>129</v>
      </c>
      <c r="F89" s="44" t="s">
        <v>11</v>
      </c>
      <c r="G89" s="45">
        <f>G90+G103</f>
        <v>48216.899999999994</v>
      </c>
      <c r="H89" s="45">
        <f>H90+H95+H100</f>
        <v>2582</v>
      </c>
      <c r="I89" s="45">
        <f>I90+I103</f>
        <v>50798.9</v>
      </c>
      <c r="J89" s="46">
        <f>J90+J103</f>
        <v>0</v>
      </c>
      <c r="K89" s="45">
        <f>K90+K95</f>
        <v>0</v>
      </c>
      <c r="L89" s="46">
        <f>L90+L103</f>
        <v>0</v>
      </c>
      <c r="M89" s="45">
        <f>M90+M103</f>
        <v>48216.899999999994</v>
      </c>
      <c r="N89" s="45">
        <f>N90+N103</f>
        <v>2582</v>
      </c>
      <c r="O89" s="45">
        <f>O90+O103</f>
        <v>50798.9</v>
      </c>
      <c r="P89" s="16"/>
    </row>
    <row r="90" spans="1:16" ht="15.75" x14ac:dyDescent="0.2">
      <c r="A90" s="40"/>
      <c r="B90" s="41" t="s">
        <v>130</v>
      </c>
      <c r="C90" s="42" t="s">
        <v>51</v>
      </c>
      <c r="D90" s="43" t="s">
        <v>86</v>
      </c>
      <c r="E90" s="43" t="s">
        <v>131</v>
      </c>
      <c r="F90" s="44" t="s">
        <v>11</v>
      </c>
      <c r="G90" s="45">
        <f>G91+G96</f>
        <v>48016.899999999994</v>
      </c>
      <c r="H90" s="45">
        <f>H91+H96</f>
        <v>2582</v>
      </c>
      <c r="I90" s="45">
        <f>I91+I96</f>
        <v>50598.9</v>
      </c>
      <c r="J90" s="46">
        <f>J91+J96</f>
        <v>0</v>
      </c>
      <c r="K90" s="45">
        <f>K91</f>
        <v>0</v>
      </c>
      <c r="L90" s="46">
        <f>L91+L96</f>
        <v>0</v>
      </c>
      <c r="M90" s="45">
        <f>M91+M96</f>
        <v>48016.899999999994</v>
      </c>
      <c r="N90" s="45">
        <f>N91+N96</f>
        <v>2582</v>
      </c>
      <c r="O90" s="45">
        <f>O91+O96</f>
        <v>50598.9</v>
      </c>
      <c r="P90" s="16"/>
    </row>
    <row r="91" spans="1:16" ht="15.75" x14ac:dyDescent="0.2">
      <c r="A91" s="40"/>
      <c r="B91" s="41" t="s">
        <v>132</v>
      </c>
      <c r="C91" s="42" t="s">
        <v>51</v>
      </c>
      <c r="D91" s="43" t="s">
        <v>86</v>
      </c>
      <c r="E91" s="43" t="s">
        <v>133</v>
      </c>
      <c r="F91" s="44" t="s">
        <v>11</v>
      </c>
      <c r="G91" s="45">
        <f>G92</f>
        <v>36772.1</v>
      </c>
      <c r="H91" s="45">
        <f>1392.1+H94</f>
        <v>1542.8999999999999</v>
      </c>
      <c r="I91" s="45">
        <f>I92</f>
        <v>38315</v>
      </c>
      <c r="J91" s="46">
        <f>J92</f>
        <v>0</v>
      </c>
      <c r="K91" s="45">
        <f>K92+K93+K94</f>
        <v>0</v>
      </c>
      <c r="L91" s="46">
        <f>L92</f>
        <v>0</v>
      </c>
      <c r="M91" s="45">
        <f>M92</f>
        <v>36772.1</v>
      </c>
      <c r="N91" s="45">
        <f>N92</f>
        <v>1542.8999999999999</v>
      </c>
      <c r="O91" s="45">
        <f>O92</f>
        <v>38315</v>
      </c>
    </row>
    <row r="92" spans="1:16" ht="31.5" x14ac:dyDescent="0.2">
      <c r="A92" s="40"/>
      <c r="B92" s="41" t="s">
        <v>134</v>
      </c>
      <c r="C92" s="42" t="s">
        <v>51</v>
      </c>
      <c r="D92" s="43" t="s">
        <v>86</v>
      </c>
      <c r="E92" s="43" t="s">
        <v>135</v>
      </c>
      <c r="F92" s="44" t="s">
        <v>11</v>
      </c>
      <c r="G92" s="45">
        <f>G93+G94+G95</f>
        <v>36772.1</v>
      </c>
      <c r="H92" s="45">
        <f>1392.1+H94</f>
        <v>1542.8999999999999</v>
      </c>
      <c r="I92" s="45">
        <f>I93+I94+I95</f>
        <v>38315</v>
      </c>
      <c r="J92" s="46">
        <f>J93+J94+J95</f>
        <v>0</v>
      </c>
      <c r="K92" s="45"/>
      <c r="L92" s="46">
        <f>L93+L94+L95</f>
        <v>0</v>
      </c>
      <c r="M92" s="45">
        <f>M93+M94+M95</f>
        <v>36772.1</v>
      </c>
      <c r="N92" s="45">
        <f>N93+N94+N95</f>
        <v>1542.8999999999999</v>
      </c>
      <c r="O92" s="45">
        <f>O93+O94+O95</f>
        <v>38315</v>
      </c>
      <c r="P92" s="16"/>
    </row>
    <row r="93" spans="1:16" ht="78.75" x14ac:dyDescent="0.2">
      <c r="A93" s="40"/>
      <c r="B93" s="41" t="s">
        <v>61</v>
      </c>
      <c r="C93" s="42" t="s">
        <v>51</v>
      </c>
      <c r="D93" s="43" t="s">
        <v>86</v>
      </c>
      <c r="E93" s="43" t="s">
        <v>135</v>
      </c>
      <c r="F93" s="44" t="s">
        <v>62</v>
      </c>
      <c r="G93" s="45">
        <v>25843.200000000001</v>
      </c>
      <c r="H93" s="45">
        <v>1392.1</v>
      </c>
      <c r="I93" s="45">
        <f>SUM(G93)+H93</f>
        <v>27235.3</v>
      </c>
      <c r="J93" s="47">
        <v>0</v>
      </c>
      <c r="K93" s="45"/>
      <c r="L93" s="47">
        <v>0</v>
      </c>
      <c r="M93" s="45">
        <f t="shared" ref="M93:O94" si="12">SUM(G93)</f>
        <v>25843.200000000001</v>
      </c>
      <c r="N93" s="45">
        <f t="shared" si="12"/>
        <v>1392.1</v>
      </c>
      <c r="O93" s="45">
        <f t="shared" si="12"/>
        <v>27235.3</v>
      </c>
    </row>
    <row r="94" spans="1:16" ht="31.5" x14ac:dyDescent="0.2">
      <c r="A94" s="40"/>
      <c r="B94" s="41" t="s">
        <v>40</v>
      </c>
      <c r="C94" s="42" t="s">
        <v>51</v>
      </c>
      <c r="D94" s="43" t="s">
        <v>86</v>
      </c>
      <c r="E94" s="43" t="s">
        <v>135</v>
      </c>
      <c r="F94" s="44" t="s">
        <v>41</v>
      </c>
      <c r="G94" s="45">
        <v>10851.5</v>
      </c>
      <c r="H94" s="45">
        <v>150.80000000000001</v>
      </c>
      <c r="I94" s="45">
        <f>SUM(G94)+H94</f>
        <v>11002.3</v>
      </c>
      <c r="J94" s="47">
        <v>0</v>
      </c>
      <c r="K94" s="45"/>
      <c r="L94" s="47">
        <v>0</v>
      </c>
      <c r="M94" s="45">
        <f t="shared" si="12"/>
        <v>10851.5</v>
      </c>
      <c r="N94" s="45">
        <f t="shared" si="12"/>
        <v>150.80000000000001</v>
      </c>
      <c r="O94" s="45">
        <f t="shared" si="12"/>
        <v>11002.3</v>
      </c>
    </row>
    <row r="95" spans="1:16" ht="15.75" x14ac:dyDescent="0.2">
      <c r="A95" s="40"/>
      <c r="B95" s="41" t="s">
        <v>70</v>
      </c>
      <c r="C95" s="42" t="s">
        <v>51</v>
      </c>
      <c r="D95" s="43" t="s">
        <v>86</v>
      </c>
      <c r="E95" s="43" t="s">
        <v>135</v>
      </c>
      <c r="F95" s="44" t="s">
        <v>71</v>
      </c>
      <c r="G95" s="45">
        <v>77.400000000000006</v>
      </c>
      <c r="H95" s="45"/>
      <c r="I95" s="45">
        <v>77.400000000000006</v>
      </c>
      <c r="J95" s="47">
        <v>0</v>
      </c>
      <c r="K95" s="45"/>
      <c r="L95" s="47">
        <v>0</v>
      </c>
      <c r="M95" s="45">
        <v>77.400000000000006</v>
      </c>
      <c r="N95" s="45"/>
      <c r="O95" s="45">
        <v>77.400000000000006</v>
      </c>
    </row>
    <row r="96" spans="1:16" ht="31.5" x14ac:dyDescent="0.2">
      <c r="A96" s="40"/>
      <c r="B96" s="41" t="s">
        <v>136</v>
      </c>
      <c r="C96" s="42" t="s">
        <v>51</v>
      </c>
      <c r="D96" s="43" t="s">
        <v>86</v>
      </c>
      <c r="E96" s="43" t="s">
        <v>137</v>
      </c>
      <c r="F96" s="44" t="s">
        <v>11</v>
      </c>
      <c r="G96" s="45">
        <f>G97+G100</f>
        <v>11244.8</v>
      </c>
      <c r="H96" s="45">
        <f>H97+H100</f>
        <v>1039.0999999999999</v>
      </c>
      <c r="I96" s="45">
        <f>I97+I100</f>
        <v>12283.9</v>
      </c>
      <c r="J96" s="46">
        <f>J97+J100</f>
        <v>0</v>
      </c>
      <c r="K96" s="45">
        <f>K97+K98</f>
        <v>0</v>
      </c>
      <c r="L96" s="46">
        <f>L97+L100</f>
        <v>0</v>
      </c>
      <c r="M96" s="45">
        <f>M97+M100</f>
        <v>11244.8</v>
      </c>
      <c r="N96" s="45">
        <f>N97+N100</f>
        <v>1039.0999999999999</v>
      </c>
      <c r="O96" s="45">
        <f>O97+O100</f>
        <v>12283.9</v>
      </c>
      <c r="P96" s="16"/>
    </row>
    <row r="97" spans="1:16" ht="31.5" x14ac:dyDescent="0.2">
      <c r="A97" s="40"/>
      <c r="B97" s="41" t="s">
        <v>134</v>
      </c>
      <c r="C97" s="42" t="s">
        <v>51</v>
      </c>
      <c r="D97" s="43" t="s">
        <v>86</v>
      </c>
      <c r="E97" s="43" t="s">
        <v>138</v>
      </c>
      <c r="F97" s="44" t="s">
        <v>11</v>
      </c>
      <c r="G97" s="45">
        <f>G98+G99</f>
        <v>9205.9</v>
      </c>
      <c r="H97" s="45">
        <f>SUM(H98)</f>
        <v>1039.0999999999999</v>
      </c>
      <c r="I97" s="45">
        <f>I98+I99</f>
        <v>10245</v>
      </c>
      <c r="J97" s="46">
        <f>J98+J99</f>
        <v>0</v>
      </c>
      <c r="K97" s="45"/>
      <c r="L97" s="46">
        <f>L98+L99</f>
        <v>0</v>
      </c>
      <c r="M97" s="45">
        <f>M98+M99</f>
        <v>9205.9</v>
      </c>
      <c r="N97" s="45">
        <f>N98+N99</f>
        <v>1039.0999999999999</v>
      </c>
      <c r="O97" s="45">
        <f>O98+O99</f>
        <v>10245</v>
      </c>
    </row>
    <row r="98" spans="1:16" ht="78.75" x14ac:dyDescent="0.2">
      <c r="A98" s="40"/>
      <c r="B98" s="41" t="s">
        <v>61</v>
      </c>
      <c r="C98" s="42" t="s">
        <v>51</v>
      </c>
      <c r="D98" s="43" t="s">
        <v>86</v>
      </c>
      <c r="E98" s="43" t="s">
        <v>138</v>
      </c>
      <c r="F98" s="44" t="s">
        <v>62</v>
      </c>
      <c r="G98" s="45">
        <v>8505.9</v>
      </c>
      <c r="H98" s="45">
        <v>1039.0999999999999</v>
      </c>
      <c r="I98" s="45">
        <f>8505.9+H98</f>
        <v>9545</v>
      </c>
      <c r="J98" s="47">
        <v>0</v>
      </c>
      <c r="K98" s="45"/>
      <c r="L98" s="47">
        <v>0</v>
      </c>
      <c r="M98" s="45">
        <v>8505.9</v>
      </c>
      <c r="N98" s="45">
        <f>SUM(H98)</f>
        <v>1039.0999999999999</v>
      </c>
      <c r="O98" s="45">
        <f>8505.9+N98</f>
        <v>9545</v>
      </c>
    </row>
    <row r="99" spans="1:16" ht="31.5" x14ac:dyDescent="0.2">
      <c r="A99" s="40"/>
      <c r="B99" s="41" t="s">
        <v>40</v>
      </c>
      <c r="C99" s="42" t="s">
        <v>51</v>
      </c>
      <c r="D99" s="43" t="s">
        <v>86</v>
      </c>
      <c r="E99" s="43" t="s">
        <v>138</v>
      </c>
      <c r="F99" s="44" t="s">
        <v>41</v>
      </c>
      <c r="G99" s="45">
        <v>700</v>
      </c>
      <c r="H99" s="45"/>
      <c r="I99" s="45">
        <v>700</v>
      </c>
      <c r="J99" s="47">
        <v>0</v>
      </c>
      <c r="K99" s="45"/>
      <c r="L99" s="47">
        <v>0</v>
      </c>
      <c r="M99" s="45">
        <v>700</v>
      </c>
      <c r="N99" s="45"/>
      <c r="O99" s="45">
        <v>700</v>
      </c>
    </row>
    <row r="100" spans="1:16" ht="47.25" x14ac:dyDescent="0.2">
      <c r="A100" s="40"/>
      <c r="B100" s="41" t="s">
        <v>139</v>
      </c>
      <c r="C100" s="42" t="s">
        <v>51</v>
      </c>
      <c r="D100" s="43" t="s">
        <v>86</v>
      </c>
      <c r="E100" s="43" t="s">
        <v>140</v>
      </c>
      <c r="F100" s="44" t="s">
        <v>11</v>
      </c>
      <c r="G100" s="45">
        <f>G101+G102</f>
        <v>2038.9</v>
      </c>
      <c r="H100" s="45">
        <f>SUM(H101)+H102</f>
        <v>0</v>
      </c>
      <c r="I100" s="45">
        <f>I101+I102</f>
        <v>2038.9</v>
      </c>
      <c r="J100" s="46">
        <f>J101+J102</f>
        <v>0</v>
      </c>
      <c r="K100" s="45"/>
      <c r="L100" s="46">
        <f>L101+L102</f>
        <v>0</v>
      </c>
      <c r="M100" s="45">
        <f>M101+M102</f>
        <v>2038.9</v>
      </c>
      <c r="N100" s="45">
        <f>N101+N102</f>
        <v>0</v>
      </c>
      <c r="O100" s="45">
        <f>O101+O102</f>
        <v>2038.9</v>
      </c>
    </row>
    <row r="101" spans="1:16" ht="31.5" x14ac:dyDescent="0.2">
      <c r="A101" s="40"/>
      <c r="B101" s="41" t="s">
        <v>40</v>
      </c>
      <c r="C101" s="42" t="s">
        <v>51</v>
      </c>
      <c r="D101" s="43" t="s">
        <v>86</v>
      </c>
      <c r="E101" s="43" t="s">
        <v>140</v>
      </c>
      <c r="F101" s="44" t="s">
        <v>41</v>
      </c>
      <c r="G101" s="45">
        <v>1203</v>
      </c>
      <c r="H101" s="45"/>
      <c r="I101" s="45">
        <f>SUM(G101)+H101</f>
        <v>1203</v>
      </c>
      <c r="J101" s="47">
        <v>0</v>
      </c>
      <c r="K101" s="45"/>
      <c r="L101" s="47">
        <v>0</v>
      </c>
      <c r="M101" s="45">
        <f t="shared" ref="M101:O102" si="13">SUM(G101)</f>
        <v>1203</v>
      </c>
      <c r="N101" s="45">
        <f t="shared" si="13"/>
        <v>0</v>
      </c>
      <c r="O101" s="45">
        <f t="shared" si="13"/>
        <v>1203</v>
      </c>
    </row>
    <row r="102" spans="1:16" ht="15.75" x14ac:dyDescent="0.2">
      <c r="A102" s="40"/>
      <c r="B102" s="41" t="s">
        <v>70</v>
      </c>
      <c r="C102" s="42" t="s">
        <v>51</v>
      </c>
      <c r="D102" s="43" t="s">
        <v>86</v>
      </c>
      <c r="E102" s="43" t="s">
        <v>140</v>
      </c>
      <c r="F102" s="44" t="s">
        <v>71</v>
      </c>
      <c r="G102" s="45">
        <v>835.9</v>
      </c>
      <c r="H102" s="45"/>
      <c r="I102" s="45">
        <v>835.9</v>
      </c>
      <c r="J102" s="47">
        <v>0</v>
      </c>
      <c r="K102" s="45"/>
      <c r="L102" s="47">
        <v>0</v>
      </c>
      <c r="M102" s="45">
        <f t="shared" si="13"/>
        <v>835.9</v>
      </c>
      <c r="N102" s="45">
        <f t="shared" si="13"/>
        <v>0</v>
      </c>
      <c r="O102" s="45">
        <f t="shared" si="13"/>
        <v>835.9</v>
      </c>
    </row>
    <row r="103" spans="1:16" ht="15.75" x14ac:dyDescent="0.2">
      <c r="A103" s="40"/>
      <c r="B103" s="41" t="s">
        <v>141</v>
      </c>
      <c r="C103" s="42" t="s">
        <v>51</v>
      </c>
      <c r="D103" s="43" t="s">
        <v>86</v>
      </c>
      <c r="E103" s="43" t="s">
        <v>142</v>
      </c>
      <c r="F103" s="44" t="s">
        <v>11</v>
      </c>
      <c r="G103" s="45">
        <f t="shared" ref="G103:O105" si="14">G104</f>
        <v>200</v>
      </c>
      <c r="H103" s="45">
        <f t="shared" si="14"/>
        <v>0</v>
      </c>
      <c r="I103" s="45">
        <f t="shared" si="14"/>
        <v>200</v>
      </c>
      <c r="J103" s="46">
        <f t="shared" si="14"/>
        <v>0</v>
      </c>
      <c r="K103" s="45">
        <f>K104</f>
        <v>0</v>
      </c>
      <c r="L103" s="46">
        <f t="shared" si="14"/>
        <v>0</v>
      </c>
      <c r="M103" s="45">
        <f t="shared" si="14"/>
        <v>200</v>
      </c>
      <c r="N103" s="45">
        <f t="shared" si="14"/>
        <v>0</v>
      </c>
      <c r="O103" s="45">
        <f t="shared" si="14"/>
        <v>200</v>
      </c>
    </row>
    <row r="104" spans="1:16" ht="47.25" x14ac:dyDescent="0.2">
      <c r="A104" s="40"/>
      <c r="B104" s="41" t="s">
        <v>143</v>
      </c>
      <c r="C104" s="42" t="s">
        <v>51</v>
      </c>
      <c r="D104" s="43" t="s">
        <v>86</v>
      </c>
      <c r="E104" s="43" t="s">
        <v>144</v>
      </c>
      <c r="F104" s="44" t="s">
        <v>11</v>
      </c>
      <c r="G104" s="45">
        <f t="shared" si="14"/>
        <v>200</v>
      </c>
      <c r="H104" s="45">
        <f t="shared" si="14"/>
        <v>0</v>
      </c>
      <c r="I104" s="45">
        <f t="shared" si="14"/>
        <v>200</v>
      </c>
      <c r="J104" s="46">
        <f t="shared" si="14"/>
        <v>0</v>
      </c>
      <c r="K104" s="45">
        <f>K105</f>
        <v>0</v>
      </c>
      <c r="L104" s="46">
        <f t="shared" si="14"/>
        <v>0</v>
      </c>
      <c r="M104" s="45">
        <f t="shared" si="14"/>
        <v>200</v>
      </c>
      <c r="N104" s="45">
        <f t="shared" si="14"/>
        <v>0</v>
      </c>
      <c r="O104" s="45">
        <f t="shared" si="14"/>
        <v>200</v>
      </c>
    </row>
    <row r="105" spans="1:16" ht="31.5" x14ac:dyDescent="0.2">
      <c r="A105" s="40"/>
      <c r="B105" s="41" t="s">
        <v>145</v>
      </c>
      <c r="C105" s="42" t="s">
        <v>51</v>
      </c>
      <c r="D105" s="43" t="s">
        <v>86</v>
      </c>
      <c r="E105" s="43" t="s">
        <v>146</v>
      </c>
      <c r="F105" s="44" t="s">
        <v>11</v>
      </c>
      <c r="G105" s="45">
        <f>G106</f>
        <v>200</v>
      </c>
      <c r="H105" s="45"/>
      <c r="I105" s="45">
        <f>I106</f>
        <v>200</v>
      </c>
      <c r="J105" s="46">
        <f t="shared" si="14"/>
        <v>0</v>
      </c>
      <c r="K105" s="45"/>
      <c r="L105" s="46">
        <f t="shared" si="14"/>
        <v>0</v>
      </c>
      <c r="M105" s="45">
        <f t="shared" si="14"/>
        <v>200</v>
      </c>
      <c r="N105" s="45">
        <f t="shared" si="14"/>
        <v>0</v>
      </c>
      <c r="O105" s="45">
        <f t="shared" si="14"/>
        <v>200</v>
      </c>
    </row>
    <row r="106" spans="1:16" ht="31.5" x14ac:dyDescent="0.2">
      <c r="A106" s="40"/>
      <c r="B106" s="41" t="s">
        <v>40</v>
      </c>
      <c r="C106" s="42" t="s">
        <v>51</v>
      </c>
      <c r="D106" s="43" t="s">
        <v>86</v>
      </c>
      <c r="E106" s="43" t="s">
        <v>146</v>
      </c>
      <c r="F106" s="44" t="s">
        <v>41</v>
      </c>
      <c r="G106" s="45">
        <v>200</v>
      </c>
      <c r="H106" s="45"/>
      <c r="I106" s="45">
        <v>200</v>
      </c>
      <c r="J106" s="47">
        <v>0</v>
      </c>
      <c r="K106" s="45">
        <f>K107</f>
        <v>0</v>
      </c>
      <c r="L106" s="47">
        <v>0</v>
      </c>
      <c r="M106" s="45">
        <v>200</v>
      </c>
      <c r="N106" s="45"/>
      <c r="O106" s="45">
        <v>200</v>
      </c>
    </row>
    <row r="107" spans="1:16" ht="1.5" customHeight="1" x14ac:dyDescent="0.2">
      <c r="A107" s="40"/>
      <c r="B107" s="41" t="s">
        <v>147</v>
      </c>
      <c r="C107" s="42" t="s">
        <v>51</v>
      </c>
      <c r="D107" s="43" t="s">
        <v>86</v>
      </c>
      <c r="E107" s="43" t="s">
        <v>148</v>
      </c>
      <c r="F107" s="44" t="s">
        <v>11</v>
      </c>
      <c r="G107" s="45">
        <f t="shared" ref="G107:O109" si="15">G108</f>
        <v>595.1</v>
      </c>
      <c r="H107" s="45">
        <f t="shared" si="15"/>
        <v>178.5</v>
      </c>
      <c r="I107" s="45">
        <f t="shared" si="15"/>
        <v>773.6</v>
      </c>
      <c r="J107" s="46">
        <f t="shared" si="15"/>
        <v>0</v>
      </c>
      <c r="K107" s="45">
        <f>K108</f>
        <v>0</v>
      </c>
      <c r="L107" s="46">
        <f t="shared" si="15"/>
        <v>0</v>
      </c>
      <c r="M107" s="45">
        <f t="shared" si="15"/>
        <v>595.1</v>
      </c>
      <c r="N107" s="45">
        <f t="shared" si="15"/>
        <v>178.5</v>
      </c>
      <c r="O107" s="45">
        <f t="shared" si="15"/>
        <v>773.6</v>
      </c>
    </row>
    <row r="108" spans="1:16" ht="31.5" x14ac:dyDescent="0.2">
      <c r="A108" s="40"/>
      <c r="B108" s="41" t="s">
        <v>149</v>
      </c>
      <c r="C108" s="42" t="s">
        <v>51</v>
      </c>
      <c r="D108" s="43" t="s">
        <v>86</v>
      </c>
      <c r="E108" s="43" t="s">
        <v>150</v>
      </c>
      <c r="F108" s="44" t="s">
        <v>11</v>
      </c>
      <c r="G108" s="45">
        <f t="shared" si="15"/>
        <v>595.1</v>
      </c>
      <c r="H108" s="45">
        <f t="shared" si="15"/>
        <v>178.5</v>
      </c>
      <c r="I108" s="45">
        <f t="shared" si="15"/>
        <v>773.6</v>
      </c>
      <c r="J108" s="46">
        <f t="shared" si="15"/>
        <v>0</v>
      </c>
      <c r="K108" s="45">
        <f>K109</f>
        <v>0</v>
      </c>
      <c r="L108" s="46">
        <f t="shared" si="15"/>
        <v>0</v>
      </c>
      <c r="M108" s="45">
        <f t="shared" si="15"/>
        <v>595.1</v>
      </c>
      <c r="N108" s="45">
        <f t="shared" si="15"/>
        <v>178.5</v>
      </c>
      <c r="O108" s="45">
        <f t="shared" si="15"/>
        <v>773.6</v>
      </c>
    </row>
    <row r="109" spans="1:16" ht="31.5" x14ac:dyDescent="0.2">
      <c r="A109" s="40"/>
      <c r="B109" s="41" t="s">
        <v>151</v>
      </c>
      <c r="C109" s="42" t="s">
        <v>51</v>
      </c>
      <c r="D109" s="43" t="s">
        <v>86</v>
      </c>
      <c r="E109" s="43" t="s">
        <v>152</v>
      </c>
      <c r="F109" s="44" t="s">
        <v>11</v>
      </c>
      <c r="G109" s="45">
        <f>G110</f>
        <v>595.1</v>
      </c>
      <c r="H109" s="45">
        <f>SUM(H110)</f>
        <v>178.5</v>
      </c>
      <c r="I109" s="45">
        <f>I110</f>
        <v>773.6</v>
      </c>
      <c r="J109" s="46">
        <f t="shared" si="15"/>
        <v>0</v>
      </c>
      <c r="K109" s="45"/>
      <c r="L109" s="46">
        <f t="shared" si="15"/>
        <v>0</v>
      </c>
      <c r="M109" s="45">
        <f t="shared" si="15"/>
        <v>595.1</v>
      </c>
      <c r="N109" s="45">
        <f t="shared" si="15"/>
        <v>178.5</v>
      </c>
      <c r="O109" s="45">
        <f t="shared" si="15"/>
        <v>773.6</v>
      </c>
    </row>
    <row r="110" spans="1:16" ht="22.5" customHeight="1" x14ac:dyDescent="0.2">
      <c r="A110" s="40"/>
      <c r="B110" s="41" t="s">
        <v>70</v>
      </c>
      <c r="C110" s="42" t="s">
        <v>51</v>
      </c>
      <c r="D110" s="43" t="s">
        <v>86</v>
      </c>
      <c r="E110" s="43" t="s">
        <v>152</v>
      </c>
      <c r="F110" s="44" t="s">
        <v>71</v>
      </c>
      <c r="G110" s="45">
        <v>595.1</v>
      </c>
      <c r="H110" s="45">
        <f>28.9+29.9+0.1+80+13.6+26</f>
        <v>178.5</v>
      </c>
      <c r="I110" s="45">
        <f>SUM(G110)+H110</f>
        <v>773.6</v>
      </c>
      <c r="J110" s="47">
        <v>0</v>
      </c>
      <c r="K110" s="25">
        <f>K111+K146</f>
        <v>0</v>
      </c>
      <c r="L110" s="47">
        <v>0</v>
      </c>
      <c r="M110" s="45">
        <f>SUM(G110)</f>
        <v>595.1</v>
      </c>
      <c r="N110" s="45">
        <f>SUM(H110)</f>
        <v>178.5</v>
      </c>
      <c r="O110" s="80">
        <f>SUM(I110)</f>
        <v>773.6</v>
      </c>
    </row>
    <row r="111" spans="1:16" ht="31.5" x14ac:dyDescent="0.2">
      <c r="A111" s="20" t="s">
        <v>153</v>
      </c>
      <c r="B111" s="21" t="s">
        <v>154</v>
      </c>
      <c r="C111" s="42" t="s">
        <v>51</v>
      </c>
      <c r="D111" s="43" t="s">
        <v>155</v>
      </c>
      <c r="E111" s="43" t="s">
        <v>11</v>
      </c>
      <c r="F111" s="44" t="s">
        <v>11</v>
      </c>
      <c r="G111" s="25">
        <f>G117+G147+G112</f>
        <v>44021.400000000009</v>
      </c>
      <c r="H111" s="38">
        <f>SUM(H112)+H117+H147</f>
        <v>1417.5</v>
      </c>
      <c r="I111" s="25">
        <f>I117+I147+I112</f>
        <v>45438.900000000009</v>
      </c>
      <c r="J111" s="26">
        <f>J117+J147</f>
        <v>0</v>
      </c>
      <c r="K111" s="38">
        <f>K117</f>
        <v>0</v>
      </c>
      <c r="L111" s="26">
        <f>L117+L147</f>
        <v>0</v>
      </c>
      <c r="M111" s="25">
        <f>M117+M147+M112</f>
        <v>44021.400000000009</v>
      </c>
      <c r="N111" s="25">
        <f t="shared" ref="N111:N117" si="16">SUM(H111)</f>
        <v>1417.5</v>
      </c>
      <c r="O111" s="25">
        <f>O117+O147+O112</f>
        <v>45438.900000000009</v>
      </c>
      <c r="P111" s="17"/>
    </row>
    <row r="112" spans="1:16" ht="15.75" x14ac:dyDescent="0.2">
      <c r="A112" s="20"/>
      <c r="B112" s="84" t="s">
        <v>556</v>
      </c>
      <c r="C112" s="42">
        <v>992</v>
      </c>
      <c r="D112" s="86" t="s">
        <v>555</v>
      </c>
      <c r="E112" s="43"/>
      <c r="F112" s="44"/>
      <c r="G112" s="25">
        <v>1200</v>
      </c>
      <c r="H112" s="38">
        <f>SUM(H115)</f>
        <v>0</v>
      </c>
      <c r="I112" s="38">
        <f>SUM(I115)</f>
        <v>1200</v>
      </c>
      <c r="J112" s="26"/>
      <c r="K112" s="38"/>
      <c r="L112" s="26"/>
      <c r="M112" s="25">
        <f>SUM(G112)</f>
        <v>1200</v>
      </c>
      <c r="N112" s="25">
        <f t="shared" si="16"/>
        <v>0</v>
      </c>
      <c r="O112" s="25">
        <f>SUM(I112)</f>
        <v>1200</v>
      </c>
      <c r="P112" s="17"/>
    </row>
    <row r="113" spans="1:16" ht="31.5" x14ac:dyDescent="0.2">
      <c r="A113" s="20"/>
      <c r="B113" s="85" t="s">
        <v>159</v>
      </c>
      <c r="C113" s="42">
        <v>992</v>
      </c>
      <c r="D113" s="86" t="s">
        <v>555</v>
      </c>
      <c r="E113" s="57" t="s">
        <v>162</v>
      </c>
      <c r="F113" s="44"/>
      <c r="G113" s="25">
        <v>1200</v>
      </c>
      <c r="H113" s="38">
        <f>SUM(H115)</f>
        <v>0</v>
      </c>
      <c r="I113" s="38">
        <f>SUM(I115)</f>
        <v>1200</v>
      </c>
      <c r="J113" s="26"/>
      <c r="K113" s="38"/>
      <c r="L113" s="26"/>
      <c r="M113" s="25">
        <f>SUM(G113)</f>
        <v>1200</v>
      </c>
      <c r="N113" s="25">
        <f t="shared" si="16"/>
        <v>0</v>
      </c>
      <c r="O113" s="25">
        <f>SUM(I113)</f>
        <v>1200</v>
      </c>
      <c r="P113" s="17"/>
    </row>
    <row r="114" spans="1:16" ht="63" x14ac:dyDescent="0.2">
      <c r="A114" s="20"/>
      <c r="B114" s="85" t="s">
        <v>161</v>
      </c>
      <c r="C114" s="42">
        <v>992</v>
      </c>
      <c r="D114" s="86" t="s">
        <v>555</v>
      </c>
      <c r="E114" s="57" t="s">
        <v>558</v>
      </c>
      <c r="F114" s="44"/>
      <c r="G114" s="25">
        <v>1200</v>
      </c>
      <c r="H114" s="38">
        <f>SUM(H116)</f>
        <v>0</v>
      </c>
      <c r="I114" s="38">
        <f>SUM(I116)</f>
        <v>1200</v>
      </c>
      <c r="J114" s="26"/>
      <c r="K114" s="38"/>
      <c r="L114" s="26"/>
      <c r="M114" s="25">
        <f>SUM(G114)</f>
        <v>1200</v>
      </c>
      <c r="N114" s="25">
        <f t="shared" si="16"/>
        <v>0</v>
      </c>
      <c r="O114" s="25">
        <f>SUM(I114)</f>
        <v>1200</v>
      </c>
      <c r="P114" s="17"/>
    </row>
    <row r="115" spans="1:16" ht="31.5" x14ac:dyDescent="0.2">
      <c r="A115" s="20"/>
      <c r="B115" s="85" t="s">
        <v>557</v>
      </c>
      <c r="C115" s="42">
        <v>992</v>
      </c>
      <c r="D115" s="86" t="s">
        <v>555</v>
      </c>
      <c r="E115" s="57" t="s">
        <v>554</v>
      </c>
      <c r="F115" s="44"/>
      <c r="G115" s="25">
        <v>1200</v>
      </c>
      <c r="H115" s="38"/>
      <c r="I115" s="25">
        <f>SUM(G115)</f>
        <v>1200</v>
      </c>
      <c r="J115" s="26"/>
      <c r="K115" s="38"/>
      <c r="L115" s="26"/>
      <c r="M115" s="25">
        <f>SUM(G115)</f>
        <v>1200</v>
      </c>
      <c r="N115" s="25">
        <f t="shared" si="16"/>
        <v>0</v>
      </c>
      <c r="O115" s="25">
        <f>SUM(I115)</f>
        <v>1200</v>
      </c>
      <c r="P115" s="17"/>
    </row>
    <row r="116" spans="1:16" ht="31.5" x14ac:dyDescent="0.2">
      <c r="A116" s="20"/>
      <c r="B116" s="41" t="s">
        <v>40</v>
      </c>
      <c r="C116" s="42">
        <v>992</v>
      </c>
      <c r="D116" s="86" t="s">
        <v>555</v>
      </c>
      <c r="E116" s="57" t="s">
        <v>554</v>
      </c>
      <c r="F116" s="44">
        <v>200</v>
      </c>
      <c r="G116" s="25">
        <v>1200</v>
      </c>
      <c r="H116" s="38"/>
      <c r="I116" s="25">
        <f>SUM(G116)</f>
        <v>1200</v>
      </c>
      <c r="J116" s="26"/>
      <c r="K116" s="38"/>
      <c r="L116" s="26"/>
      <c r="M116" s="25">
        <f>SUM(G116)</f>
        <v>1200</v>
      </c>
      <c r="N116" s="25">
        <f t="shared" si="16"/>
        <v>0</v>
      </c>
      <c r="O116" s="25">
        <f>SUM(I116)</f>
        <v>1200</v>
      </c>
      <c r="P116" s="17"/>
    </row>
    <row r="117" spans="1:16" ht="63" x14ac:dyDescent="0.2">
      <c r="A117" s="33" t="s">
        <v>156</v>
      </c>
      <c r="B117" s="34" t="s">
        <v>157</v>
      </c>
      <c r="C117" s="87" t="s">
        <v>51</v>
      </c>
      <c r="D117" s="88" t="s">
        <v>158</v>
      </c>
      <c r="E117" s="88" t="s">
        <v>11</v>
      </c>
      <c r="F117" s="89" t="s">
        <v>11</v>
      </c>
      <c r="G117" s="38">
        <f>G118+G135</f>
        <v>36778.100000000006</v>
      </c>
      <c r="H117" s="45">
        <f>H118+H134+H135</f>
        <v>1045.5</v>
      </c>
      <c r="I117" s="38">
        <f>I118+I135</f>
        <v>37823.600000000006</v>
      </c>
      <c r="J117" s="39">
        <f>J118</f>
        <v>0</v>
      </c>
      <c r="K117" s="45">
        <f>K118+K134+K142</f>
        <v>0</v>
      </c>
      <c r="L117" s="39">
        <f>L118</f>
        <v>0</v>
      </c>
      <c r="M117" s="38">
        <f>M118+M135</f>
        <v>36778.100000000006</v>
      </c>
      <c r="N117" s="38">
        <f t="shared" si="16"/>
        <v>1045.5</v>
      </c>
      <c r="O117" s="38">
        <f>O118+O135</f>
        <v>37823.600000000006</v>
      </c>
    </row>
    <row r="118" spans="1:16" ht="31.5" x14ac:dyDescent="0.2">
      <c r="A118" s="40"/>
      <c r="B118" s="41" t="s">
        <v>159</v>
      </c>
      <c r="C118" s="42" t="s">
        <v>51</v>
      </c>
      <c r="D118" s="43" t="s">
        <v>158</v>
      </c>
      <c r="E118" s="43" t="s">
        <v>160</v>
      </c>
      <c r="F118" s="44" t="s">
        <v>11</v>
      </c>
      <c r="G118" s="45">
        <f>G119+G139+G143</f>
        <v>36014.800000000003</v>
      </c>
      <c r="H118" s="45">
        <f>H119+H128+H131+H139</f>
        <v>1045.5</v>
      </c>
      <c r="I118" s="45">
        <f>I119+I139+I143</f>
        <v>37060.300000000003</v>
      </c>
      <c r="J118" s="46">
        <f>J119+J139+J143</f>
        <v>0</v>
      </c>
      <c r="K118" s="45">
        <f>K119+K128+K131</f>
        <v>0</v>
      </c>
      <c r="L118" s="46">
        <f>L119+L139+L143</f>
        <v>0</v>
      </c>
      <c r="M118" s="45">
        <f>M119+M139+M143</f>
        <v>36014.800000000003</v>
      </c>
      <c r="N118" s="45">
        <f>N119+N139+N143</f>
        <v>1045.5</v>
      </c>
      <c r="O118" s="45">
        <f>O119+O139+O143</f>
        <v>37060.300000000003</v>
      </c>
      <c r="P118" s="16"/>
    </row>
    <row r="119" spans="1:16" ht="63" x14ac:dyDescent="0.2">
      <c r="A119" s="40"/>
      <c r="B119" s="41" t="s">
        <v>161</v>
      </c>
      <c r="C119" s="42" t="s">
        <v>51</v>
      </c>
      <c r="D119" s="43" t="s">
        <v>158</v>
      </c>
      <c r="E119" s="43" t="s">
        <v>162</v>
      </c>
      <c r="F119" s="44" t="s">
        <v>11</v>
      </c>
      <c r="G119" s="45">
        <f>G120+G129+G132</f>
        <v>32253.9</v>
      </c>
      <c r="H119" s="45">
        <f>H120</f>
        <v>1045.5</v>
      </c>
      <c r="I119" s="45">
        <f>I120+I129+I132</f>
        <v>33299.4</v>
      </c>
      <c r="J119" s="46">
        <f>J120+J129+J132</f>
        <v>0</v>
      </c>
      <c r="K119" s="45">
        <f>K120+K124+K126</f>
        <v>0</v>
      </c>
      <c r="L119" s="46">
        <f>L120+L129+L132</f>
        <v>0</v>
      </c>
      <c r="M119" s="45">
        <f>M120+M129+M132</f>
        <v>32253.9</v>
      </c>
      <c r="N119" s="45">
        <f>N120+N129+N132</f>
        <v>1045.5</v>
      </c>
      <c r="O119" s="45">
        <f>O120+O129+O132</f>
        <v>33299.4</v>
      </c>
      <c r="P119" s="16"/>
    </row>
    <row r="120" spans="1:16" ht="63" x14ac:dyDescent="0.2">
      <c r="A120" s="40"/>
      <c r="B120" s="41" t="s">
        <v>163</v>
      </c>
      <c r="C120" s="42" t="s">
        <v>51</v>
      </c>
      <c r="D120" s="43" t="s">
        <v>158</v>
      </c>
      <c r="E120" s="43" t="s">
        <v>164</v>
      </c>
      <c r="F120" s="44" t="s">
        <v>11</v>
      </c>
      <c r="G120" s="45">
        <f>G121+G125+G127</f>
        <v>17153.2</v>
      </c>
      <c r="H120" s="45">
        <f>SUM(H121+H125)</f>
        <v>1045.5</v>
      </c>
      <c r="I120" s="45">
        <f>I121+I125+I127</f>
        <v>18198.7</v>
      </c>
      <c r="J120" s="46">
        <f>J121+J125+J127</f>
        <v>0</v>
      </c>
      <c r="K120" s="45">
        <f>K121+K122+K123</f>
        <v>0</v>
      </c>
      <c r="L120" s="46">
        <f>L121+L125+L127</f>
        <v>0</v>
      </c>
      <c r="M120" s="45">
        <f>M121+M125+M127</f>
        <v>17153.2</v>
      </c>
      <c r="N120" s="45">
        <f>N121+N125+N127</f>
        <v>1045.5</v>
      </c>
      <c r="O120" s="45">
        <f>O121+O125+O127</f>
        <v>18198.7</v>
      </c>
      <c r="P120" s="16"/>
    </row>
    <row r="121" spans="1:16" ht="31.5" x14ac:dyDescent="0.2">
      <c r="A121" s="40"/>
      <c r="B121" s="41" t="s">
        <v>134</v>
      </c>
      <c r="C121" s="42" t="s">
        <v>51</v>
      </c>
      <c r="D121" s="43" t="s">
        <v>158</v>
      </c>
      <c r="E121" s="43" t="s">
        <v>165</v>
      </c>
      <c r="F121" s="44" t="s">
        <v>11</v>
      </c>
      <c r="G121" s="45">
        <f>G122+G123+G124</f>
        <v>10923</v>
      </c>
      <c r="H121" s="45">
        <f>SUM(H122+H123)</f>
        <v>1045.5</v>
      </c>
      <c r="I121" s="45">
        <f>I122+I123+I124</f>
        <v>11968.5</v>
      </c>
      <c r="J121" s="46">
        <f>J122+J123+J124</f>
        <v>0</v>
      </c>
      <c r="K121" s="45"/>
      <c r="L121" s="46">
        <f>L122+L123+L124</f>
        <v>0</v>
      </c>
      <c r="M121" s="45">
        <f>SUM(G121)</f>
        <v>10923</v>
      </c>
      <c r="N121" s="45">
        <f>N122+N123+N124</f>
        <v>1045.5</v>
      </c>
      <c r="O121" s="45">
        <f>SUM(I121)</f>
        <v>11968.5</v>
      </c>
    </row>
    <row r="122" spans="1:16" ht="78.75" x14ac:dyDescent="0.2">
      <c r="A122" s="40"/>
      <c r="B122" s="41" t="s">
        <v>61</v>
      </c>
      <c r="C122" s="42" t="s">
        <v>51</v>
      </c>
      <c r="D122" s="43" t="s">
        <v>158</v>
      </c>
      <c r="E122" s="43" t="s">
        <v>165</v>
      </c>
      <c r="F122" s="44" t="s">
        <v>62</v>
      </c>
      <c r="G122" s="45">
        <v>9374.7000000000007</v>
      </c>
      <c r="H122" s="45">
        <v>1045.5</v>
      </c>
      <c r="I122" s="45">
        <f>SUM(G122)+H122</f>
        <v>10420.200000000001</v>
      </c>
      <c r="J122" s="47">
        <v>0</v>
      </c>
      <c r="K122" s="45"/>
      <c r="L122" s="47">
        <v>0</v>
      </c>
      <c r="M122" s="45">
        <f>SUM(G122)</f>
        <v>9374.7000000000007</v>
      </c>
      <c r="N122" s="45">
        <f>SUM(H122)</f>
        <v>1045.5</v>
      </c>
      <c r="O122" s="45">
        <f>SUM(I122)</f>
        <v>10420.200000000001</v>
      </c>
    </row>
    <row r="123" spans="1:16" ht="31.5" x14ac:dyDescent="0.2">
      <c r="A123" s="40"/>
      <c r="B123" s="41" t="s">
        <v>40</v>
      </c>
      <c r="C123" s="42" t="s">
        <v>51</v>
      </c>
      <c r="D123" s="43" t="s">
        <v>158</v>
      </c>
      <c r="E123" s="43" t="s">
        <v>165</v>
      </c>
      <c r="F123" s="44" t="s">
        <v>41</v>
      </c>
      <c r="G123" s="45">
        <v>1525.3</v>
      </c>
      <c r="H123" s="45"/>
      <c r="I123" s="45">
        <f>SUM(G123)+H123</f>
        <v>1525.3</v>
      </c>
      <c r="J123" s="47">
        <v>0</v>
      </c>
      <c r="K123" s="45"/>
      <c r="L123" s="47">
        <v>0</v>
      </c>
      <c r="M123" s="45">
        <f>SUM(G123)</f>
        <v>1525.3</v>
      </c>
      <c r="N123" s="45">
        <f>SUM(H123)</f>
        <v>0</v>
      </c>
      <c r="O123" s="45">
        <f>SUM(I123)</f>
        <v>1525.3</v>
      </c>
    </row>
    <row r="124" spans="1:16" ht="15.75" x14ac:dyDescent="0.2">
      <c r="A124" s="40"/>
      <c r="B124" s="41" t="s">
        <v>70</v>
      </c>
      <c r="C124" s="42" t="s">
        <v>51</v>
      </c>
      <c r="D124" s="43" t="s">
        <v>158</v>
      </c>
      <c r="E124" s="43" t="s">
        <v>165</v>
      </c>
      <c r="F124" s="44" t="s">
        <v>71</v>
      </c>
      <c r="G124" s="45">
        <v>23</v>
      </c>
      <c r="H124" s="45"/>
      <c r="I124" s="45">
        <v>23</v>
      </c>
      <c r="J124" s="47">
        <v>0</v>
      </c>
      <c r="K124" s="45"/>
      <c r="L124" s="47">
        <v>0</v>
      </c>
      <c r="M124" s="45">
        <v>23</v>
      </c>
      <c r="N124" s="45"/>
      <c r="O124" s="45">
        <v>23</v>
      </c>
    </row>
    <row r="125" spans="1:16" ht="63" x14ac:dyDescent="0.2">
      <c r="A125" s="40"/>
      <c r="B125" s="41" t="s">
        <v>166</v>
      </c>
      <c r="C125" s="42" t="s">
        <v>51</v>
      </c>
      <c r="D125" s="43" t="s">
        <v>158</v>
      </c>
      <c r="E125" s="43" t="s">
        <v>167</v>
      </c>
      <c r="F125" s="44" t="s">
        <v>11</v>
      </c>
      <c r="G125" s="45">
        <f>G126</f>
        <v>5230.2</v>
      </c>
      <c r="H125" s="48">
        <f>SUM(H126)</f>
        <v>0</v>
      </c>
      <c r="I125" s="45">
        <f>I126</f>
        <v>5230.2</v>
      </c>
      <c r="J125" s="46">
        <f>J126</f>
        <v>0</v>
      </c>
      <c r="K125" s="48"/>
      <c r="L125" s="46">
        <f>L126</f>
        <v>0</v>
      </c>
      <c r="M125" s="45">
        <f>M126</f>
        <v>5230.2</v>
      </c>
      <c r="N125" s="45">
        <f>N126</f>
        <v>0</v>
      </c>
      <c r="O125" s="45">
        <f>O126</f>
        <v>5230.2</v>
      </c>
    </row>
    <row r="126" spans="1:16" ht="31.5" x14ac:dyDescent="0.2">
      <c r="A126" s="40"/>
      <c r="B126" s="41" t="s">
        <v>40</v>
      </c>
      <c r="C126" s="42" t="s">
        <v>51</v>
      </c>
      <c r="D126" s="43" t="s">
        <v>158</v>
      </c>
      <c r="E126" s="43" t="s">
        <v>167</v>
      </c>
      <c r="F126" s="44" t="s">
        <v>41</v>
      </c>
      <c r="G126" s="48">
        <v>5230.2</v>
      </c>
      <c r="H126" s="45"/>
      <c r="I126" s="48">
        <f>SUM(G126)+H126</f>
        <v>5230.2</v>
      </c>
      <c r="J126" s="47"/>
      <c r="K126" s="45"/>
      <c r="L126" s="47"/>
      <c r="M126" s="48">
        <f>SUM(G126)</f>
        <v>5230.2</v>
      </c>
      <c r="N126" s="48">
        <f>SUM(H126)</f>
        <v>0</v>
      </c>
      <c r="O126" s="48">
        <f>SUM(M126)+N126</f>
        <v>5230.2</v>
      </c>
    </row>
    <row r="127" spans="1:16" ht="63" x14ac:dyDescent="0.2">
      <c r="A127" s="40"/>
      <c r="B127" s="41" t="s">
        <v>168</v>
      </c>
      <c r="C127" s="42" t="s">
        <v>51</v>
      </c>
      <c r="D127" s="43" t="s">
        <v>158</v>
      </c>
      <c r="E127" s="43" t="s">
        <v>169</v>
      </c>
      <c r="F127" s="44" t="s">
        <v>11</v>
      </c>
      <c r="G127" s="45">
        <f>G128</f>
        <v>1000</v>
      </c>
      <c r="H127" s="45"/>
      <c r="I127" s="45">
        <f>I128</f>
        <v>1000</v>
      </c>
      <c r="J127" s="46">
        <f>J128</f>
        <v>0</v>
      </c>
      <c r="K127" s="45"/>
      <c r="L127" s="46">
        <f>L128</f>
        <v>0</v>
      </c>
      <c r="M127" s="45">
        <f>M128</f>
        <v>1000</v>
      </c>
      <c r="N127" s="45">
        <f>N128</f>
        <v>0</v>
      </c>
      <c r="O127" s="45">
        <f>O128</f>
        <v>1000</v>
      </c>
    </row>
    <row r="128" spans="1:16" ht="31.5" x14ac:dyDescent="0.2">
      <c r="A128" s="40"/>
      <c r="B128" s="41" t="s">
        <v>40</v>
      </c>
      <c r="C128" s="42" t="s">
        <v>51</v>
      </c>
      <c r="D128" s="43" t="s">
        <v>158</v>
      </c>
      <c r="E128" s="43" t="s">
        <v>169</v>
      </c>
      <c r="F128" s="44" t="s">
        <v>41</v>
      </c>
      <c r="G128" s="45">
        <v>1000</v>
      </c>
      <c r="H128" s="45"/>
      <c r="I128" s="45">
        <v>1000</v>
      </c>
      <c r="J128" s="47"/>
      <c r="K128" s="45"/>
      <c r="L128" s="47"/>
      <c r="M128" s="45">
        <v>1000</v>
      </c>
      <c r="N128" s="45"/>
      <c r="O128" s="45">
        <v>1000</v>
      </c>
    </row>
    <row r="129" spans="1:15" ht="37.9" customHeight="1" x14ac:dyDescent="0.2">
      <c r="A129" s="40"/>
      <c r="B129" s="41" t="s">
        <v>170</v>
      </c>
      <c r="C129" s="42" t="s">
        <v>51</v>
      </c>
      <c r="D129" s="43" t="s">
        <v>158</v>
      </c>
      <c r="E129" s="43" t="s">
        <v>171</v>
      </c>
      <c r="F129" s="44" t="s">
        <v>11</v>
      </c>
      <c r="G129" s="45">
        <f t="shared" ref="G129:O130" si="17">G130</f>
        <v>13584.1</v>
      </c>
      <c r="H129" s="45">
        <f t="shared" si="17"/>
        <v>0</v>
      </c>
      <c r="I129" s="45">
        <f t="shared" si="17"/>
        <v>13584.1</v>
      </c>
      <c r="J129" s="46">
        <f t="shared" si="17"/>
        <v>0</v>
      </c>
      <c r="K129" s="45">
        <f t="shared" si="17"/>
        <v>0</v>
      </c>
      <c r="L129" s="46">
        <f t="shared" si="17"/>
        <v>0</v>
      </c>
      <c r="M129" s="45">
        <f t="shared" si="17"/>
        <v>13584.1</v>
      </c>
      <c r="N129" s="45">
        <f t="shared" si="17"/>
        <v>0</v>
      </c>
      <c r="O129" s="45">
        <f t="shared" si="17"/>
        <v>13584.1</v>
      </c>
    </row>
    <row r="130" spans="1:15" ht="94.5" x14ac:dyDescent="0.2">
      <c r="A130" s="40"/>
      <c r="B130" s="41" t="s">
        <v>172</v>
      </c>
      <c r="C130" s="42" t="s">
        <v>51</v>
      </c>
      <c r="D130" s="43" t="s">
        <v>158</v>
      </c>
      <c r="E130" s="43" t="s">
        <v>173</v>
      </c>
      <c r="F130" s="44" t="s">
        <v>11</v>
      </c>
      <c r="G130" s="45">
        <f t="shared" si="17"/>
        <v>13584.1</v>
      </c>
      <c r="H130" s="45"/>
      <c r="I130" s="45">
        <f t="shared" si="17"/>
        <v>13584.1</v>
      </c>
      <c r="J130" s="46">
        <f t="shared" si="17"/>
        <v>0</v>
      </c>
      <c r="K130" s="45"/>
      <c r="L130" s="46">
        <f t="shared" si="17"/>
        <v>0</v>
      </c>
      <c r="M130" s="45">
        <f t="shared" si="17"/>
        <v>13584.1</v>
      </c>
      <c r="N130" s="45">
        <f t="shared" si="17"/>
        <v>0</v>
      </c>
      <c r="O130" s="45">
        <f t="shared" si="17"/>
        <v>13584.1</v>
      </c>
    </row>
    <row r="131" spans="1:15" ht="15.75" x14ac:dyDescent="0.2">
      <c r="A131" s="40"/>
      <c r="B131" s="41" t="s">
        <v>47</v>
      </c>
      <c r="C131" s="42" t="s">
        <v>51</v>
      </c>
      <c r="D131" s="43" t="s">
        <v>158</v>
      </c>
      <c r="E131" s="43" t="s">
        <v>173</v>
      </c>
      <c r="F131" s="44" t="s">
        <v>48</v>
      </c>
      <c r="G131" s="45">
        <f>13584.2-0.1</f>
        <v>13584.1</v>
      </c>
      <c r="H131" s="45">
        <f t="shared" ref="G131:O133" si="18">H132</f>
        <v>0</v>
      </c>
      <c r="I131" s="45">
        <f>13584.2-0.1</f>
        <v>13584.1</v>
      </c>
      <c r="J131" s="47">
        <v>0</v>
      </c>
      <c r="K131" s="45">
        <f t="shared" si="18"/>
        <v>0</v>
      </c>
      <c r="L131" s="47">
        <v>0</v>
      </c>
      <c r="M131" s="45">
        <f>13584.2-0.1</f>
        <v>13584.1</v>
      </c>
      <c r="N131" s="45"/>
      <c r="O131" s="45">
        <f>13584.2-0.1</f>
        <v>13584.1</v>
      </c>
    </row>
    <row r="132" spans="1:15" ht="63" x14ac:dyDescent="0.2">
      <c r="A132" s="40"/>
      <c r="B132" s="41" t="s">
        <v>174</v>
      </c>
      <c r="C132" s="42" t="s">
        <v>51</v>
      </c>
      <c r="D132" s="43" t="s">
        <v>158</v>
      </c>
      <c r="E132" s="43" t="s">
        <v>175</v>
      </c>
      <c r="F132" s="44" t="s">
        <v>11</v>
      </c>
      <c r="G132" s="45">
        <f t="shared" si="18"/>
        <v>1516.6000000000001</v>
      </c>
      <c r="H132" s="45">
        <f t="shared" si="18"/>
        <v>0</v>
      </c>
      <c r="I132" s="45">
        <f t="shared" si="18"/>
        <v>1516.6000000000001</v>
      </c>
      <c r="J132" s="46">
        <f t="shared" si="18"/>
        <v>0</v>
      </c>
      <c r="K132" s="45">
        <f t="shared" si="18"/>
        <v>0</v>
      </c>
      <c r="L132" s="46">
        <f t="shared" si="18"/>
        <v>0</v>
      </c>
      <c r="M132" s="45">
        <f t="shared" si="18"/>
        <v>1516.6000000000001</v>
      </c>
      <c r="N132" s="45">
        <f t="shared" si="18"/>
        <v>0</v>
      </c>
      <c r="O132" s="45">
        <f t="shared" si="18"/>
        <v>1516.6000000000001</v>
      </c>
    </row>
    <row r="133" spans="1:15" ht="78.75" x14ac:dyDescent="0.2">
      <c r="A133" s="40"/>
      <c r="B133" s="41" t="s">
        <v>176</v>
      </c>
      <c r="C133" s="42" t="s">
        <v>51</v>
      </c>
      <c r="D133" s="43" t="s">
        <v>158</v>
      </c>
      <c r="E133" s="43" t="s">
        <v>177</v>
      </c>
      <c r="F133" s="44" t="s">
        <v>11</v>
      </c>
      <c r="G133" s="45">
        <f t="shared" si="18"/>
        <v>1516.6000000000001</v>
      </c>
      <c r="H133" s="45"/>
      <c r="I133" s="45">
        <f t="shared" si="18"/>
        <v>1516.6000000000001</v>
      </c>
      <c r="J133" s="46">
        <f t="shared" si="18"/>
        <v>0</v>
      </c>
      <c r="K133" s="45"/>
      <c r="L133" s="46">
        <f t="shared" si="18"/>
        <v>0</v>
      </c>
      <c r="M133" s="45">
        <f t="shared" si="18"/>
        <v>1516.6000000000001</v>
      </c>
      <c r="N133" s="45">
        <f t="shared" si="18"/>
        <v>0</v>
      </c>
      <c r="O133" s="45">
        <f t="shared" si="18"/>
        <v>1516.6000000000001</v>
      </c>
    </row>
    <row r="134" spans="1:15" ht="15.75" x14ac:dyDescent="0.2">
      <c r="A134" s="40"/>
      <c r="B134" s="41" t="s">
        <v>178</v>
      </c>
      <c r="C134" s="42" t="s">
        <v>51</v>
      </c>
      <c r="D134" s="43" t="s">
        <v>158</v>
      </c>
      <c r="E134" s="43" t="s">
        <v>177</v>
      </c>
      <c r="F134" s="44" t="s">
        <v>48</v>
      </c>
      <c r="G134" s="45">
        <f>1516.7-0.1</f>
        <v>1516.6000000000001</v>
      </c>
      <c r="H134" s="45"/>
      <c r="I134" s="45">
        <f>1516.7-0.1</f>
        <v>1516.6000000000001</v>
      </c>
      <c r="J134" s="47">
        <v>0</v>
      </c>
      <c r="K134" s="45"/>
      <c r="L134" s="47">
        <v>0</v>
      </c>
      <c r="M134" s="45">
        <f>1516.7-0.1</f>
        <v>1516.6000000000001</v>
      </c>
      <c r="N134" s="45"/>
      <c r="O134" s="45">
        <f>1516.7-0.1</f>
        <v>1516.6000000000001</v>
      </c>
    </row>
    <row r="135" spans="1:15" ht="31.5" x14ac:dyDescent="0.2">
      <c r="A135" s="40"/>
      <c r="B135" s="41" t="s">
        <v>66</v>
      </c>
      <c r="C135" s="42">
        <v>992</v>
      </c>
      <c r="D135" s="43" t="s">
        <v>158</v>
      </c>
      <c r="E135" s="43">
        <v>5200000000</v>
      </c>
      <c r="F135" s="44"/>
      <c r="G135" s="45">
        <v>763.3</v>
      </c>
      <c r="H135" s="45"/>
      <c r="I135" s="45">
        <f>SUM(G135)</f>
        <v>763.3</v>
      </c>
      <c r="J135" s="47"/>
      <c r="K135" s="45"/>
      <c r="L135" s="47"/>
      <c r="M135" s="45">
        <f>SUM(G135)</f>
        <v>763.3</v>
      </c>
      <c r="N135" s="45">
        <f t="shared" ref="N135:O137" si="19">SUM(H135)</f>
        <v>0</v>
      </c>
      <c r="O135" s="45">
        <f t="shared" si="19"/>
        <v>763.3</v>
      </c>
    </row>
    <row r="136" spans="1:15" ht="31.5" x14ac:dyDescent="0.2">
      <c r="A136" s="40"/>
      <c r="B136" s="41" t="s">
        <v>80</v>
      </c>
      <c r="C136" s="42">
        <v>992</v>
      </c>
      <c r="D136" s="43" t="s">
        <v>158</v>
      </c>
      <c r="E136" s="43">
        <v>5230000000</v>
      </c>
      <c r="F136" s="44"/>
      <c r="G136" s="45">
        <v>763.3</v>
      </c>
      <c r="H136" s="45"/>
      <c r="I136" s="45">
        <f>SUM(G136)</f>
        <v>763.3</v>
      </c>
      <c r="J136" s="47"/>
      <c r="K136" s="45"/>
      <c r="L136" s="47"/>
      <c r="M136" s="45">
        <f>SUM(G136)</f>
        <v>763.3</v>
      </c>
      <c r="N136" s="45">
        <f t="shared" si="19"/>
        <v>0</v>
      </c>
      <c r="O136" s="45">
        <f t="shared" si="19"/>
        <v>763.3</v>
      </c>
    </row>
    <row r="137" spans="1:15" ht="31.5" x14ac:dyDescent="0.2">
      <c r="A137" s="40"/>
      <c r="B137" s="41" t="s">
        <v>82</v>
      </c>
      <c r="C137" s="42">
        <v>992</v>
      </c>
      <c r="D137" s="43" t="s">
        <v>158</v>
      </c>
      <c r="E137" s="43">
        <v>5230010490</v>
      </c>
      <c r="F137" s="44"/>
      <c r="G137" s="45">
        <v>763.3</v>
      </c>
      <c r="H137" s="45"/>
      <c r="I137" s="45">
        <f>SUM(G137)</f>
        <v>763.3</v>
      </c>
      <c r="J137" s="47"/>
      <c r="K137" s="45"/>
      <c r="L137" s="47"/>
      <c r="M137" s="45">
        <f>SUM(G137)</f>
        <v>763.3</v>
      </c>
      <c r="N137" s="45">
        <f t="shared" si="19"/>
        <v>0</v>
      </c>
      <c r="O137" s="45">
        <f t="shared" si="19"/>
        <v>763.3</v>
      </c>
    </row>
    <row r="138" spans="1:15" ht="31.5" x14ac:dyDescent="0.2">
      <c r="A138" s="40"/>
      <c r="B138" s="41" t="s">
        <v>40</v>
      </c>
      <c r="C138" s="42">
        <v>992</v>
      </c>
      <c r="D138" s="43" t="s">
        <v>158</v>
      </c>
      <c r="E138" s="43">
        <v>5230010490</v>
      </c>
      <c r="F138" s="44">
        <v>200</v>
      </c>
      <c r="G138" s="45">
        <v>763.3</v>
      </c>
      <c r="H138" s="45"/>
      <c r="I138" s="45">
        <f>SUM(G138)</f>
        <v>763.3</v>
      </c>
      <c r="J138" s="47"/>
      <c r="K138" s="45"/>
      <c r="L138" s="47"/>
      <c r="M138" s="45">
        <f>SUM(G138)</f>
        <v>763.3</v>
      </c>
      <c r="N138" s="45">
        <f>SUM(H138)</f>
        <v>0</v>
      </c>
      <c r="O138" s="80">
        <f>SUM(I138)</f>
        <v>763.3</v>
      </c>
    </row>
    <row r="139" spans="1:15" ht="15.75" x14ac:dyDescent="0.2">
      <c r="A139" s="40"/>
      <c r="B139" s="41" t="s">
        <v>179</v>
      </c>
      <c r="C139" s="42" t="s">
        <v>51</v>
      </c>
      <c r="D139" s="43" t="s">
        <v>158</v>
      </c>
      <c r="E139" s="43" t="s">
        <v>180</v>
      </c>
      <c r="F139" s="44" t="s">
        <v>11</v>
      </c>
      <c r="G139" s="45">
        <f t="shared" ref="G139:O141" si="20">G140</f>
        <v>394.4</v>
      </c>
      <c r="H139" s="45">
        <f t="shared" si="20"/>
        <v>0</v>
      </c>
      <c r="I139" s="45">
        <f t="shared" si="20"/>
        <v>394.4</v>
      </c>
      <c r="J139" s="46">
        <f t="shared" si="20"/>
        <v>0</v>
      </c>
      <c r="K139" s="45">
        <f>K140</f>
        <v>0</v>
      </c>
      <c r="L139" s="46">
        <f t="shared" si="20"/>
        <v>0</v>
      </c>
      <c r="M139" s="45">
        <f t="shared" si="20"/>
        <v>394.4</v>
      </c>
      <c r="N139" s="45">
        <f t="shared" si="20"/>
        <v>0</v>
      </c>
      <c r="O139" s="45">
        <f t="shared" si="20"/>
        <v>394.4</v>
      </c>
    </row>
    <row r="140" spans="1:15" ht="31.5" x14ac:dyDescent="0.2">
      <c r="A140" s="40"/>
      <c r="B140" s="41" t="s">
        <v>181</v>
      </c>
      <c r="C140" s="42" t="s">
        <v>51</v>
      </c>
      <c r="D140" s="43" t="s">
        <v>158</v>
      </c>
      <c r="E140" s="43" t="s">
        <v>182</v>
      </c>
      <c r="F140" s="44" t="s">
        <v>11</v>
      </c>
      <c r="G140" s="45">
        <f t="shared" si="20"/>
        <v>394.4</v>
      </c>
      <c r="H140" s="45">
        <f t="shared" si="20"/>
        <v>0</v>
      </c>
      <c r="I140" s="45">
        <f t="shared" si="20"/>
        <v>394.4</v>
      </c>
      <c r="J140" s="46">
        <f t="shared" si="20"/>
        <v>0</v>
      </c>
      <c r="K140" s="45">
        <f>K141</f>
        <v>0</v>
      </c>
      <c r="L140" s="46">
        <f t="shared" si="20"/>
        <v>0</v>
      </c>
      <c r="M140" s="45">
        <f t="shared" si="20"/>
        <v>394.4</v>
      </c>
      <c r="N140" s="45">
        <f t="shared" si="20"/>
        <v>0</v>
      </c>
      <c r="O140" s="45">
        <f t="shared" si="20"/>
        <v>394.4</v>
      </c>
    </row>
    <row r="141" spans="1:15" ht="15.75" x14ac:dyDescent="0.2">
      <c r="A141" s="40"/>
      <c r="B141" s="41" t="s">
        <v>183</v>
      </c>
      <c r="C141" s="42" t="s">
        <v>51</v>
      </c>
      <c r="D141" s="43" t="s">
        <v>158</v>
      </c>
      <c r="E141" s="43" t="s">
        <v>184</v>
      </c>
      <c r="F141" s="44" t="s">
        <v>11</v>
      </c>
      <c r="G141" s="45">
        <f>G142</f>
        <v>394.4</v>
      </c>
      <c r="H141" s="45">
        <f>H142</f>
        <v>0</v>
      </c>
      <c r="I141" s="45">
        <f>I142</f>
        <v>394.4</v>
      </c>
      <c r="J141" s="46">
        <f t="shared" si="20"/>
        <v>0</v>
      </c>
      <c r="K141" s="45"/>
      <c r="L141" s="46">
        <f t="shared" si="20"/>
        <v>0</v>
      </c>
      <c r="M141" s="45">
        <f t="shared" si="20"/>
        <v>394.4</v>
      </c>
      <c r="N141" s="45">
        <f t="shared" si="20"/>
        <v>0</v>
      </c>
      <c r="O141" s="45">
        <f t="shared" si="20"/>
        <v>394.4</v>
      </c>
    </row>
    <row r="142" spans="1:15" ht="31.5" x14ac:dyDescent="0.2">
      <c r="A142" s="40"/>
      <c r="B142" s="41" t="s">
        <v>40</v>
      </c>
      <c r="C142" s="42" t="s">
        <v>51</v>
      </c>
      <c r="D142" s="43" t="s">
        <v>158</v>
      </c>
      <c r="E142" s="43" t="s">
        <v>184</v>
      </c>
      <c r="F142" s="44" t="s">
        <v>41</v>
      </c>
      <c r="G142" s="45">
        <v>394.4</v>
      </c>
      <c r="H142" s="45"/>
      <c r="I142" s="45">
        <f>SUM(G142)</f>
        <v>394.4</v>
      </c>
      <c r="J142" s="47">
        <v>0</v>
      </c>
      <c r="K142" s="45"/>
      <c r="L142" s="47">
        <v>0</v>
      </c>
      <c r="M142" s="45">
        <f>SUM(G142)</f>
        <v>394.4</v>
      </c>
      <c r="N142" s="45">
        <f>SUM(H142)</f>
        <v>0</v>
      </c>
      <c r="O142" s="45">
        <f>SUM(M142)</f>
        <v>394.4</v>
      </c>
    </row>
    <row r="143" spans="1:15" ht="31.5" x14ac:dyDescent="0.2">
      <c r="A143" s="40"/>
      <c r="B143" s="41" t="s">
        <v>185</v>
      </c>
      <c r="C143" s="42" t="s">
        <v>51</v>
      </c>
      <c r="D143" s="43" t="s">
        <v>158</v>
      </c>
      <c r="E143" s="43" t="s">
        <v>186</v>
      </c>
      <c r="F143" s="44" t="s">
        <v>11</v>
      </c>
      <c r="G143" s="45">
        <f t="shared" ref="G143:O145" si="21">G144</f>
        <v>3366.5</v>
      </c>
      <c r="H143" s="45">
        <f t="shared" si="21"/>
        <v>0</v>
      </c>
      <c r="I143" s="45">
        <f t="shared" si="21"/>
        <v>3366.5</v>
      </c>
      <c r="J143" s="46">
        <f t="shared" si="21"/>
        <v>0</v>
      </c>
      <c r="K143" s="45">
        <f>K144</f>
        <v>0</v>
      </c>
      <c r="L143" s="46">
        <f t="shared" si="21"/>
        <v>0</v>
      </c>
      <c r="M143" s="45">
        <f t="shared" si="21"/>
        <v>3366.5</v>
      </c>
      <c r="N143" s="45">
        <f t="shared" si="21"/>
        <v>0</v>
      </c>
      <c r="O143" s="45">
        <f t="shared" si="21"/>
        <v>3366.5</v>
      </c>
    </row>
    <row r="144" spans="1:15" ht="47.25" x14ac:dyDescent="0.2">
      <c r="A144" s="40"/>
      <c r="B144" s="41" t="s">
        <v>187</v>
      </c>
      <c r="C144" s="42" t="s">
        <v>51</v>
      </c>
      <c r="D144" s="43" t="s">
        <v>158</v>
      </c>
      <c r="E144" s="43" t="s">
        <v>188</v>
      </c>
      <c r="F144" s="44" t="s">
        <v>11</v>
      </c>
      <c r="G144" s="45">
        <f t="shared" si="21"/>
        <v>3366.5</v>
      </c>
      <c r="H144" s="45">
        <f t="shared" si="21"/>
        <v>0</v>
      </c>
      <c r="I144" s="45">
        <f t="shared" si="21"/>
        <v>3366.5</v>
      </c>
      <c r="J144" s="46">
        <f t="shared" si="21"/>
        <v>0</v>
      </c>
      <c r="K144" s="45">
        <f>K145</f>
        <v>0</v>
      </c>
      <c r="L144" s="46">
        <f t="shared" si="21"/>
        <v>0</v>
      </c>
      <c r="M144" s="45">
        <f t="shared" si="21"/>
        <v>3366.5</v>
      </c>
      <c r="N144" s="45">
        <f t="shared" si="21"/>
        <v>0</v>
      </c>
      <c r="O144" s="45">
        <f t="shared" si="21"/>
        <v>3366.5</v>
      </c>
    </row>
    <row r="145" spans="1:16" ht="78.75" x14ac:dyDescent="0.2">
      <c r="A145" s="40"/>
      <c r="B145" s="41" t="s">
        <v>189</v>
      </c>
      <c r="C145" s="42" t="s">
        <v>51</v>
      </c>
      <c r="D145" s="43" t="s">
        <v>158</v>
      </c>
      <c r="E145" s="43" t="s">
        <v>190</v>
      </c>
      <c r="F145" s="44" t="s">
        <v>11</v>
      </c>
      <c r="G145" s="45">
        <f>G146</f>
        <v>3366.5</v>
      </c>
      <c r="H145" s="45"/>
      <c r="I145" s="45">
        <f>I146</f>
        <v>3366.5</v>
      </c>
      <c r="J145" s="46">
        <f t="shared" si="21"/>
        <v>0</v>
      </c>
      <c r="K145" s="45"/>
      <c r="L145" s="46">
        <f t="shared" si="21"/>
        <v>0</v>
      </c>
      <c r="M145" s="45">
        <f t="shared" si="21"/>
        <v>3366.5</v>
      </c>
      <c r="N145" s="45">
        <f t="shared" si="21"/>
        <v>0</v>
      </c>
      <c r="O145" s="45">
        <f t="shared" si="21"/>
        <v>3366.5</v>
      </c>
    </row>
    <row r="146" spans="1:16" ht="15.75" x14ac:dyDescent="0.2">
      <c r="A146" s="40"/>
      <c r="B146" s="41" t="s">
        <v>47</v>
      </c>
      <c r="C146" s="42" t="s">
        <v>51</v>
      </c>
      <c r="D146" s="43" t="s">
        <v>158</v>
      </c>
      <c r="E146" s="43" t="s">
        <v>190</v>
      </c>
      <c r="F146" s="44" t="s">
        <v>48</v>
      </c>
      <c r="G146" s="45">
        <v>3366.5</v>
      </c>
      <c r="H146" s="38"/>
      <c r="I146" s="45">
        <v>3366.5</v>
      </c>
      <c r="J146" s="47">
        <v>0</v>
      </c>
      <c r="K146" s="38"/>
      <c r="L146" s="47">
        <v>0</v>
      </c>
      <c r="M146" s="45">
        <v>3366.5</v>
      </c>
      <c r="N146" s="45"/>
      <c r="O146" s="45">
        <v>3366.5</v>
      </c>
    </row>
    <row r="147" spans="1:16" ht="36.6" customHeight="1" x14ac:dyDescent="0.2">
      <c r="A147" s="33" t="s">
        <v>191</v>
      </c>
      <c r="B147" s="34" t="s">
        <v>192</v>
      </c>
      <c r="C147" s="35" t="s">
        <v>51</v>
      </c>
      <c r="D147" s="36" t="s">
        <v>193</v>
      </c>
      <c r="E147" s="36" t="s">
        <v>11</v>
      </c>
      <c r="F147" s="37" t="s">
        <v>11</v>
      </c>
      <c r="G147" s="38">
        <f>G148</f>
        <v>6043.3</v>
      </c>
      <c r="H147" s="45">
        <f>H148+H154+H158</f>
        <v>372</v>
      </c>
      <c r="I147" s="38">
        <f>I148</f>
        <v>6415.3</v>
      </c>
      <c r="J147" s="39">
        <f>J148</f>
        <v>0</v>
      </c>
      <c r="K147" s="45">
        <f>K148+K154+K158</f>
        <v>0</v>
      </c>
      <c r="L147" s="39">
        <f>L148</f>
        <v>0</v>
      </c>
      <c r="M147" s="38">
        <f>M148</f>
        <v>6043.3</v>
      </c>
      <c r="N147" s="38">
        <f>N148</f>
        <v>372</v>
      </c>
      <c r="O147" s="38">
        <f>O148</f>
        <v>6415.3</v>
      </c>
    </row>
    <row r="148" spans="1:16" ht="31.5" x14ac:dyDescent="0.2">
      <c r="A148" s="40"/>
      <c r="B148" s="41" t="s">
        <v>159</v>
      </c>
      <c r="C148" s="42" t="s">
        <v>51</v>
      </c>
      <c r="D148" s="43" t="s">
        <v>193</v>
      </c>
      <c r="E148" s="43" t="s">
        <v>160</v>
      </c>
      <c r="F148" s="44" t="s">
        <v>11</v>
      </c>
      <c r="G148" s="45">
        <f>G149+G155+G159</f>
        <v>6043.3</v>
      </c>
      <c r="H148" s="45">
        <f>H149</f>
        <v>372</v>
      </c>
      <c r="I148" s="45">
        <f>I149+I155+I159</f>
        <v>6415.3</v>
      </c>
      <c r="J148" s="46">
        <f>J149+J155+J159</f>
        <v>0</v>
      </c>
      <c r="K148" s="45">
        <f>K149</f>
        <v>0</v>
      </c>
      <c r="L148" s="46">
        <f>L149+L155+L159</f>
        <v>0</v>
      </c>
      <c r="M148" s="45">
        <f>M149+M155+M159</f>
        <v>6043.3</v>
      </c>
      <c r="N148" s="45">
        <f>N149+N155+N159</f>
        <v>372</v>
      </c>
      <c r="O148" s="45">
        <f>O149+O155+O159</f>
        <v>6415.3</v>
      </c>
    </row>
    <row r="149" spans="1:16" ht="31.5" x14ac:dyDescent="0.2">
      <c r="A149" s="40"/>
      <c r="B149" s="41" t="s">
        <v>194</v>
      </c>
      <c r="C149" s="42" t="s">
        <v>51</v>
      </c>
      <c r="D149" s="43" t="s">
        <v>193</v>
      </c>
      <c r="E149" s="43" t="s">
        <v>195</v>
      </c>
      <c r="F149" s="44" t="s">
        <v>11</v>
      </c>
      <c r="G149" s="45">
        <f>G150</f>
        <v>5928.3</v>
      </c>
      <c r="H149" s="45">
        <f>H150</f>
        <v>372</v>
      </c>
      <c r="I149" s="45">
        <f>I150</f>
        <v>6300.3</v>
      </c>
      <c r="J149" s="46">
        <f>J150</f>
        <v>0</v>
      </c>
      <c r="K149" s="45">
        <f>K150+K152</f>
        <v>0</v>
      </c>
      <c r="L149" s="46">
        <f>L150</f>
        <v>0</v>
      </c>
      <c r="M149" s="45">
        <f>M150</f>
        <v>5928.3</v>
      </c>
      <c r="N149" s="45">
        <f>N150</f>
        <v>372</v>
      </c>
      <c r="O149" s="45">
        <f>O150</f>
        <v>6300.3</v>
      </c>
    </row>
    <row r="150" spans="1:16" ht="47.25" x14ac:dyDescent="0.2">
      <c r="A150" s="40"/>
      <c r="B150" s="41" t="s">
        <v>196</v>
      </c>
      <c r="C150" s="42" t="s">
        <v>51</v>
      </c>
      <c r="D150" s="43" t="s">
        <v>193</v>
      </c>
      <c r="E150" s="43" t="s">
        <v>197</v>
      </c>
      <c r="F150" s="44" t="s">
        <v>11</v>
      </c>
      <c r="G150" s="45">
        <f>G151+G153</f>
        <v>5928.3</v>
      </c>
      <c r="H150" s="45">
        <f>H151</f>
        <v>372</v>
      </c>
      <c r="I150" s="45">
        <f>I151+I153</f>
        <v>6300.3</v>
      </c>
      <c r="J150" s="46">
        <f>J151+J153</f>
        <v>0</v>
      </c>
      <c r="K150" s="45">
        <f>K151</f>
        <v>0</v>
      </c>
      <c r="L150" s="46">
        <f>L151+L153</f>
        <v>0</v>
      </c>
      <c r="M150" s="45">
        <f>M151+M153</f>
        <v>5928.3</v>
      </c>
      <c r="N150" s="45">
        <f>N151+N153</f>
        <v>372</v>
      </c>
      <c r="O150" s="45">
        <f>O151+O153</f>
        <v>6300.3</v>
      </c>
      <c r="P150" s="16"/>
    </row>
    <row r="151" spans="1:16" ht="31.5" x14ac:dyDescent="0.2">
      <c r="A151" s="40"/>
      <c r="B151" s="41" t="s">
        <v>198</v>
      </c>
      <c r="C151" s="42" t="s">
        <v>51</v>
      </c>
      <c r="D151" s="43" t="s">
        <v>193</v>
      </c>
      <c r="E151" s="43" t="s">
        <v>199</v>
      </c>
      <c r="F151" s="44" t="s">
        <v>11</v>
      </c>
      <c r="G151" s="45">
        <f>G152</f>
        <v>1063.5</v>
      </c>
      <c r="H151" s="48">
        <f>SUM(H152)</f>
        <v>372</v>
      </c>
      <c r="I151" s="45">
        <f>I152</f>
        <v>1435.5</v>
      </c>
      <c r="J151" s="46">
        <f>J152</f>
        <v>0</v>
      </c>
      <c r="K151" s="48"/>
      <c r="L151" s="46">
        <f>L152</f>
        <v>0</v>
      </c>
      <c r="M151" s="45">
        <f>M152</f>
        <v>1063.5</v>
      </c>
      <c r="N151" s="45">
        <f>N152</f>
        <v>372</v>
      </c>
      <c r="O151" s="45">
        <f>O152</f>
        <v>1435.5</v>
      </c>
    </row>
    <row r="152" spans="1:16" ht="31.5" x14ac:dyDescent="0.2">
      <c r="A152" s="40"/>
      <c r="B152" s="41" t="s">
        <v>40</v>
      </c>
      <c r="C152" s="42" t="s">
        <v>51</v>
      </c>
      <c r="D152" s="43" t="s">
        <v>193</v>
      </c>
      <c r="E152" s="43" t="s">
        <v>199</v>
      </c>
      <c r="F152" s="44" t="s">
        <v>41</v>
      </c>
      <c r="G152" s="48">
        <v>1063.5</v>
      </c>
      <c r="H152" s="45">
        <v>372</v>
      </c>
      <c r="I152" s="48">
        <f>SUM(G152)+H152</f>
        <v>1435.5</v>
      </c>
      <c r="J152" s="47">
        <v>0</v>
      </c>
      <c r="K152" s="45"/>
      <c r="L152" s="47">
        <v>0</v>
      </c>
      <c r="M152" s="48">
        <f>SUM(G152)</f>
        <v>1063.5</v>
      </c>
      <c r="N152" s="48">
        <f>SUM(H152)</f>
        <v>372</v>
      </c>
      <c r="O152" s="48">
        <f>SUM(I152)</f>
        <v>1435.5</v>
      </c>
    </row>
    <row r="153" spans="1:16" ht="63" x14ac:dyDescent="0.2">
      <c r="A153" s="40"/>
      <c r="B153" s="41" t="s">
        <v>200</v>
      </c>
      <c r="C153" s="42" t="s">
        <v>51</v>
      </c>
      <c r="D153" s="43" t="s">
        <v>193</v>
      </c>
      <c r="E153" s="43" t="s">
        <v>201</v>
      </c>
      <c r="F153" s="44" t="s">
        <v>11</v>
      </c>
      <c r="G153" s="45">
        <f>G154</f>
        <v>4864.8</v>
      </c>
      <c r="H153" s="45"/>
      <c r="I153" s="45">
        <f>I154</f>
        <v>4864.8</v>
      </c>
      <c r="J153" s="46">
        <f>J154</f>
        <v>0</v>
      </c>
      <c r="K153" s="45"/>
      <c r="L153" s="46">
        <f>L154</f>
        <v>0</v>
      </c>
      <c r="M153" s="45">
        <f>M154</f>
        <v>4864.8</v>
      </c>
      <c r="N153" s="45">
        <f>N154</f>
        <v>0</v>
      </c>
      <c r="O153" s="45">
        <f>O154</f>
        <v>4864.8</v>
      </c>
    </row>
    <row r="154" spans="1:16" ht="15.75" x14ac:dyDescent="0.2">
      <c r="A154" s="40"/>
      <c r="B154" s="41" t="s">
        <v>47</v>
      </c>
      <c r="C154" s="42" t="s">
        <v>51</v>
      </c>
      <c r="D154" s="43" t="s">
        <v>193</v>
      </c>
      <c r="E154" s="43" t="s">
        <v>201</v>
      </c>
      <c r="F154" s="44" t="s">
        <v>48</v>
      </c>
      <c r="G154" s="45">
        <v>4864.8</v>
      </c>
      <c r="H154" s="45"/>
      <c r="I154" s="45">
        <v>4864.8</v>
      </c>
      <c r="J154" s="47">
        <v>0</v>
      </c>
      <c r="K154" s="45"/>
      <c r="L154" s="47">
        <v>0</v>
      </c>
      <c r="M154" s="45">
        <v>4864.8</v>
      </c>
      <c r="N154" s="45"/>
      <c r="O154" s="45">
        <v>4864.8</v>
      </c>
    </row>
    <row r="155" spans="1:16" ht="15.75" x14ac:dyDescent="0.2">
      <c r="A155" s="40"/>
      <c r="B155" s="41" t="s">
        <v>202</v>
      </c>
      <c r="C155" s="42" t="s">
        <v>51</v>
      </c>
      <c r="D155" s="43" t="s">
        <v>193</v>
      </c>
      <c r="E155" s="43" t="s">
        <v>203</v>
      </c>
      <c r="F155" s="44" t="s">
        <v>11</v>
      </c>
      <c r="G155" s="45">
        <f t="shared" ref="G155:O157" si="22">G156</f>
        <v>20</v>
      </c>
      <c r="H155" s="45">
        <f t="shared" si="22"/>
        <v>0</v>
      </c>
      <c r="I155" s="45">
        <f t="shared" si="22"/>
        <v>20</v>
      </c>
      <c r="J155" s="46">
        <f t="shared" si="22"/>
        <v>0</v>
      </c>
      <c r="K155" s="45">
        <f>K156</f>
        <v>0</v>
      </c>
      <c r="L155" s="46">
        <f t="shared" si="22"/>
        <v>0</v>
      </c>
      <c r="M155" s="45">
        <f t="shared" si="22"/>
        <v>20</v>
      </c>
      <c r="N155" s="45">
        <f t="shared" si="22"/>
        <v>0</v>
      </c>
      <c r="O155" s="45">
        <f t="shared" si="22"/>
        <v>20</v>
      </c>
    </row>
    <row r="156" spans="1:16" ht="34.9" customHeight="1" x14ac:dyDescent="0.2">
      <c r="A156" s="40"/>
      <c r="B156" s="41" t="s">
        <v>204</v>
      </c>
      <c r="C156" s="42" t="s">
        <v>51</v>
      </c>
      <c r="D156" s="43" t="s">
        <v>193</v>
      </c>
      <c r="E156" s="43" t="s">
        <v>205</v>
      </c>
      <c r="F156" s="44" t="s">
        <v>11</v>
      </c>
      <c r="G156" s="45">
        <f t="shared" si="22"/>
        <v>20</v>
      </c>
      <c r="H156" s="45">
        <f t="shared" si="22"/>
        <v>0</v>
      </c>
      <c r="I156" s="45">
        <f t="shared" si="22"/>
        <v>20</v>
      </c>
      <c r="J156" s="46">
        <f t="shared" si="22"/>
        <v>0</v>
      </c>
      <c r="K156" s="45">
        <f>K157</f>
        <v>0</v>
      </c>
      <c r="L156" s="46">
        <f t="shared" si="22"/>
        <v>0</v>
      </c>
      <c r="M156" s="45">
        <f t="shared" si="22"/>
        <v>20</v>
      </c>
      <c r="N156" s="45">
        <f t="shared" si="22"/>
        <v>0</v>
      </c>
      <c r="O156" s="45">
        <f t="shared" si="22"/>
        <v>20</v>
      </c>
    </row>
    <row r="157" spans="1:16" ht="15.75" x14ac:dyDescent="0.2">
      <c r="A157" s="40"/>
      <c r="B157" s="41" t="s">
        <v>206</v>
      </c>
      <c r="C157" s="42" t="s">
        <v>51</v>
      </c>
      <c r="D157" s="43" t="s">
        <v>193</v>
      </c>
      <c r="E157" s="43" t="s">
        <v>207</v>
      </c>
      <c r="F157" s="44" t="s">
        <v>11</v>
      </c>
      <c r="G157" s="45">
        <f>G158</f>
        <v>20</v>
      </c>
      <c r="H157" s="45"/>
      <c r="I157" s="45">
        <f>I158</f>
        <v>20</v>
      </c>
      <c r="J157" s="46">
        <f t="shared" si="22"/>
        <v>0</v>
      </c>
      <c r="K157" s="45"/>
      <c r="L157" s="46">
        <f t="shared" si="22"/>
        <v>0</v>
      </c>
      <c r="M157" s="45">
        <f t="shared" si="22"/>
        <v>20</v>
      </c>
      <c r="N157" s="45">
        <f t="shared" si="22"/>
        <v>0</v>
      </c>
      <c r="O157" s="45">
        <f t="shared" si="22"/>
        <v>20</v>
      </c>
    </row>
    <row r="158" spans="1:16" ht="31.5" x14ac:dyDescent="0.2">
      <c r="A158" s="40"/>
      <c r="B158" s="41" t="s">
        <v>40</v>
      </c>
      <c r="C158" s="42" t="s">
        <v>51</v>
      </c>
      <c r="D158" s="43" t="s">
        <v>193</v>
      </c>
      <c r="E158" s="43" t="s">
        <v>207</v>
      </c>
      <c r="F158" s="44" t="s">
        <v>41</v>
      </c>
      <c r="G158" s="45">
        <v>20</v>
      </c>
      <c r="H158" s="45"/>
      <c r="I158" s="45">
        <v>20</v>
      </c>
      <c r="J158" s="47">
        <v>0</v>
      </c>
      <c r="K158" s="45"/>
      <c r="L158" s="47">
        <v>0</v>
      </c>
      <c r="M158" s="45">
        <v>20</v>
      </c>
      <c r="N158" s="45"/>
      <c r="O158" s="45">
        <v>20</v>
      </c>
    </row>
    <row r="159" spans="1:16" ht="31.5" x14ac:dyDescent="0.2">
      <c r="A159" s="40"/>
      <c r="B159" s="41" t="s">
        <v>185</v>
      </c>
      <c r="C159" s="42" t="s">
        <v>51</v>
      </c>
      <c r="D159" s="43" t="s">
        <v>193</v>
      </c>
      <c r="E159" s="43" t="s">
        <v>186</v>
      </c>
      <c r="F159" s="44" t="s">
        <v>11</v>
      </c>
      <c r="G159" s="45">
        <f t="shared" ref="G159:O161" si="23">G160</f>
        <v>95</v>
      </c>
      <c r="H159" s="45">
        <f t="shared" si="23"/>
        <v>0</v>
      </c>
      <c r="I159" s="45">
        <f t="shared" si="23"/>
        <v>95</v>
      </c>
      <c r="J159" s="46">
        <f t="shared" si="23"/>
        <v>0</v>
      </c>
      <c r="K159" s="45">
        <f>K160</f>
        <v>0</v>
      </c>
      <c r="L159" s="46">
        <f t="shared" si="23"/>
        <v>0</v>
      </c>
      <c r="M159" s="45">
        <f t="shared" si="23"/>
        <v>95</v>
      </c>
      <c r="N159" s="45">
        <f t="shared" si="23"/>
        <v>0</v>
      </c>
      <c r="O159" s="45">
        <f t="shared" si="23"/>
        <v>95</v>
      </c>
    </row>
    <row r="160" spans="1:16" ht="52.15" customHeight="1" x14ac:dyDescent="0.2">
      <c r="A160" s="40"/>
      <c r="B160" s="41" t="s">
        <v>208</v>
      </c>
      <c r="C160" s="42" t="s">
        <v>51</v>
      </c>
      <c r="D160" s="43" t="s">
        <v>193</v>
      </c>
      <c r="E160" s="43" t="s">
        <v>209</v>
      </c>
      <c r="F160" s="44" t="s">
        <v>11</v>
      </c>
      <c r="G160" s="45">
        <f t="shared" si="23"/>
        <v>95</v>
      </c>
      <c r="H160" s="45">
        <f t="shared" si="23"/>
        <v>0</v>
      </c>
      <c r="I160" s="45">
        <f t="shared" si="23"/>
        <v>95</v>
      </c>
      <c r="J160" s="46">
        <f t="shared" si="23"/>
        <v>0</v>
      </c>
      <c r="K160" s="45">
        <f>K161</f>
        <v>0</v>
      </c>
      <c r="L160" s="46">
        <f t="shared" si="23"/>
        <v>0</v>
      </c>
      <c r="M160" s="45">
        <f t="shared" si="23"/>
        <v>95</v>
      </c>
      <c r="N160" s="45">
        <f t="shared" si="23"/>
        <v>0</v>
      </c>
      <c r="O160" s="45">
        <f t="shared" si="23"/>
        <v>95</v>
      </c>
    </row>
    <row r="161" spans="1:16" ht="20.45" customHeight="1" x14ac:dyDescent="0.2">
      <c r="A161" s="40"/>
      <c r="B161" s="41" t="s">
        <v>210</v>
      </c>
      <c r="C161" s="42" t="s">
        <v>51</v>
      </c>
      <c r="D161" s="43" t="s">
        <v>193</v>
      </c>
      <c r="E161" s="43" t="s">
        <v>211</v>
      </c>
      <c r="F161" s="44" t="s">
        <v>11</v>
      </c>
      <c r="G161" s="45">
        <f>G162</f>
        <v>95</v>
      </c>
      <c r="H161" s="45"/>
      <c r="I161" s="45">
        <f>I162</f>
        <v>95</v>
      </c>
      <c r="J161" s="46">
        <f t="shared" si="23"/>
        <v>0</v>
      </c>
      <c r="K161" s="45"/>
      <c r="L161" s="46">
        <f t="shared" si="23"/>
        <v>0</v>
      </c>
      <c r="M161" s="45">
        <f t="shared" si="23"/>
        <v>95</v>
      </c>
      <c r="N161" s="45">
        <f t="shared" si="23"/>
        <v>0</v>
      </c>
      <c r="O161" s="45">
        <f t="shared" si="23"/>
        <v>95</v>
      </c>
    </row>
    <row r="162" spans="1:16" ht="31.5" x14ac:dyDescent="0.2">
      <c r="A162" s="40"/>
      <c r="B162" s="41" t="s">
        <v>40</v>
      </c>
      <c r="C162" s="42" t="s">
        <v>51</v>
      </c>
      <c r="D162" s="43" t="s">
        <v>193</v>
      </c>
      <c r="E162" s="43" t="s">
        <v>211</v>
      </c>
      <c r="F162" s="44" t="s">
        <v>41</v>
      </c>
      <c r="G162" s="45">
        <v>95</v>
      </c>
      <c r="H162" s="25"/>
      <c r="I162" s="45">
        <v>95</v>
      </c>
      <c r="J162" s="47">
        <v>0</v>
      </c>
      <c r="K162" s="25"/>
      <c r="L162" s="47">
        <v>0</v>
      </c>
      <c r="M162" s="45">
        <v>95</v>
      </c>
      <c r="N162" s="45"/>
      <c r="O162" s="45">
        <v>95</v>
      </c>
    </row>
    <row r="163" spans="1:16" ht="15.75" x14ac:dyDescent="0.2">
      <c r="A163" s="20" t="s">
        <v>212</v>
      </c>
      <c r="B163" s="21" t="s">
        <v>213</v>
      </c>
      <c r="C163" s="22" t="s">
        <v>51</v>
      </c>
      <c r="D163" s="23" t="s">
        <v>214</v>
      </c>
      <c r="E163" s="23" t="s">
        <v>11</v>
      </c>
      <c r="F163" s="24" t="s">
        <v>11</v>
      </c>
      <c r="G163" s="25">
        <f t="shared" ref="G163:O163" si="24">G164+G172+G194+G200</f>
        <v>65179.799999999996</v>
      </c>
      <c r="H163" s="25">
        <f t="shared" si="24"/>
        <v>18689</v>
      </c>
      <c r="I163" s="25">
        <f t="shared" si="24"/>
        <v>83868.799999999988</v>
      </c>
      <c r="J163" s="26">
        <f t="shared" si="24"/>
        <v>66515.3</v>
      </c>
      <c r="K163" s="26">
        <f t="shared" si="24"/>
        <v>138931.6</v>
      </c>
      <c r="L163" s="26">
        <f t="shared" si="24"/>
        <v>205446.9</v>
      </c>
      <c r="M163" s="76">
        <f t="shared" si="24"/>
        <v>131695.1</v>
      </c>
      <c r="N163" s="25">
        <f t="shared" si="24"/>
        <v>157620.60000000003</v>
      </c>
      <c r="O163" s="76">
        <f t="shared" si="24"/>
        <v>289315.7</v>
      </c>
      <c r="P163" s="17"/>
    </row>
    <row r="164" spans="1:16" ht="15.75" x14ac:dyDescent="0.2">
      <c r="A164" s="33" t="s">
        <v>215</v>
      </c>
      <c r="B164" s="34" t="s">
        <v>216</v>
      </c>
      <c r="C164" s="35" t="s">
        <v>51</v>
      </c>
      <c r="D164" s="36" t="s">
        <v>217</v>
      </c>
      <c r="E164" s="36" t="s">
        <v>11</v>
      </c>
      <c r="F164" s="37" t="s">
        <v>11</v>
      </c>
      <c r="G164" s="38">
        <f t="shared" ref="G164:O168" si="25">G165</f>
        <v>487.6</v>
      </c>
      <c r="H164" s="45">
        <f t="shared" si="25"/>
        <v>10441.799999999999</v>
      </c>
      <c r="I164" s="38">
        <f t="shared" si="25"/>
        <v>10929.4</v>
      </c>
      <c r="J164" s="39">
        <f t="shared" si="25"/>
        <v>9262.4</v>
      </c>
      <c r="K164" s="45">
        <f>K165</f>
        <v>138931.6</v>
      </c>
      <c r="L164" s="39">
        <f t="shared" si="25"/>
        <v>148194</v>
      </c>
      <c r="M164" s="38">
        <f t="shared" si="25"/>
        <v>9750</v>
      </c>
      <c r="N164" s="38">
        <f t="shared" si="25"/>
        <v>149373.40000000002</v>
      </c>
      <c r="O164" s="38">
        <f t="shared" si="25"/>
        <v>159123.40000000002</v>
      </c>
    </row>
    <row r="165" spans="1:16" ht="31.5" x14ac:dyDescent="0.2">
      <c r="A165" s="40"/>
      <c r="B165" s="41" t="s">
        <v>218</v>
      </c>
      <c r="C165" s="42" t="s">
        <v>51</v>
      </c>
      <c r="D165" s="43" t="s">
        <v>217</v>
      </c>
      <c r="E165" s="43" t="s">
        <v>219</v>
      </c>
      <c r="F165" s="44" t="s">
        <v>11</v>
      </c>
      <c r="G165" s="45">
        <f t="shared" si="25"/>
        <v>487.6</v>
      </c>
      <c r="H165" s="45">
        <f t="shared" si="25"/>
        <v>10441.799999999999</v>
      </c>
      <c r="I165" s="45">
        <f t="shared" si="25"/>
        <v>10929.4</v>
      </c>
      <c r="J165" s="46">
        <f t="shared" si="25"/>
        <v>9262.4</v>
      </c>
      <c r="K165" s="45">
        <f>K166</f>
        <v>138931.6</v>
      </c>
      <c r="L165" s="46">
        <f t="shared" si="25"/>
        <v>148194</v>
      </c>
      <c r="M165" s="45">
        <f t="shared" si="25"/>
        <v>9750</v>
      </c>
      <c r="N165" s="45">
        <f t="shared" si="25"/>
        <v>149373.40000000002</v>
      </c>
      <c r="O165" s="45">
        <f t="shared" si="25"/>
        <v>159123.40000000002</v>
      </c>
    </row>
    <row r="166" spans="1:16" ht="31.5" x14ac:dyDescent="0.2">
      <c r="A166" s="40"/>
      <c r="B166" s="41" t="s">
        <v>185</v>
      </c>
      <c r="C166" s="42" t="s">
        <v>51</v>
      </c>
      <c r="D166" s="43" t="s">
        <v>217</v>
      </c>
      <c r="E166" s="43" t="s">
        <v>220</v>
      </c>
      <c r="F166" s="44" t="s">
        <v>11</v>
      </c>
      <c r="G166" s="45">
        <f t="shared" si="25"/>
        <v>487.6</v>
      </c>
      <c r="H166" s="45">
        <f t="shared" si="25"/>
        <v>10441.799999999999</v>
      </c>
      <c r="I166" s="45">
        <f t="shared" si="25"/>
        <v>10929.4</v>
      </c>
      <c r="J166" s="46">
        <f t="shared" si="25"/>
        <v>9262.4</v>
      </c>
      <c r="K166" s="45">
        <f>K167</f>
        <v>138931.6</v>
      </c>
      <c r="L166" s="46">
        <f t="shared" si="25"/>
        <v>148194</v>
      </c>
      <c r="M166" s="45">
        <f t="shared" si="25"/>
        <v>9750</v>
      </c>
      <c r="N166" s="45">
        <f t="shared" si="25"/>
        <v>149373.40000000002</v>
      </c>
      <c r="O166" s="45">
        <f t="shared" si="25"/>
        <v>159123.40000000002</v>
      </c>
    </row>
    <row r="167" spans="1:16" ht="31.5" x14ac:dyDescent="0.2">
      <c r="A167" s="40"/>
      <c r="B167" s="41" t="s">
        <v>221</v>
      </c>
      <c r="C167" s="42" t="s">
        <v>51</v>
      </c>
      <c r="D167" s="43" t="s">
        <v>217</v>
      </c>
      <c r="E167" s="43" t="s">
        <v>222</v>
      </c>
      <c r="F167" s="44" t="s">
        <v>11</v>
      </c>
      <c r="G167" s="45">
        <f t="shared" si="25"/>
        <v>487.6</v>
      </c>
      <c r="H167" s="45">
        <f t="shared" si="25"/>
        <v>10441.799999999999</v>
      </c>
      <c r="I167" s="45">
        <f t="shared" si="25"/>
        <v>10929.4</v>
      </c>
      <c r="J167" s="46">
        <f t="shared" si="25"/>
        <v>9262.4</v>
      </c>
      <c r="K167" s="45">
        <f>K168</f>
        <v>138931.6</v>
      </c>
      <c r="L167" s="46">
        <f t="shared" si="25"/>
        <v>148194</v>
      </c>
      <c r="M167" s="45">
        <f t="shared" si="25"/>
        <v>9750</v>
      </c>
      <c r="N167" s="45">
        <f t="shared" si="25"/>
        <v>149373.40000000002</v>
      </c>
      <c r="O167" s="45">
        <f t="shared" si="25"/>
        <v>159123.40000000002</v>
      </c>
    </row>
    <row r="168" spans="1:16" ht="94.5" x14ac:dyDescent="0.2">
      <c r="A168" s="40"/>
      <c r="B168" s="41" t="s">
        <v>223</v>
      </c>
      <c r="C168" s="42" t="s">
        <v>51</v>
      </c>
      <c r="D168" s="43" t="s">
        <v>217</v>
      </c>
      <c r="E168" s="43" t="s">
        <v>224</v>
      </c>
      <c r="F168" s="44" t="s">
        <v>11</v>
      </c>
      <c r="G168" s="45">
        <f>G169</f>
        <v>487.6</v>
      </c>
      <c r="H168" s="45">
        <f>H169+H170</f>
        <v>10441.799999999999</v>
      </c>
      <c r="I168" s="45">
        <f>I169+I170</f>
        <v>10929.4</v>
      </c>
      <c r="J168" s="46">
        <f t="shared" si="25"/>
        <v>9262.4</v>
      </c>
      <c r="K168" s="45">
        <f>SUM(K169)</f>
        <v>138931.6</v>
      </c>
      <c r="L168" s="46">
        <f t="shared" si="25"/>
        <v>148194</v>
      </c>
      <c r="M168" s="45">
        <f t="shared" si="25"/>
        <v>9750</v>
      </c>
      <c r="N168" s="45">
        <f>N169+N170</f>
        <v>149373.40000000002</v>
      </c>
      <c r="O168" s="45">
        <f>O169+O170</f>
        <v>159123.40000000002</v>
      </c>
    </row>
    <row r="169" spans="1:16" ht="31.5" x14ac:dyDescent="0.2">
      <c r="A169" s="40"/>
      <c r="B169" s="41" t="s">
        <v>225</v>
      </c>
      <c r="C169" s="42" t="s">
        <v>51</v>
      </c>
      <c r="D169" s="43" t="s">
        <v>217</v>
      </c>
      <c r="E169" s="43" t="s">
        <v>224</v>
      </c>
      <c r="F169" s="44" t="s">
        <v>226</v>
      </c>
      <c r="G169" s="45">
        <v>487.6</v>
      </c>
      <c r="H169" s="38">
        <v>7312.2</v>
      </c>
      <c r="I169" s="45">
        <f>487.6+7312.2</f>
        <v>7799.8</v>
      </c>
      <c r="J169" s="47">
        <v>9262.4</v>
      </c>
      <c r="K169" s="38">
        <v>138931.6</v>
      </c>
      <c r="L169" s="47">
        <f>9262.4+K169</f>
        <v>148194</v>
      </c>
      <c r="M169" s="45">
        <f>487.6+J169</f>
        <v>9750</v>
      </c>
      <c r="N169" s="45">
        <f>SUM(K169)+H169</f>
        <v>146243.80000000002</v>
      </c>
      <c r="O169" s="45">
        <f>SUM(N169)+M169</f>
        <v>155993.80000000002</v>
      </c>
    </row>
    <row r="170" spans="1:16" ht="94.5" x14ac:dyDescent="0.2">
      <c r="A170" s="40"/>
      <c r="B170" s="69" t="s">
        <v>563</v>
      </c>
      <c r="C170" s="42">
        <v>992</v>
      </c>
      <c r="D170" s="43" t="s">
        <v>217</v>
      </c>
      <c r="E170" s="57" t="s">
        <v>562</v>
      </c>
      <c r="F170" s="44"/>
      <c r="G170" s="45"/>
      <c r="H170" s="38">
        <v>3129.6</v>
      </c>
      <c r="I170" s="45">
        <f>SUM(H170)</f>
        <v>3129.6</v>
      </c>
      <c r="J170" s="47"/>
      <c r="K170" s="38"/>
      <c r="L170" s="47"/>
      <c r="M170" s="45"/>
      <c r="N170" s="45">
        <f>SUM(H170)</f>
        <v>3129.6</v>
      </c>
      <c r="O170" s="45">
        <f>SUM(I170)</f>
        <v>3129.6</v>
      </c>
    </row>
    <row r="171" spans="1:16" ht="31.5" x14ac:dyDescent="0.2">
      <c r="A171" s="40"/>
      <c r="B171" s="41" t="s">
        <v>225</v>
      </c>
      <c r="C171" s="42">
        <v>992</v>
      </c>
      <c r="D171" s="43" t="s">
        <v>217</v>
      </c>
      <c r="E171" s="57" t="s">
        <v>562</v>
      </c>
      <c r="F171" s="44">
        <v>400</v>
      </c>
      <c r="G171" s="45"/>
      <c r="H171" s="38">
        <v>3129.6</v>
      </c>
      <c r="I171" s="45">
        <f>SUM(H171)</f>
        <v>3129.6</v>
      </c>
      <c r="J171" s="47"/>
      <c r="K171" s="38"/>
      <c r="L171" s="47"/>
      <c r="M171" s="45"/>
      <c r="N171" s="45">
        <f>SUM(H171)</f>
        <v>3129.6</v>
      </c>
      <c r="O171" s="45">
        <f>SUM(I171)</f>
        <v>3129.6</v>
      </c>
    </row>
    <row r="172" spans="1:16" ht="15.75" x14ac:dyDescent="0.2">
      <c r="A172" s="33" t="s">
        <v>227</v>
      </c>
      <c r="B172" s="34" t="s">
        <v>228</v>
      </c>
      <c r="C172" s="35" t="s">
        <v>51</v>
      </c>
      <c r="D172" s="36" t="s">
        <v>229</v>
      </c>
      <c r="E172" s="36" t="s">
        <v>11</v>
      </c>
      <c r="F172" s="37" t="s">
        <v>11</v>
      </c>
      <c r="G172" s="38">
        <f>G173+G186+G191</f>
        <v>40252.5</v>
      </c>
      <c r="H172" s="45">
        <f>H173+H186+H192</f>
        <v>-1259.3000000000002</v>
      </c>
      <c r="I172" s="38">
        <f>I173+I186+I191</f>
        <v>38993.199999999997</v>
      </c>
      <c r="J172" s="39">
        <f>J173+J186</f>
        <v>43692.5</v>
      </c>
      <c r="K172" s="45">
        <f>K173</f>
        <v>0</v>
      </c>
      <c r="L172" s="39">
        <f>L173+L186</f>
        <v>43692.5</v>
      </c>
      <c r="M172" s="38">
        <f>M173+M186+M191</f>
        <v>83945</v>
      </c>
      <c r="N172" s="45">
        <f>N173+N186+N192</f>
        <v>-1259.3000000000002</v>
      </c>
      <c r="O172" s="38">
        <f>O173+O186+O191</f>
        <v>82685.700000000012</v>
      </c>
      <c r="P172" s="15"/>
    </row>
    <row r="173" spans="1:16" ht="47.25" x14ac:dyDescent="0.2">
      <c r="A173" s="40"/>
      <c r="B173" s="41" t="s">
        <v>230</v>
      </c>
      <c r="C173" s="42" t="s">
        <v>51</v>
      </c>
      <c r="D173" s="43" t="s">
        <v>229</v>
      </c>
      <c r="E173" s="43" t="s">
        <v>231</v>
      </c>
      <c r="F173" s="44" t="s">
        <v>11</v>
      </c>
      <c r="G173" s="45">
        <f>G174</f>
        <v>26691.7</v>
      </c>
      <c r="H173" s="45">
        <f>H174+H182</f>
        <v>-9418.1</v>
      </c>
      <c r="I173" s="45">
        <f>I174</f>
        <v>17273.599999999999</v>
      </c>
      <c r="J173" s="46">
        <f>J174</f>
        <v>43692.5</v>
      </c>
      <c r="K173" s="45">
        <f>K174+K182</f>
        <v>0</v>
      </c>
      <c r="L173" s="46">
        <f>L174</f>
        <v>43692.5</v>
      </c>
      <c r="M173" s="45">
        <f>M174</f>
        <v>70384.2</v>
      </c>
      <c r="N173" s="45">
        <f>N174</f>
        <v>-9418.1</v>
      </c>
      <c r="O173" s="45">
        <f>O174</f>
        <v>60966.1</v>
      </c>
    </row>
    <row r="174" spans="1:16" ht="47.25" x14ac:dyDescent="0.2">
      <c r="A174" s="40"/>
      <c r="B174" s="41" t="s">
        <v>232</v>
      </c>
      <c r="C174" s="42" t="s">
        <v>51</v>
      </c>
      <c r="D174" s="43" t="s">
        <v>229</v>
      </c>
      <c r="E174" s="43" t="s">
        <v>233</v>
      </c>
      <c r="F174" s="44" t="s">
        <v>11</v>
      </c>
      <c r="G174" s="45">
        <f>G175+G183</f>
        <v>26691.7</v>
      </c>
      <c r="H174" s="45">
        <f>H175+H183</f>
        <v>-9418.1</v>
      </c>
      <c r="I174" s="45">
        <f>I175+I183</f>
        <v>17273.599999999999</v>
      </c>
      <c r="J174" s="46">
        <f>J175+J183</f>
        <v>43692.5</v>
      </c>
      <c r="K174" s="45">
        <f>K175</f>
        <v>0</v>
      </c>
      <c r="L174" s="46">
        <f>L175+L183</f>
        <v>43692.5</v>
      </c>
      <c r="M174" s="45">
        <f>M175+M183</f>
        <v>70384.2</v>
      </c>
      <c r="N174" s="45">
        <f>N175+N183</f>
        <v>-9418.1</v>
      </c>
      <c r="O174" s="45">
        <f>O175+O183</f>
        <v>60966.1</v>
      </c>
    </row>
    <row r="175" spans="1:16" ht="31.5" x14ac:dyDescent="0.2">
      <c r="A175" s="40"/>
      <c r="B175" s="41" t="s">
        <v>234</v>
      </c>
      <c r="C175" s="42" t="s">
        <v>51</v>
      </c>
      <c r="D175" s="43" t="s">
        <v>229</v>
      </c>
      <c r="E175" s="43" t="s">
        <v>235</v>
      </c>
      <c r="F175" s="44" t="s">
        <v>11</v>
      </c>
      <c r="G175" s="45">
        <f>G176+G181+G179</f>
        <v>20581.7</v>
      </c>
      <c r="H175" s="45">
        <f t="shared" ref="H175:O175" si="26">H176+H181+H179</f>
        <v>-10141.1</v>
      </c>
      <c r="I175" s="45">
        <f t="shared" si="26"/>
        <v>10440.6</v>
      </c>
      <c r="J175" s="45">
        <f t="shared" si="26"/>
        <v>43692.5</v>
      </c>
      <c r="K175" s="45">
        <f t="shared" si="26"/>
        <v>0</v>
      </c>
      <c r="L175" s="45">
        <f t="shared" si="26"/>
        <v>43692.5</v>
      </c>
      <c r="M175" s="45">
        <f t="shared" si="26"/>
        <v>64274.2</v>
      </c>
      <c r="N175" s="45">
        <f t="shared" si="26"/>
        <v>-10141.1</v>
      </c>
      <c r="O175" s="45">
        <f t="shared" si="26"/>
        <v>54133.1</v>
      </c>
    </row>
    <row r="176" spans="1:16" ht="63" x14ac:dyDescent="0.2">
      <c r="A176" s="40"/>
      <c r="B176" s="41" t="s">
        <v>236</v>
      </c>
      <c r="C176" s="42" t="s">
        <v>51</v>
      </c>
      <c r="D176" s="43" t="s">
        <v>229</v>
      </c>
      <c r="E176" s="43" t="s">
        <v>237</v>
      </c>
      <c r="F176" s="44" t="s">
        <v>11</v>
      </c>
      <c r="G176" s="45">
        <f>G177+G178</f>
        <v>20281.7</v>
      </c>
      <c r="H176" s="45">
        <f>H177+H178</f>
        <v>-10141.1</v>
      </c>
      <c r="I176" s="45">
        <f t="shared" ref="I176:O176" si="27">I177+I178</f>
        <v>10140.6</v>
      </c>
      <c r="J176" s="46">
        <f t="shared" si="27"/>
        <v>17036</v>
      </c>
      <c r="K176" s="46">
        <f t="shared" si="27"/>
        <v>0</v>
      </c>
      <c r="L176" s="46">
        <f t="shared" si="27"/>
        <v>17036</v>
      </c>
      <c r="M176" s="45">
        <f t="shared" si="27"/>
        <v>37317.699999999997</v>
      </c>
      <c r="N176" s="45">
        <f t="shared" si="27"/>
        <v>-10141.1</v>
      </c>
      <c r="O176" s="45">
        <f t="shared" si="27"/>
        <v>27176.6</v>
      </c>
    </row>
    <row r="177" spans="1:15" ht="31.5" x14ac:dyDescent="0.2">
      <c r="A177" s="40"/>
      <c r="B177" s="41" t="s">
        <v>40</v>
      </c>
      <c r="C177" s="42" t="s">
        <v>51</v>
      </c>
      <c r="D177" s="43" t="s">
        <v>229</v>
      </c>
      <c r="E177" s="43" t="s">
        <v>237</v>
      </c>
      <c r="F177" s="44" t="s">
        <v>41</v>
      </c>
      <c r="G177" s="48">
        <v>19141.5</v>
      </c>
      <c r="H177" s="48">
        <f>-200-145-9418.1-378</f>
        <v>-10141.1</v>
      </c>
      <c r="I177" s="48">
        <f>SUM(G177)+H177</f>
        <v>9000.4</v>
      </c>
      <c r="J177" s="47">
        <v>0</v>
      </c>
      <c r="K177" s="48">
        <f>26656.5-26656.5</f>
        <v>0</v>
      </c>
      <c r="L177" s="47">
        <f>SUM(K177)</f>
        <v>0</v>
      </c>
      <c r="M177" s="48">
        <f>SUM(G177)</f>
        <v>19141.5</v>
      </c>
      <c r="N177" s="48">
        <f>SUM(K177)+H177</f>
        <v>-10141.1</v>
      </c>
      <c r="O177" s="45">
        <f>SUM(I177+L177)</f>
        <v>9000.4</v>
      </c>
    </row>
    <row r="178" spans="1:15" ht="31.5" x14ac:dyDescent="0.2">
      <c r="A178" s="40"/>
      <c r="B178" s="41" t="s">
        <v>225</v>
      </c>
      <c r="C178" s="58">
        <v>992</v>
      </c>
      <c r="D178" s="57" t="s">
        <v>229</v>
      </c>
      <c r="E178" s="57" t="s">
        <v>237</v>
      </c>
      <c r="F178" s="59" t="s">
        <v>226</v>
      </c>
      <c r="G178" s="48">
        <v>1140.2</v>
      </c>
      <c r="H178" s="45"/>
      <c r="I178" s="48">
        <f>SUM(G178)+H178</f>
        <v>1140.2</v>
      </c>
      <c r="J178" s="47">
        <v>17036</v>
      </c>
      <c r="K178" s="45"/>
      <c r="L178" s="47">
        <f>SUM(J178)</f>
        <v>17036</v>
      </c>
      <c r="M178" s="48">
        <f>SUM(G178+J178)</f>
        <v>18176.2</v>
      </c>
      <c r="N178" s="48">
        <f>SUM(K178)+H178</f>
        <v>0</v>
      </c>
      <c r="O178" s="48">
        <f>SUM(M178)+N178</f>
        <v>18176.2</v>
      </c>
    </row>
    <row r="179" spans="1:15" ht="110.25" x14ac:dyDescent="0.2">
      <c r="A179" s="40"/>
      <c r="B179" s="56" t="s">
        <v>238</v>
      </c>
      <c r="C179" s="58">
        <v>992</v>
      </c>
      <c r="D179" s="57" t="s">
        <v>229</v>
      </c>
      <c r="E179" s="57" t="s">
        <v>239</v>
      </c>
      <c r="F179" s="59"/>
      <c r="G179" s="48">
        <f t="shared" ref="G179:O179" si="28">G180</f>
        <v>0</v>
      </c>
      <c r="H179" s="45">
        <f t="shared" si="28"/>
        <v>0</v>
      </c>
      <c r="I179" s="48">
        <f t="shared" si="28"/>
        <v>0</v>
      </c>
      <c r="J179" s="47">
        <f t="shared" si="28"/>
        <v>26656.5</v>
      </c>
      <c r="K179" s="45">
        <f t="shared" si="28"/>
        <v>0</v>
      </c>
      <c r="L179" s="47">
        <f t="shared" si="28"/>
        <v>26656.5</v>
      </c>
      <c r="M179" s="48">
        <f t="shared" si="28"/>
        <v>26656.5</v>
      </c>
      <c r="N179" s="48">
        <f t="shared" si="28"/>
        <v>0</v>
      </c>
      <c r="O179" s="45">
        <f t="shared" si="28"/>
        <v>26656.5</v>
      </c>
    </row>
    <row r="180" spans="1:15" ht="31.5" x14ac:dyDescent="0.2">
      <c r="A180" s="40"/>
      <c r="B180" s="56" t="s">
        <v>40</v>
      </c>
      <c r="C180" s="58">
        <v>992</v>
      </c>
      <c r="D180" s="57" t="s">
        <v>229</v>
      </c>
      <c r="E180" s="57" t="s">
        <v>239</v>
      </c>
      <c r="F180" s="59" t="s">
        <v>41</v>
      </c>
      <c r="G180" s="48"/>
      <c r="H180" s="45"/>
      <c r="I180" s="48">
        <f>SUM(G180:H180)</f>
        <v>0</v>
      </c>
      <c r="J180" s="47">
        <v>26656.5</v>
      </c>
      <c r="K180" s="45"/>
      <c r="L180" s="47">
        <f>SUM(J180:K180)</f>
        <v>26656.5</v>
      </c>
      <c r="M180" s="48">
        <f>SUM(J180)</f>
        <v>26656.5</v>
      </c>
      <c r="N180" s="48">
        <f>H180+K180</f>
        <v>0</v>
      </c>
      <c r="O180" s="45">
        <f>I180+L180</f>
        <v>26656.5</v>
      </c>
    </row>
    <row r="181" spans="1:15" ht="78.75" x14ac:dyDescent="0.2">
      <c r="A181" s="40"/>
      <c r="B181" s="41" t="s">
        <v>240</v>
      </c>
      <c r="C181" s="42" t="s">
        <v>51</v>
      </c>
      <c r="D181" s="43" t="s">
        <v>229</v>
      </c>
      <c r="E181" s="43" t="s">
        <v>241</v>
      </c>
      <c r="F181" s="44" t="s">
        <v>11</v>
      </c>
      <c r="G181" s="45">
        <f>G182</f>
        <v>300</v>
      </c>
      <c r="H181" s="45"/>
      <c r="I181" s="45">
        <f>I182</f>
        <v>300</v>
      </c>
      <c r="J181" s="46">
        <f>J182</f>
        <v>0</v>
      </c>
      <c r="K181" s="45"/>
      <c r="L181" s="46">
        <f>L182</f>
        <v>0</v>
      </c>
      <c r="M181" s="45">
        <f>M182</f>
        <v>300</v>
      </c>
      <c r="N181" s="45">
        <f>N182</f>
        <v>0</v>
      </c>
      <c r="O181" s="45">
        <f>O182</f>
        <v>300</v>
      </c>
    </row>
    <row r="182" spans="1:15" ht="31.5" x14ac:dyDescent="0.2">
      <c r="A182" s="40"/>
      <c r="B182" s="41" t="s">
        <v>40</v>
      </c>
      <c r="C182" s="42" t="s">
        <v>51</v>
      </c>
      <c r="D182" s="43" t="s">
        <v>229</v>
      </c>
      <c r="E182" s="43" t="s">
        <v>241</v>
      </c>
      <c r="F182" s="44" t="s">
        <v>41</v>
      </c>
      <c r="G182" s="45">
        <v>300</v>
      </c>
      <c r="H182" s="45"/>
      <c r="I182" s="45">
        <v>300</v>
      </c>
      <c r="J182" s="47">
        <v>0</v>
      </c>
      <c r="K182" s="45">
        <f t="shared" ref="G182:O184" si="29">K183</f>
        <v>0</v>
      </c>
      <c r="L182" s="47">
        <v>0</v>
      </c>
      <c r="M182" s="45">
        <v>300</v>
      </c>
      <c r="N182" s="45"/>
      <c r="O182" s="45">
        <v>300</v>
      </c>
    </row>
    <row r="183" spans="1:15" ht="31.5" x14ac:dyDescent="0.2">
      <c r="A183" s="40"/>
      <c r="B183" s="41" t="s">
        <v>242</v>
      </c>
      <c r="C183" s="42" t="s">
        <v>51</v>
      </c>
      <c r="D183" s="43" t="s">
        <v>229</v>
      </c>
      <c r="E183" s="43" t="s">
        <v>243</v>
      </c>
      <c r="F183" s="44" t="s">
        <v>11</v>
      </c>
      <c r="G183" s="45">
        <f t="shared" si="29"/>
        <v>6110</v>
      </c>
      <c r="H183" s="45">
        <f t="shared" si="29"/>
        <v>723</v>
      </c>
      <c r="I183" s="45">
        <f t="shared" si="29"/>
        <v>6833</v>
      </c>
      <c r="J183" s="46">
        <f t="shared" si="29"/>
        <v>0</v>
      </c>
      <c r="K183" s="45">
        <f t="shared" si="29"/>
        <v>0</v>
      </c>
      <c r="L183" s="46">
        <f t="shared" si="29"/>
        <v>0</v>
      </c>
      <c r="M183" s="45">
        <f t="shared" si="29"/>
        <v>6110</v>
      </c>
      <c r="N183" s="45">
        <f t="shared" si="29"/>
        <v>723</v>
      </c>
      <c r="O183" s="45">
        <f t="shared" si="29"/>
        <v>6833</v>
      </c>
    </row>
    <row r="184" spans="1:15" ht="78.75" x14ac:dyDescent="0.2">
      <c r="A184" s="40"/>
      <c r="B184" s="41" t="s">
        <v>240</v>
      </c>
      <c r="C184" s="42" t="s">
        <v>51</v>
      </c>
      <c r="D184" s="43" t="s">
        <v>229</v>
      </c>
      <c r="E184" s="43" t="s">
        <v>244</v>
      </c>
      <c r="F184" s="44" t="s">
        <v>11</v>
      </c>
      <c r="G184" s="45">
        <f t="shared" si="29"/>
        <v>6110</v>
      </c>
      <c r="H184" s="48">
        <f>SUM(H185)</f>
        <v>723</v>
      </c>
      <c r="I184" s="45">
        <f t="shared" si="29"/>
        <v>6833</v>
      </c>
      <c r="J184" s="46">
        <f t="shared" si="29"/>
        <v>0</v>
      </c>
      <c r="K184" s="48"/>
      <c r="L184" s="46">
        <f t="shared" si="29"/>
        <v>0</v>
      </c>
      <c r="M184" s="45">
        <f t="shared" si="29"/>
        <v>6110</v>
      </c>
      <c r="N184" s="45">
        <f t="shared" si="29"/>
        <v>723</v>
      </c>
      <c r="O184" s="45">
        <f t="shared" si="29"/>
        <v>6833</v>
      </c>
    </row>
    <row r="185" spans="1:15" ht="31.5" x14ac:dyDescent="0.2">
      <c r="A185" s="40"/>
      <c r="B185" s="41" t="s">
        <v>40</v>
      </c>
      <c r="C185" s="42" t="s">
        <v>51</v>
      </c>
      <c r="D185" s="43" t="s">
        <v>229</v>
      </c>
      <c r="E185" s="43" t="s">
        <v>244</v>
      </c>
      <c r="F185" s="44" t="s">
        <v>41</v>
      </c>
      <c r="G185" s="48">
        <f>4810+1300</f>
        <v>6110</v>
      </c>
      <c r="H185" s="45">
        <f>200+145+378</f>
        <v>723</v>
      </c>
      <c r="I185" s="48">
        <f>4810+1300+H185</f>
        <v>6833</v>
      </c>
      <c r="J185" s="47">
        <v>0</v>
      </c>
      <c r="K185" s="45"/>
      <c r="L185" s="47">
        <v>0</v>
      </c>
      <c r="M185" s="48">
        <f>4810+1300</f>
        <v>6110</v>
      </c>
      <c r="N185" s="48">
        <f>SUM(H185)</f>
        <v>723</v>
      </c>
      <c r="O185" s="48">
        <f>4810+1300+N185</f>
        <v>6833</v>
      </c>
    </row>
    <row r="186" spans="1:15" ht="31.5" x14ac:dyDescent="0.2">
      <c r="A186" s="40"/>
      <c r="B186" s="41" t="s">
        <v>245</v>
      </c>
      <c r="C186" s="42" t="s">
        <v>51</v>
      </c>
      <c r="D186" s="43" t="s">
        <v>229</v>
      </c>
      <c r="E186" s="43" t="s">
        <v>246</v>
      </c>
      <c r="F186" s="44" t="s">
        <v>11</v>
      </c>
      <c r="G186" s="45">
        <f t="shared" ref="G186:O189" si="30">G187</f>
        <v>12427.2</v>
      </c>
      <c r="H186" s="45">
        <f t="shared" si="30"/>
        <v>7958.8</v>
      </c>
      <c r="I186" s="45">
        <f t="shared" si="30"/>
        <v>20386</v>
      </c>
      <c r="J186" s="46">
        <f t="shared" si="30"/>
        <v>0</v>
      </c>
      <c r="K186" s="45">
        <f>K187</f>
        <v>0</v>
      </c>
      <c r="L186" s="46">
        <f t="shared" si="30"/>
        <v>0</v>
      </c>
      <c r="M186" s="45">
        <f t="shared" si="30"/>
        <v>12427.2</v>
      </c>
      <c r="N186" s="45">
        <f t="shared" si="30"/>
        <v>7958.8</v>
      </c>
      <c r="O186" s="45">
        <f t="shared" si="30"/>
        <v>20386</v>
      </c>
    </row>
    <row r="187" spans="1:15" ht="15.75" x14ac:dyDescent="0.2">
      <c r="A187" s="40"/>
      <c r="B187" s="41" t="s">
        <v>247</v>
      </c>
      <c r="C187" s="42" t="s">
        <v>51</v>
      </c>
      <c r="D187" s="43" t="s">
        <v>229</v>
      </c>
      <c r="E187" s="43" t="s">
        <v>248</v>
      </c>
      <c r="F187" s="44" t="s">
        <v>11</v>
      </c>
      <c r="G187" s="45">
        <f t="shared" si="30"/>
        <v>12427.2</v>
      </c>
      <c r="H187" s="45">
        <f t="shared" si="30"/>
        <v>7958.8</v>
      </c>
      <c r="I187" s="45">
        <f t="shared" si="30"/>
        <v>20386</v>
      </c>
      <c r="J187" s="46">
        <f t="shared" si="30"/>
        <v>0</v>
      </c>
      <c r="K187" s="45">
        <f>K188</f>
        <v>0</v>
      </c>
      <c r="L187" s="46">
        <f t="shared" si="30"/>
        <v>0</v>
      </c>
      <c r="M187" s="45">
        <f t="shared" si="30"/>
        <v>12427.2</v>
      </c>
      <c r="N187" s="45">
        <f t="shared" si="30"/>
        <v>7958.8</v>
      </c>
      <c r="O187" s="45">
        <f t="shared" si="30"/>
        <v>20386</v>
      </c>
    </row>
    <row r="188" spans="1:15" ht="47.25" x14ac:dyDescent="0.2">
      <c r="A188" s="40"/>
      <c r="B188" s="41" t="s">
        <v>249</v>
      </c>
      <c r="C188" s="42" t="s">
        <v>51</v>
      </c>
      <c r="D188" s="43" t="s">
        <v>229</v>
      </c>
      <c r="E188" s="43" t="s">
        <v>250</v>
      </c>
      <c r="F188" s="44" t="s">
        <v>11</v>
      </c>
      <c r="G188" s="45">
        <f t="shared" si="30"/>
        <v>12427.2</v>
      </c>
      <c r="H188" s="45">
        <f>SUM(H189)</f>
        <v>7958.8</v>
      </c>
      <c r="I188" s="45">
        <f t="shared" si="30"/>
        <v>20386</v>
      </c>
      <c r="J188" s="46">
        <f t="shared" si="30"/>
        <v>0</v>
      </c>
      <c r="K188" s="45">
        <f>K189</f>
        <v>0</v>
      </c>
      <c r="L188" s="46">
        <f t="shared" si="30"/>
        <v>0</v>
      </c>
      <c r="M188" s="45">
        <f t="shared" si="30"/>
        <v>12427.2</v>
      </c>
      <c r="N188" s="45">
        <f>SUM(H188)</f>
        <v>7958.8</v>
      </c>
      <c r="O188" s="45">
        <f t="shared" si="30"/>
        <v>20386</v>
      </c>
    </row>
    <row r="189" spans="1:15" ht="31.5" x14ac:dyDescent="0.2">
      <c r="A189" s="40"/>
      <c r="B189" s="41" t="s">
        <v>134</v>
      </c>
      <c r="C189" s="42" t="s">
        <v>51</v>
      </c>
      <c r="D189" s="43" t="s">
        <v>229</v>
      </c>
      <c r="E189" s="43" t="s">
        <v>251</v>
      </c>
      <c r="F189" s="44" t="s">
        <v>11</v>
      </c>
      <c r="G189" s="45">
        <f>G190</f>
        <v>12427.2</v>
      </c>
      <c r="H189" s="45">
        <f>SUM(H190)</f>
        <v>7958.8</v>
      </c>
      <c r="I189" s="45">
        <f>I190</f>
        <v>20386</v>
      </c>
      <c r="J189" s="46">
        <f t="shared" si="30"/>
        <v>0</v>
      </c>
      <c r="K189" s="45"/>
      <c r="L189" s="46">
        <f t="shared" si="30"/>
        <v>0</v>
      </c>
      <c r="M189" s="45">
        <f t="shared" si="30"/>
        <v>12427.2</v>
      </c>
      <c r="N189" s="45">
        <f t="shared" si="30"/>
        <v>7958.8</v>
      </c>
      <c r="O189" s="45">
        <f t="shared" si="30"/>
        <v>20386</v>
      </c>
    </row>
    <row r="190" spans="1:15" ht="34.9" customHeight="1" x14ac:dyDescent="0.2">
      <c r="A190" s="40"/>
      <c r="B190" s="41" t="s">
        <v>95</v>
      </c>
      <c r="C190" s="42" t="s">
        <v>51</v>
      </c>
      <c r="D190" s="43" t="s">
        <v>229</v>
      </c>
      <c r="E190" s="43" t="s">
        <v>251</v>
      </c>
      <c r="F190" s="44" t="s">
        <v>96</v>
      </c>
      <c r="G190" s="45">
        <v>12427.2</v>
      </c>
      <c r="H190" s="66">
        <f>2060.2+2582.8+3315.8</f>
        <v>7958.8</v>
      </c>
      <c r="I190" s="45">
        <f>SUM(G190)+H190</f>
        <v>20386</v>
      </c>
      <c r="J190" s="47">
        <v>0</v>
      </c>
      <c r="K190" s="38"/>
      <c r="L190" s="47">
        <v>0</v>
      </c>
      <c r="M190" s="45">
        <f>SUM(G190)</f>
        <v>12427.2</v>
      </c>
      <c r="N190" s="45">
        <f>SUM(H190)</f>
        <v>7958.8</v>
      </c>
      <c r="O190" s="45">
        <f>SUM(M190)+N190</f>
        <v>20386</v>
      </c>
    </row>
    <row r="191" spans="1:15" ht="34.9" customHeight="1" x14ac:dyDescent="0.2">
      <c r="A191" s="40"/>
      <c r="B191" s="56" t="s">
        <v>461</v>
      </c>
      <c r="C191" s="42">
        <v>992</v>
      </c>
      <c r="D191" s="43" t="s">
        <v>229</v>
      </c>
      <c r="E191" s="57" t="s">
        <v>462</v>
      </c>
      <c r="F191" s="44"/>
      <c r="G191" s="45">
        <v>1133.5999999999999</v>
      </c>
      <c r="H191" s="66">
        <f>SUM(H192)</f>
        <v>200</v>
      </c>
      <c r="I191" s="66">
        <f>SUM(I192)</f>
        <v>1333.6</v>
      </c>
      <c r="J191" s="47"/>
      <c r="K191" s="38"/>
      <c r="L191" s="47"/>
      <c r="M191" s="45">
        <f>SUM(G191)</f>
        <v>1133.5999999999999</v>
      </c>
      <c r="N191" s="45">
        <f t="shared" ref="N191:O193" si="31">SUM(H191)</f>
        <v>200</v>
      </c>
      <c r="O191" s="45">
        <f t="shared" si="31"/>
        <v>1333.6</v>
      </c>
    </row>
    <row r="192" spans="1:15" ht="47.25" customHeight="1" x14ac:dyDescent="0.2">
      <c r="A192" s="40"/>
      <c r="B192" s="56" t="s">
        <v>463</v>
      </c>
      <c r="C192" s="42">
        <v>992</v>
      </c>
      <c r="D192" s="43" t="s">
        <v>229</v>
      </c>
      <c r="E192" s="43">
        <v>1300122640</v>
      </c>
      <c r="F192" s="44"/>
      <c r="G192" s="45">
        <v>1133.5999999999999</v>
      </c>
      <c r="H192" s="66">
        <f>SUM(H193)</f>
        <v>200</v>
      </c>
      <c r="I192" s="66">
        <f>SUM(I193)</f>
        <v>1333.6</v>
      </c>
      <c r="J192" s="47"/>
      <c r="K192" s="38"/>
      <c r="L192" s="47"/>
      <c r="M192" s="45">
        <f>SUM(G192)</f>
        <v>1133.5999999999999</v>
      </c>
      <c r="N192" s="45">
        <f t="shared" si="31"/>
        <v>200</v>
      </c>
      <c r="O192" s="45">
        <f t="shared" si="31"/>
        <v>1333.6</v>
      </c>
    </row>
    <row r="193" spans="1:16" ht="34.5" customHeight="1" x14ac:dyDescent="0.2">
      <c r="A193" s="40"/>
      <c r="B193" s="41" t="s">
        <v>95</v>
      </c>
      <c r="C193" s="42">
        <v>992</v>
      </c>
      <c r="D193" s="43" t="s">
        <v>229</v>
      </c>
      <c r="E193" s="43">
        <v>1300122640</v>
      </c>
      <c r="F193" s="44">
        <v>200</v>
      </c>
      <c r="G193" s="45">
        <v>1133.5999999999999</v>
      </c>
      <c r="H193" s="66">
        <v>200</v>
      </c>
      <c r="I193" s="66">
        <f>SUM(G193)+H193</f>
        <v>1333.6</v>
      </c>
      <c r="J193" s="47"/>
      <c r="K193" s="38"/>
      <c r="L193" s="47"/>
      <c r="M193" s="45">
        <f>SUM(G193)</f>
        <v>1133.5999999999999</v>
      </c>
      <c r="N193" s="45">
        <f t="shared" si="31"/>
        <v>200</v>
      </c>
      <c r="O193" s="45">
        <f t="shared" si="31"/>
        <v>1333.6</v>
      </c>
    </row>
    <row r="194" spans="1:16" ht="23.25" customHeight="1" x14ac:dyDescent="0.2">
      <c r="A194" s="33" t="s">
        <v>252</v>
      </c>
      <c r="B194" s="34" t="s">
        <v>253</v>
      </c>
      <c r="C194" s="35" t="s">
        <v>51</v>
      </c>
      <c r="D194" s="36" t="s">
        <v>254</v>
      </c>
      <c r="E194" s="36" t="s">
        <v>11</v>
      </c>
      <c r="F194" s="37" t="s">
        <v>11</v>
      </c>
      <c r="G194" s="38">
        <f t="shared" ref="G194:O198" si="32">G195</f>
        <v>1736</v>
      </c>
      <c r="H194" s="45">
        <f t="shared" si="32"/>
        <v>230</v>
      </c>
      <c r="I194" s="38">
        <f t="shared" si="32"/>
        <v>1966</v>
      </c>
      <c r="J194" s="39">
        <f t="shared" si="32"/>
        <v>0</v>
      </c>
      <c r="K194" s="45">
        <f>K195</f>
        <v>0</v>
      </c>
      <c r="L194" s="39">
        <f t="shared" si="32"/>
        <v>0</v>
      </c>
      <c r="M194" s="38">
        <f t="shared" si="32"/>
        <v>1736</v>
      </c>
      <c r="N194" s="38">
        <f t="shared" si="32"/>
        <v>230</v>
      </c>
      <c r="O194" s="38">
        <f t="shared" si="32"/>
        <v>1966</v>
      </c>
    </row>
    <row r="195" spans="1:16" ht="31.5" x14ac:dyDescent="0.2">
      <c r="A195" s="40"/>
      <c r="B195" s="41" t="s">
        <v>97</v>
      </c>
      <c r="C195" s="42" t="s">
        <v>51</v>
      </c>
      <c r="D195" s="43" t="s">
        <v>254</v>
      </c>
      <c r="E195" s="43" t="s">
        <v>98</v>
      </c>
      <c r="F195" s="44" t="s">
        <v>11</v>
      </c>
      <c r="G195" s="45">
        <f t="shared" si="32"/>
        <v>1736</v>
      </c>
      <c r="H195" s="45">
        <f t="shared" si="32"/>
        <v>230</v>
      </c>
      <c r="I195" s="45">
        <f t="shared" si="32"/>
        <v>1966</v>
      </c>
      <c r="J195" s="46">
        <f t="shared" si="32"/>
        <v>0</v>
      </c>
      <c r="K195" s="45">
        <f>K196</f>
        <v>0</v>
      </c>
      <c r="L195" s="46">
        <f t="shared" si="32"/>
        <v>0</v>
      </c>
      <c r="M195" s="45">
        <f t="shared" si="32"/>
        <v>1736</v>
      </c>
      <c r="N195" s="45">
        <f t="shared" si="32"/>
        <v>230</v>
      </c>
      <c r="O195" s="45">
        <f t="shared" si="32"/>
        <v>1966</v>
      </c>
    </row>
    <row r="196" spans="1:16" ht="15.75" x14ac:dyDescent="0.2">
      <c r="A196" s="40"/>
      <c r="B196" s="41" t="s">
        <v>255</v>
      </c>
      <c r="C196" s="42" t="s">
        <v>51</v>
      </c>
      <c r="D196" s="43" t="s">
        <v>254</v>
      </c>
      <c r="E196" s="43" t="s">
        <v>256</v>
      </c>
      <c r="F196" s="44" t="s">
        <v>11</v>
      </c>
      <c r="G196" s="45">
        <f t="shared" si="32"/>
        <v>1736</v>
      </c>
      <c r="H196" s="45">
        <f t="shared" si="32"/>
        <v>230</v>
      </c>
      <c r="I196" s="45">
        <f t="shared" si="32"/>
        <v>1966</v>
      </c>
      <c r="J196" s="46">
        <f t="shared" si="32"/>
        <v>0</v>
      </c>
      <c r="K196" s="45">
        <f>K197</f>
        <v>0</v>
      </c>
      <c r="L196" s="46">
        <f t="shared" si="32"/>
        <v>0</v>
      </c>
      <c r="M196" s="45">
        <f t="shared" si="32"/>
        <v>1736</v>
      </c>
      <c r="N196" s="45">
        <f t="shared" si="32"/>
        <v>230</v>
      </c>
      <c r="O196" s="45">
        <f t="shared" si="32"/>
        <v>1966</v>
      </c>
    </row>
    <row r="197" spans="1:16" ht="31.5" x14ac:dyDescent="0.2">
      <c r="A197" s="40"/>
      <c r="B197" s="41" t="s">
        <v>257</v>
      </c>
      <c r="C197" s="42" t="s">
        <v>51</v>
      </c>
      <c r="D197" s="43" t="s">
        <v>254</v>
      </c>
      <c r="E197" s="43" t="s">
        <v>258</v>
      </c>
      <c r="F197" s="44" t="s">
        <v>11</v>
      </c>
      <c r="G197" s="45">
        <f t="shared" si="32"/>
        <v>1736</v>
      </c>
      <c r="H197" s="45">
        <f t="shared" si="32"/>
        <v>230</v>
      </c>
      <c r="I197" s="45">
        <f t="shared" si="32"/>
        <v>1966</v>
      </c>
      <c r="J197" s="46">
        <f t="shared" si="32"/>
        <v>0</v>
      </c>
      <c r="K197" s="45">
        <f>K198</f>
        <v>0</v>
      </c>
      <c r="L197" s="46">
        <f t="shared" si="32"/>
        <v>0</v>
      </c>
      <c r="M197" s="45">
        <f t="shared" si="32"/>
        <v>1736</v>
      </c>
      <c r="N197" s="45">
        <f t="shared" si="32"/>
        <v>230</v>
      </c>
      <c r="O197" s="45">
        <f t="shared" si="32"/>
        <v>1966</v>
      </c>
    </row>
    <row r="198" spans="1:16" ht="32.450000000000003" customHeight="1" x14ac:dyDescent="0.2">
      <c r="A198" s="40"/>
      <c r="B198" s="41" t="s">
        <v>103</v>
      </c>
      <c r="C198" s="42" t="s">
        <v>51</v>
      </c>
      <c r="D198" s="43" t="s">
        <v>254</v>
      </c>
      <c r="E198" s="43" t="s">
        <v>259</v>
      </c>
      <c r="F198" s="44" t="s">
        <v>11</v>
      </c>
      <c r="G198" s="45">
        <f>G199</f>
        <v>1736</v>
      </c>
      <c r="H198" s="38">
        <v>230</v>
      </c>
      <c r="I198" s="45">
        <f>I199</f>
        <v>1966</v>
      </c>
      <c r="J198" s="46">
        <f t="shared" si="32"/>
        <v>0</v>
      </c>
      <c r="K198" s="45"/>
      <c r="L198" s="46">
        <f t="shared" si="32"/>
        <v>0</v>
      </c>
      <c r="M198" s="45">
        <f t="shared" si="32"/>
        <v>1736</v>
      </c>
      <c r="N198" s="45">
        <f t="shared" si="32"/>
        <v>230</v>
      </c>
      <c r="O198" s="45">
        <f t="shared" si="32"/>
        <v>1966</v>
      </c>
    </row>
    <row r="199" spans="1:16" ht="31.5" x14ac:dyDescent="0.2">
      <c r="A199" s="40"/>
      <c r="B199" s="41" t="s">
        <v>40</v>
      </c>
      <c r="C199" s="42" t="s">
        <v>51</v>
      </c>
      <c r="D199" s="43" t="s">
        <v>254</v>
      </c>
      <c r="E199" s="43" t="s">
        <v>259</v>
      </c>
      <c r="F199" s="44" t="s">
        <v>41</v>
      </c>
      <c r="G199" s="45">
        <v>1736</v>
      </c>
      <c r="H199" s="38">
        <v>230</v>
      </c>
      <c r="I199" s="45">
        <f>1736+H199</f>
        <v>1966</v>
      </c>
      <c r="J199" s="47">
        <v>0</v>
      </c>
      <c r="K199" s="38"/>
      <c r="L199" s="47">
        <v>0</v>
      </c>
      <c r="M199" s="45">
        <v>1736</v>
      </c>
      <c r="N199" s="45">
        <f>SUM(H199)</f>
        <v>230</v>
      </c>
      <c r="O199" s="45">
        <f>1736+N199</f>
        <v>1966</v>
      </c>
    </row>
    <row r="200" spans="1:16" ht="24" customHeight="1" x14ac:dyDescent="0.2">
      <c r="A200" s="33" t="s">
        <v>260</v>
      </c>
      <c r="B200" s="34" t="s">
        <v>261</v>
      </c>
      <c r="C200" s="35" t="s">
        <v>51</v>
      </c>
      <c r="D200" s="36" t="s">
        <v>262</v>
      </c>
      <c r="E200" s="36" t="s">
        <v>11</v>
      </c>
      <c r="F200" s="37" t="s">
        <v>11</v>
      </c>
      <c r="G200" s="38">
        <f>G201+G228+G223</f>
        <v>22703.699999999997</v>
      </c>
      <c r="H200" s="45">
        <f>H201+H241+H239+H224+H234</f>
        <v>9276.5</v>
      </c>
      <c r="I200" s="38">
        <f>I201+I228+I223</f>
        <v>31980.199999999997</v>
      </c>
      <c r="J200" s="39">
        <f>J201+J228</f>
        <v>13560.400000000001</v>
      </c>
      <c r="K200" s="45">
        <f>K201</f>
        <v>0</v>
      </c>
      <c r="L200" s="39">
        <f>L201+L228</f>
        <v>13560.400000000001</v>
      </c>
      <c r="M200" s="38">
        <f>M201+M223+M228</f>
        <v>36264.1</v>
      </c>
      <c r="N200" s="45">
        <f>N201+N241+N239+N224+N234</f>
        <v>9276.5</v>
      </c>
      <c r="O200" s="38">
        <f>O201+O223+O228</f>
        <v>45540.6</v>
      </c>
      <c r="P200" s="15"/>
    </row>
    <row r="201" spans="1:16" ht="47.25" x14ac:dyDescent="0.2">
      <c r="A201" s="40"/>
      <c r="B201" s="41" t="s">
        <v>230</v>
      </c>
      <c r="C201" s="42" t="s">
        <v>51</v>
      </c>
      <c r="D201" s="43" t="s">
        <v>262</v>
      </c>
      <c r="E201" s="43" t="s">
        <v>231</v>
      </c>
      <c r="F201" s="44" t="s">
        <v>11</v>
      </c>
      <c r="G201" s="45">
        <f>G202+G212</f>
        <v>16481.099999999999</v>
      </c>
      <c r="H201" s="45">
        <f>H202+H212</f>
        <v>2223.5</v>
      </c>
      <c r="I201" s="45">
        <f>I202+I212</f>
        <v>18704.599999999999</v>
      </c>
      <c r="J201" s="46">
        <f>J202+J212</f>
        <v>13560.400000000001</v>
      </c>
      <c r="K201" s="45">
        <f>K202</f>
        <v>0</v>
      </c>
      <c r="L201" s="46">
        <f>L202+L212</f>
        <v>13560.400000000001</v>
      </c>
      <c r="M201" s="45">
        <f>M202+M212</f>
        <v>30041.5</v>
      </c>
      <c r="N201" s="45">
        <f>N202+N212</f>
        <v>2223.5</v>
      </c>
      <c r="O201" s="45">
        <f>O202+O212</f>
        <v>32265</v>
      </c>
      <c r="P201" s="16"/>
    </row>
    <row r="202" spans="1:16" ht="36" customHeight="1" x14ac:dyDescent="0.2">
      <c r="A202" s="40"/>
      <c r="B202" s="41" t="s">
        <v>263</v>
      </c>
      <c r="C202" s="42" t="s">
        <v>51</v>
      </c>
      <c r="D202" s="43" t="s">
        <v>262</v>
      </c>
      <c r="E202" s="43" t="s">
        <v>264</v>
      </c>
      <c r="F202" s="44" t="s">
        <v>11</v>
      </c>
      <c r="G202" s="45">
        <f>G203</f>
        <v>1449.1000000000001</v>
      </c>
      <c r="H202" s="45">
        <f>H203</f>
        <v>0</v>
      </c>
      <c r="I202" s="45">
        <f>I203</f>
        <v>1449.1000000000001</v>
      </c>
      <c r="J202" s="46">
        <f>J203</f>
        <v>13560.400000000001</v>
      </c>
      <c r="K202" s="45">
        <f>K203</f>
        <v>0</v>
      </c>
      <c r="L202" s="46">
        <f>L203</f>
        <v>13560.400000000001</v>
      </c>
      <c r="M202" s="45">
        <f>M203</f>
        <v>15009.500000000002</v>
      </c>
      <c r="N202" s="45">
        <f>N203</f>
        <v>0</v>
      </c>
      <c r="O202" s="45">
        <f>O203</f>
        <v>15009.500000000002</v>
      </c>
    </row>
    <row r="203" spans="1:16" ht="47.25" x14ac:dyDescent="0.2">
      <c r="A203" s="40"/>
      <c r="B203" s="41" t="s">
        <v>265</v>
      </c>
      <c r="C203" s="42" t="s">
        <v>51</v>
      </c>
      <c r="D203" s="43" t="s">
        <v>262</v>
      </c>
      <c r="E203" s="43" t="s">
        <v>266</v>
      </c>
      <c r="F203" s="44" t="s">
        <v>11</v>
      </c>
      <c r="G203" s="45">
        <f>G210+G204+G206+G208</f>
        <v>1449.1000000000001</v>
      </c>
      <c r="H203" s="45">
        <f>H210+H204+H206+H208</f>
        <v>0</v>
      </c>
      <c r="I203" s="45">
        <f>I210+I204+I206+I208</f>
        <v>1449.1000000000001</v>
      </c>
      <c r="J203" s="46">
        <f>SUM(J210)+J206+J208</f>
        <v>13560.400000000001</v>
      </c>
      <c r="K203" s="45">
        <f>K210+K204+K206+K208</f>
        <v>0</v>
      </c>
      <c r="L203" s="46">
        <f>SUM(L210)+L206+L208</f>
        <v>13560.400000000001</v>
      </c>
      <c r="M203" s="45">
        <f>SUM(G202+J202)</f>
        <v>15009.500000000002</v>
      </c>
      <c r="N203" s="45">
        <f>SUM(H203+K203)</f>
        <v>0</v>
      </c>
      <c r="O203" s="45">
        <f>SUM(I202+L202)</f>
        <v>15009.500000000002</v>
      </c>
    </row>
    <row r="204" spans="1:16" ht="31.5" x14ac:dyDescent="0.2">
      <c r="A204" s="40"/>
      <c r="B204" s="69" t="s">
        <v>267</v>
      </c>
      <c r="C204" s="42">
        <v>992</v>
      </c>
      <c r="D204" s="43" t="s">
        <v>262</v>
      </c>
      <c r="E204" s="57" t="s">
        <v>268</v>
      </c>
      <c r="F204" s="44"/>
      <c r="G204" s="45">
        <v>735.3</v>
      </c>
      <c r="H204" s="45">
        <f>SUM(H205)</f>
        <v>0</v>
      </c>
      <c r="I204" s="45">
        <f>SUM(G204)</f>
        <v>735.3</v>
      </c>
      <c r="J204" s="46"/>
      <c r="K204" s="45"/>
      <c r="L204" s="46"/>
      <c r="M204" s="45">
        <f>SUM(G204)</f>
        <v>735.3</v>
      </c>
      <c r="N204" s="45">
        <f>SUM(N205)</f>
        <v>0</v>
      </c>
      <c r="O204" s="45">
        <f>SUM(M204)</f>
        <v>735.3</v>
      </c>
    </row>
    <row r="205" spans="1:16" ht="31.5" x14ac:dyDescent="0.2">
      <c r="A205" s="40"/>
      <c r="B205" s="41" t="s">
        <v>40</v>
      </c>
      <c r="C205" s="42">
        <v>992</v>
      </c>
      <c r="D205" s="43" t="s">
        <v>262</v>
      </c>
      <c r="E205" s="57" t="s">
        <v>268</v>
      </c>
      <c r="F205" s="44">
        <v>200</v>
      </c>
      <c r="G205" s="45">
        <v>735.3</v>
      </c>
      <c r="H205" s="45"/>
      <c r="I205" s="45">
        <f>SUM(G205)</f>
        <v>735.3</v>
      </c>
      <c r="J205" s="46"/>
      <c r="K205" s="45"/>
      <c r="L205" s="46"/>
      <c r="M205" s="45">
        <f>SUM(G205)</f>
        <v>735.3</v>
      </c>
      <c r="N205" s="45">
        <f>SUM(H205)</f>
        <v>0</v>
      </c>
      <c r="O205" s="45">
        <f>SUM(M205)</f>
        <v>735.3</v>
      </c>
    </row>
    <row r="206" spans="1:16" ht="30.75" customHeight="1" x14ac:dyDescent="0.2">
      <c r="A206" s="40"/>
      <c r="B206" s="41" t="s">
        <v>548</v>
      </c>
      <c r="C206" s="42">
        <v>992</v>
      </c>
      <c r="D206" s="43" t="s">
        <v>262</v>
      </c>
      <c r="E206" s="43" t="s">
        <v>547</v>
      </c>
      <c r="F206" s="44"/>
      <c r="G206" s="45">
        <v>0</v>
      </c>
      <c r="H206" s="45"/>
      <c r="I206" s="45">
        <f>SUM(G207)+H206</f>
        <v>0</v>
      </c>
      <c r="J206" s="46">
        <f>SUM(J207)</f>
        <v>0</v>
      </c>
      <c r="K206" s="45"/>
      <c r="L206" s="46">
        <f>SUM(J206)+K206</f>
        <v>0</v>
      </c>
      <c r="M206" s="45">
        <f t="shared" ref="M206:O207" si="33">SUM(G206+J206)</f>
        <v>0</v>
      </c>
      <c r="N206" s="45">
        <f t="shared" si="33"/>
        <v>0</v>
      </c>
      <c r="O206" s="45">
        <f t="shared" si="33"/>
        <v>0</v>
      </c>
    </row>
    <row r="207" spans="1:16" ht="30.75" customHeight="1" x14ac:dyDescent="0.2">
      <c r="A207" s="40"/>
      <c r="B207" s="41" t="s">
        <v>40</v>
      </c>
      <c r="C207" s="42">
        <v>992</v>
      </c>
      <c r="D207" s="43" t="s">
        <v>262</v>
      </c>
      <c r="E207" s="43" t="s">
        <v>547</v>
      </c>
      <c r="F207" s="44">
        <v>200</v>
      </c>
      <c r="G207" s="45">
        <v>0</v>
      </c>
      <c r="H207" s="45"/>
      <c r="I207" s="45">
        <v>0</v>
      </c>
      <c r="J207" s="46">
        <v>0</v>
      </c>
      <c r="K207" s="45"/>
      <c r="L207" s="46">
        <f>SUM(J207)+K207</f>
        <v>0</v>
      </c>
      <c r="M207" s="45">
        <f t="shared" si="33"/>
        <v>0</v>
      </c>
      <c r="N207" s="45">
        <f t="shared" si="33"/>
        <v>0</v>
      </c>
      <c r="O207" s="45">
        <f t="shared" si="33"/>
        <v>0</v>
      </c>
    </row>
    <row r="208" spans="1:16" ht="30.75" customHeight="1" x14ac:dyDescent="0.2">
      <c r="A208" s="40"/>
      <c r="B208" s="41" t="s">
        <v>548</v>
      </c>
      <c r="C208" s="42">
        <v>992</v>
      </c>
      <c r="D208" s="43" t="s">
        <v>262</v>
      </c>
      <c r="E208" s="43" t="s">
        <v>561</v>
      </c>
      <c r="F208" s="44"/>
      <c r="G208" s="45">
        <v>294.2</v>
      </c>
      <c r="H208" s="45"/>
      <c r="I208" s="45">
        <f>SUM(G208)</f>
        <v>294.2</v>
      </c>
      <c r="J208" s="46">
        <v>5589.3</v>
      </c>
      <c r="K208" s="45"/>
      <c r="L208" s="46">
        <f>SUM(J208)</f>
        <v>5589.3</v>
      </c>
      <c r="M208" s="45">
        <f t="shared" ref="M208:O209" si="34">SUM(G208)+J208</f>
        <v>5883.5</v>
      </c>
      <c r="N208" s="45">
        <f t="shared" si="34"/>
        <v>0</v>
      </c>
      <c r="O208" s="45">
        <f t="shared" si="34"/>
        <v>5883.5</v>
      </c>
    </row>
    <row r="209" spans="1:15" ht="30.75" customHeight="1" x14ac:dyDescent="0.2">
      <c r="A209" s="40"/>
      <c r="B209" s="41" t="s">
        <v>40</v>
      </c>
      <c r="C209" s="42">
        <v>992</v>
      </c>
      <c r="D209" s="43" t="s">
        <v>262</v>
      </c>
      <c r="E209" s="43" t="s">
        <v>561</v>
      </c>
      <c r="F209" s="44">
        <v>200</v>
      </c>
      <c r="G209" s="45">
        <v>294.2</v>
      </c>
      <c r="H209" s="45"/>
      <c r="I209" s="45">
        <f>SUM(G209)</f>
        <v>294.2</v>
      </c>
      <c r="J209" s="46">
        <v>5589.3</v>
      </c>
      <c r="K209" s="45"/>
      <c r="L209" s="46">
        <f>SUM(J209)</f>
        <v>5589.3</v>
      </c>
      <c r="M209" s="45">
        <f t="shared" si="34"/>
        <v>5883.5</v>
      </c>
      <c r="N209" s="45">
        <f t="shared" si="34"/>
        <v>0</v>
      </c>
      <c r="O209" s="45">
        <f t="shared" si="34"/>
        <v>5883.5</v>
      </c>
    </row>
    <row r="210" spans="1:15" ht="47.25" x14ac:dyDescent="0.2">
      <c r="A210" s="40"/>
      <c r="B210" s="41" t="s">
        <v>269</v>
      </c>
      <c r="C210" s="42" t="s">
        <v>51</v>
      </c>
      <c r="D210" s="43" t="s">
        <v>262</v>
      </c>
      <c r="E210" s="43" t="s">
        <v>270</v>
      </c>
      <c r="F210" s="44" t="s">
        <v>11</v>
      </c>
      <c r="G210" s="45">
        <f>G211</f>
        <v>419.6</v>
      </c>
      <c r="H210" s="45">
        <f>SUM(H211)</f>
        <v>0</v>
      </c>
      <c r="I210" s="45">
        <f>I211</f>
        <v>419.6</v>
      </c>
      <c r="J210" s="46">
        <f>J211</f>
        <v>7971.1</v>
      </c>
      <c r="K210" s="45">
        <f>SUM(K211)</f>
        <v>0</v>
      </c>
      <c r="L210" s="46">
        <f>L211</f>
        <v>7971.1</v>
      </c>
      <c r="M210" s="45">
        <f>M211</f>
        <v>8390.7000000000007</v>
      </c>
      <c r="N210" s="45">
        <f>N211</f>
        <v>0</v>
      </c>
      <c r="O210" s="45">
        <f>O211</f>
        <v>8390.7000000000007</v>
      </c>
    </row>
    <row r="211" spans="1:15" ht="31.5" x14ac:dyDescent="0.2">
      <c r="A211" s="40"/>
      <c r="B211" s="41" t="s">
        <v>40</v>
      </c>
      <c r="C211" s="42" t="s">
        <v>51</v>
      </c>
      <c r="D211" s="43" t="s">
        <v>262</v>
      </c>
      <c r="E211" s="43" t="s">
        <v>270</v>
      </c>
      <c r="F211" s="44" t="s">
        <v>41</v>
      </c>
      <c r="G211" s="45">
        <v>419.6</v>
      </c>
      <c r="H211" s="45"/>
      <c r="I211" s="45">
        <f>419.6+H211</f>
        <v>419.6</v>
      </c>
      <c r="J211" s="47">
        <v>7971.1</v>
      </c>
      <c r="K211" s="45"/>
      <c r="L211" s="47">
        <f>7971.1+K211</f>
        <v>7971.1</v>
      </c>
      <c r="M211" s="45">
        <f>419.6+J211</f>
        <v>8390.7000000000007</v>
      </c>
      <c r="N211" s="45">
        <f>SUM(H211+K211)</f>
        <v>0</v>
      </c>
      <c r="O211" s="45">
        <f>SUM(I211+L211)</f>
        <v>8390.7000000000007</v>
      </c>
    </row>
    <row r="212" spans="1:15" ht="31.5" x14ac:dyDescent="0.2">
      <c r="A212" s="40"/>
      <c r="B212" s="41" t="s">
        <v>185</v>
      </c>
      <c r="C212" s="42" t="s">
        <v>51</v>
      </c>
      <c r="D212" s="43" t="s">
        <v>262</v>
      </c>
      <c r="E212" s="43" t="s">
        <v>271</v>
      </c>
      <c r="F212" s="44" t="s">
        <v>11</v>
      </c>
      <c r="G212" s="45">
        <f>G213+G220+G217</f>
        <v>15032</v>
      </c>
      <c r="H212" s="45">
        <f>H213+H217+H220</f>
        <v>2223.5</v>
      </c>
      <c r="I212" s="45">
        <f>I213+I220+I217</f>
        <v>17255.5</v>
      </c>
      <c r="J212" s="46">
        <f>J213+J220</f>
        <v>0</v>
      </c>
      <c r="K212" s="45">
        <f>K213</f>
        <v>0</v>
      </c>
      <c r="L212" s="46">
        <f>L213+L220</f>
        <v>0</v>
      </c>
      <c r="M212" s="45">
        <f>M213+M220+M217</f>
        <v>15032</v>
      </c>
      <c r="N212" s="45">
        <f>SUM(H212)</f>
        <v>2223.5</v>
      </c>
      <c r="O212" s="45">
        <f>O213+O220+O217</f>
        <v>17255.5</v>
      </c>
    </row>
    <row r="213" spans="1:15" ht="51.6" customHeight="1" x14ac:dyDescent="0.2">
      <c r="A213" s="40"/>
      <c r="B213" s="41" t="s">
        <v>272</v>
      </c>
      <c r="C213" s="42" t="s">
        <v>51</v>
      </c>
      <c r="D213" s="43" t="s">
        <v>262</v>
      </c>
      <c r="E213" s="43" t="s">
        <v>273</v>
      </c>
      <c r="F213" s="44" t="s">
        <v>11</v>
      </c>
      <c r="G213" s="45">
        <f>G214</f>
        <v>8158.5999999999995</v>
      </c>
      <c r="H213" s="45">
        <f>H214+H215</f>
        <v>966</v>
      </c>
      <c r="I213" s="45">
        <f>I214</f>
        <v>9124.6</v>
      </c>
      <c r="J213" s="46">
        <f>J214</f>
        <v>0</v>
      </c>
      <c r="K213" s="45">
        <f>K214+K215</f>
        <v>0</v>
      </c>
      <c r="L213" s="46">
        <f>L214</f>
        <v>0</v>
      </c>
      <c r="M213" s="45">
        <f>M214</f>
        <v>8158.5999999999995</v>
      </c>
      <c r="N213" s="45">
        <f>N214</f>
        <v>966</v>
      </c>
      <c r="O213" s="45">
        <f>O214</f>
        <v>9124.6</v>
      </c>
    </row>
    <row r="214" spans="1:15" ht="31.5" x14ac:dyDescent="0.2">
      <c r="A214" s="40"/>
      <c r="B214" s="41" t="s">
        <v>134</v>
      </c>
      <c r="C214" s="42" t="s">
        <v>51</v>
      </c>
      <c r="D214" s="43" t="s">
        <v>262</v>
      </c>
      <c r="E214" s="43" t="s">
        <v>274</v>
      </c>
      <c r="F214" s="44" t="s">
        <v>11</v>
      </c>
      <c r="G214" s="45">
        <f>G215+G216</f>
        <v>8158.5999999999995</v>
      </c>
      <c r="H214" s="45">
        <f>SUM(H216)</f>
        <v>0</v>
      </c>
      <c r="I214" s="45">
        <f>I215+I216</f>
        <v>9124.6</v>
      </c>
      <c r="J214" s="46">
        <f>J215+J216</f>
        <v>0</v>
      </c>
      <c r="K214" s="45"/>
      <c r="L214" s="46">
        <f>L215+L216</f>
        <v>0</v>
      </c>
      <c r="M214" s="45">
        <f>M215+M216</f>
        <v>8158.5999999999995</v>
      </c>
      <c r="N214" s="45">
        <f>N215+N216</f>
        <v>966</v>
      </c>
      <c r="O214" s="45">
        <f>O215+O216</f>
        <v>9124.6</v>
      </c>
    </row>
    <row r="215" spans="1:15" ht="78.75" x14ac:dyDescent="0.2">
      <c r="A215" s="40"/>
      <c r="B215" s="41" t="s">
        <v>61</v>
      </c>
      <c r="C215" s="42" t="s">
        <v>51</v>
      </c>
      <c r="D215" s="43" t="s">
        <v>262</v>
      </c>
      <c r="E215" s="43" t="s">
        <v>274</v>
      </c>
      <c r="F215" s="44" t="s">
        <v>62</v>
      </c>
      <c r="G215" s="45">
        <v>7905.2</v>
      </c>
      <c r="H215" s="45">
        <v>966</v>
      </c>
      <c r="I215" s="45">
        <f>7905.2+H215</f>
        <v>8871.2000000000007</v>
      </c>
      <c r="J215" s="47">
        <v>0</v>
      </c>
      <c r="K215" s="45"/>
      <c r="L215" s="47">
        <v>0</v>
      </c>
      <c r="M215" s="45">
        <v>7905.2</v>
      </c>
      <c r="N215" s="45">
        <f>SUM(H215)</f>
        <v>966</v>
      </c>
      <c r="O215" s="45">
        <f>7905.2+N215</f>
        <v>8871.2000000000007</v>
      </c>
    </row>
    <row r="216" spans="1:15" ht="31.5" x14ac:dyDescent="0.2">
      <c r="A216" s="40"/>
      <c r="B216" s="41" t="s">
        <v>40</v>
      </c>
      <c r="C216" s="42" t="s">
        <v>51</v>
      </c>
      <c r="D216" s="43" t="s">
        <v>262</v>
      </c>
      <c r="E216" s="43" t="s">
        <v>274</v>
      </c>
      <c r="F216" s="44" t="s">
        <v>41</v>
      </c>
      <c r="G216" s="45">
        <v>253.4</v>
      </c>
      <c r="H216" s="45"/>
      <c r="I216" s="45">
        <f>SUM(G216)</f>
        <v>253.4</v>
      </c>
      <c r="J216" s="47">
        <v>0</v>
      </c>
      <c r="K216" s="45"/>
      <c r="L216" s="47">
        <v>0</v>
      </c>
      <c r="M216" s="45">
        <f t="shared" ref="M216:N219" si="35">SUM(G216)</f>
        <v>253.4</v>
      </c>
      <c r="N216" s="45">
        <f t="shared" si="35"/>
        <v>0</v>
      </c>
      <c r="O216" s="45">
        <f>SUM(M216)</f>
        <v>253.4</v>
      </c>
    </row>
    <row r="217" spans="1:15" ht="15.75" x14ac:dyDescent="0.2">
      <c r="A217" s="40"/>
      <c r="B217" s="41" t="s">
        <v>275</v>
      </c>
      <c r="C217" s="42">
        <v>992</v>
      </c>
      <c r="D217" s="43" t="s">
        <v>262</v>
      </c>
      <c r="E217" s="57" t="s">
        <v>276</v>
      </c>
      <c r="F217" s="44"/>
      <c r="G217" s="45">
        <f>SUM(G219)</f>
        <v>600</v>
      </c>
      <c r="H217" s="45"/>
      <c r="I217" s="45">
        <f>SUM(H217)+G217</f>
        <v>600</v>
      </c>
      <c r="J217" s="47"/>
      <c r="K217" s="45"/>
      <c r="L217" s="47"/>
      <c r="M217" s="45">
        <f t="shared" si="35"/>
        <v>600</v>
      </c>
      <c r="N217" s="45">
        <f t="shared" si="35"/>
        <v>0</v>
      </c>
      <c r="O217" s="45">
        <f>SUM(I217)</f>
        <v>600</v>
      </c>
    </row>
    <row r="218" spans="1:15" ht="15.75" x14ac:dyDescent="0.2">
      <c r="A218" s="40"/>
      <c r="B218" s="41" t="s">
        <v>277</v>
      </c>
      <c r="C218" s="42">
        <v>992</v>
      </c>
      <c r="D218" s="43" t="s">
        <v>262</v>
      </c>
      <c r="E218" s="57" t="s">
        <v>276</v>
      </c>
      <c r="F218" s="44"/>
      <c r="G218" s="45">
        <f>SUM(F218)+G219</f>
        <v>600</v>
      </c>
      <c r="H218" s="45"/>
      <c r="I218" s="45">
        <f>SUM(H218)+G218</f>
        <v>600</v>
      </c>
      <c r="J218" s="47"/>
      <c r="K218" s="45"/>
      <c r="L218" s="47"/>
      <c r="M218" s="45">
        <f t="shared" si="35"/>
        <v>600</v>
      </c>
      <c r="N218" s="45">
        <f t="shared" si="35"/>
        <v>0</v>
      </c>
      <c r="O218" s="45">
        <f>SUM(I218)</f>
        <v>600</v>
      </c>
    </row>
    <row r="219" spans="1:15" ht="31.5" x14ac:dyDescent="0.2">
      <c r="A219" s="40"/>
      <c r="B219" s="41" t="s">
        <v>40</v>
      </c>
      <c r="C219" s="42">
        <v>992</v>
      </c>
      <c r="D219" s="43" t="s">
        <v>262</v>
      </c>
      <c r="E219" s="57" t="s">
        <v>278</v>
      </c>
      <c r="F219" s="44">
        <v>200</v>
      </c>
      <c r="G219" s="45">
        <v>600</v>
      </c>
      <c r="H219" s="45"/>
      <c r="I219" s="45">
        <f>SUM(H219)+G219</f>
        <v>600</v>
      </c>
      <c r="J219" s="47"/>
      <c r="K219" s="45"/>
      <c r="L219" s="47"/>
      <c r="M219" s="45">
        <f t="shared" si="35"/>
        <v>600</v>
      </c>
      <c r="N219" s="45">
        <f t="shared" si="35"/>
        <v>0</v>
      </c>
      <c r="O219" s="45">
        <f>SUM(I219)</f>
        <v>600</v>
      </c>
    </row>
    <row r="220" spans="1:15" ht="52.15" customHeight="1" x14ac:dyDescent="0.2">
      <c r="A220" s="40"/>
      <c r="B220" s="41" t="s">
        <v>279</v>
      </c>
      <c r="C220" s="42" t="s">
        <v>51</v>
      </c>
      <c r="D220" s="43" t="s">
        <v>262</v>
      </c>
      <c r="E220" s="43" t="s">
        <v>280</v>
      </c>
      <c r="F220" s="44" t="s">
        <v>11</v>
      </c>
      <c r="G220" s="45">
        <f t="shared" ref="G220:O221" si="36">G221</f>
        <v>6273.4</v>
      </c>
      <c r="H220" s="45">
        <f t="shared" si="36"/>
        <v>1257.5</v>
      </c>
      <c r="I220" s="45">
        <f t="shared" si="36"/>
        <v>7530.9</v>
      </c>
      <c r="J220" s="46">
        <f t="shared" si="36"/>
        <v>0</v>
      </c>
      <c r="K220" s="45">
        <f t="shared" si="36"/>
        <v>0</v>
      </c>
      <c r="L220" s="46">
        <f t="shared" si="36"/>
        <v>0</v>
      </c>
      <c r="M220" s="45">
        <f t="shared" si="36"/>
        <v>6273.4</v>
      </c>
      <c r="N220" s="45">
        <f t="shared" si="36"/>
        <v>1257.5</v>
      </c>
      <c r="O220" s="45">
        <f t="shared" si="36"/>
        <v>7530.9</v>
      </c>
    </row>
    <row r="221" spans="1:15" ht="31.5" x14ac:dyDescent="0.2">
      <c r="A221" s="40"/>
      <c r="B221" s="41" t="s">
        <v>134</v>
      </c>
      <c r="C221" s="42" t="s">
        <v>51</v>
      </c>
      <c r="D221" s="43" t="s">
        <v>262</v>
      </c>
      <c r="E221" s="43" t="s">
        <v>281</v>
      </c>
      <c r="F221" s="44" t="s">
        <v>11</v>
      </c>
      <c r="G221" s="45">
        <f t="shared" si="36"/>
        <v>6273.4</v>
      </c>
      <c r="H221" s="45">
        <f>SUM(H222)</f>
        <v>1257.5</v>
      </c>
      <c r="I221" s="45">
        <f t="shared" si="36"/>
        <v>7530.9</v>
      </c>
      <c r="J221" s="46">
        <f t="shared" si="36"/>
        <v>0</v>
      </c>
      <c r="K221" s="45"/>
      <c r="L221" s="46">
        <f t="shared" si="36"/>
        <v>0</v>
      </c>
      <c r="M221" s="45">
        <f t="shared" si="36"/>
        <v>6273.4</v>
      </c>
      <c r="N221" s="45">
        <f t="shared" si="36"/>
        <v>1257.5</v>
      </c>
      <c r="O221" s="45">
        <f t="shared" si="36"/>
        <v>7530.9</v>
      </c>
    </row>
    <row r="222" spans="1:15" ht="37.9" customHeight="1" x14ac:dyDescent="0.2">
      <c r="A222" s="40"/>
      <c r="B222" s="41" t="s">
        <v>95</v>
      </c>
      <c r="C222" s="42" t="s">
        <v>51</v>
      </c>
      <c r="D222" s="43" t="s">
        <v>262</v>
      </c>
      <c r="E222" s="43" t="s">
        <v>281</v>
      </c>
      <c r="F222" s="44" t="s">
        <v>96</v>
      </c>
      <c r="G222" s="45">
        <v>6273.4</v>
      </c>
      <c r="H222" s="45">
        <f>365.5+892</f>
        <v>1257.5</v>
      </c>
      <c r="I222" s="45">
        <f>6273.4+H222</f>
        <v>7530.9</v>
      </c>
      <c r="J222" s="47">
        <v>0</v>
      </c>
      <c r="K222" s="45"/>
      <c r="L222" s="47">
        <v>0</v>
      </c>
      <c r="M222" s="45">
        <v>6273.4</v>
      </c>
      <c r="N222" s="45">
        <f>SUM(H222)</f>
        <v>1257.5</v>
      </c>
      <c r="O222" s="45">
        <f>6273.4+N222</f>
        <v>7530.9</v>
      </c>
    </row>
    <row r="223" spans="1:15" ht="37.9" customHeight="1" x14ac:dyDescent="0.2">
      <c r="A223" s="40"/>
      <c r="B223" s="68" t="s">
        <v>282</v>
      </c>
      <c r="C223" s="42">
        <v>992</v>
      </c>
      <c r="D223" s="43" t="s">
        <v>262</v>
      </c>
      <c r="E223" s="57" t="s">
        <v>248</v>
      </c>
      <c r="F223" s="44"/>
      <c r="G223" s="45">
        <f>SUM(G226)</f>
        <v>1159</v>
      </c>
      <c r="H223" s="45">
        <f>SUM(H226)+H224</f>
        <v>6590.5</v>
      </c>
      <c r="I223" s="45">
        <f>SUM(G223)+H223</f>
        <v>7749.5</v>
      </c>
      <c r="J223" s="47"/>
      <c r="K223" s="45"/>
      <c r="L223" s="47"/>
      <c r="M223" s="45">
        <f>SUM(G223)</f>
        <v>1159</v>
      </c>
      <c r="N223" s="45">
        <f t="shared" ref="N223:O227" si="37">SUM(H223)</f>
        <v>6590.5</v>
      </c>
      <c r="O223" s="45">
        <f t="shared" si="37"/>
        <v>7749.5</v>
      </c>
    </row>
    <row r="224" spans="1:15" ht="43.5" customHeight="1" x14ac:dyDescent="0.2">
      <c r="A224" s="40"/>
      <c r="B224" s="56" t="s">
        <v>134</v>
      </c>
      <c r="C224" s="42">
        <v>992</v>
      </c>
      <c r="D224" s="43" t="s">
        <v>262</v>
      </c>
      <c r="E224" s="57" t="s">
        <v>251</v>
      </c>
      <c r="F224" s="44"/>
      <c r="G224" s="45"/>
      <c r="H224" s="45">
        <f>SUM(H225)</f>
        <v>6590.5</v>
      </c>
      <c r="I224" s="45">
        <f>SUM(I225)</f>
        <v>6590.5</v>
      </c>
      <c r="J224" s="47"/>
      <c r="K224" s="45"/>
      <c r="L224" s="47"/>
      <c r="M224" s="45"/>
      <c r="N224" s="45">
        <f>SUM(H224)</f>
        <v>6590.5</v>
      </c>
      <c r="O224" s="45">
        <f>SUM(I224)</f>
        <v>6590.5</v>
      </c>
    </row>
    <row r="225" spans="1:15" ht="46.5" customHeight="1" x14ac:dyDescent="0.2">
      <c r="A225" s="40"/>
      <c r="B225" s="41" t="s">
        <v>95</v>
      </c>
      <c r="C225" s="42">
        <v>992</v>
      </c>
      <c r="D225" s="43" t="s">
        <v>262</v>
      </c>
      <c r="E225" s="57" t="s">
        <v>251</v>
      </c>
      <c r="F225" s="44">
        <v>600</v>
      </c>
      <c r="G225" s="45"/>
      <c r="H225" s="45">
        <f>4775.1+1815.4</f>
        <v>6590.5</v>
      </c>
      <c r="I225" s="45">
        <f>4775.1+1815.4</f>
        <v>6590.5</v>
      </c>
      <c r="J225" s="47"/>
      <c r="K225" s="45"/>
      <c r="L225" s="47"/>
      <c r="M225" s="45"/>
      <c r="N225" s="45">
        <f>SUM(H225)</f>
        <v>6590.5</v>
      </c>
      <c r="O225" s="45">
        <f>SUM(I225)</f>
        <v>6590.5</v>
      </c>
    </row>
    <row r="226" spans="1:15" ht="54" customHeight="1" x14ac:dyDescent="0.2">
      <c r="A226" s="40"/>
      <c r="B226" s="67" t="s">
        <v>283</v>
      </c>
      <c r="C226" s="42">
        <v>992</v>
      </c>
      <c r="D226" s="43" t="s">
        <v>262</v>
      </c>
      <c r="E226" s="57" t="s">
        <v>284</v>
      </c>
      <c r="F226" s="44"/>
      <c r="G226" s="45">
        <f>SUM(G227)</f>
        <v>1159</v>
      </c>
      <c r="H226" s="45">
        <f>SUM(H227)</f>
        <v>0</v>
      </c>
      <c r="I226" s="45">
        <f>SUM(G226)+H226</f>
        <v>1159</v>
      </c>
      <c r="J226" s="47"/>
      <c r="K226" s="45"/>
      <c r="L226" s="47"/>
      <c r="M226" s="45">
        <f>SUM(G227)</f>
        <v>1159</v>
      </c>
      <c r="N226" s="45">
        <f t="shared" si="37"/>
        <v>0</v>
      </c>
      <c r="O226" s="45">
        <f t="shared" si="37"/>
        <v>1159</v>
      </c>
    </row>
    <row r="227" spans="1:15" ht="37.9" customHeight="1" x14ac:dyDescent="0.2">
      <c r="A227" s="40"/>
      <c r="B227" s="41" t="s">
        <v>95</v>
      </c>
      <c r="C227" s="42">
        <v>992</v>
      </c>
      <c r="D227" s="43" t="s">
        <v>262</v>
      </c>
      <c r="E227" s="57" t="s">
        <v>284</v>
      </c>
      <c r="F227" s="44">
        <v>600</v>
      </c>
      <c r="G227" s="45">
        <v>1159</v>
      </c>
      <c r="H227" s="45"/>
      <c r="I227" s="45">
        <f>SUM(G227)+H227</f>
        <v>1159</v>
      </c>
      <c r="J227" s="47"/>
      <c r="K227" s="45"/>
      <c r="L227" s="47"/>
      <c r="M227" s="45">
        <f>SUM(G227)</f>
        <v>1159</v>
      </c>
      <c r="N227" s="45">
        <f t="shared" si="37"/>
        <v>0</v>
      </c>
      <c r="O227" s="45">
        <f t="shared" si="37"/>
        <v>1159</v>
      </c>
    </row>
    <row r="228" spans="1:15" ht="31.5" x14ac:dyDescent="0.2">
      <c r="A228" s="40"/>
      <c r="B228" s="41" t="s">
        <v>218</v>
      </c>
      <c r="C228" s="42" t="s">
        <v>51</v>
      </c>
      <c r="D228" s="43" t="s">
        <v>262</v>
      </c>
      <c r="E228" s="43" t="s">
        <v>219</v>
      </c>
      <c r="F228" s="44" t="s">
        <v>11</v>
      </c>
      <c r="G228" s="45">
        <f>G229+G234+G241</f>
        <v>5063.6000000000004</v>
      </c>
      <c r="H228" s="45">
        <f>H229+H234</f>
        <v>462.5</v>
      </c>
      <c r="I228" s="45">
        <f>I229+I234+I241</f>
        <v>5526.1</v>
      </c>
      <c r="J228" s="46">
        <f>J229+J234+J241</f>
        <v>0</v>
      </c>
      <c r="K228" s="45">
        <f>K229</f>
        <v>0</v>
      </c>
      <c r="L228" s="46">
        <f>L229+L234+L241</f>
        <v>0</v>
      </c>
      <c r="M228" s="45">
        <f>M229+M234+M241</f>
        <v>5063.6000000000004</v>
      </c>
      <c r="N228" s="45">
        <f>N229+N234+N241</f>
        <v>462.5</v>
      </c>
      <c r="O228" s="45">
        <f>O229+O234+O241</f>
        <v>5526.1</v>
      </c>
    </row>
    <row r="229" spans="1:15" ht="31.5" x14ac:dyDescent="0.2">
      <c r="A229" s="40"/>
      <c r="B229" s="41" t="s">
        <v>285</v>
      </c>
      <c r="C229" s="42" t="s">
        <v>51</v>
      </c>
      <c r="D229" s="43" t="s">
        <v>262</v>
      </c>
      <c r="E229" s="43" t="s">
        <v>286</v>
      </c>
      <c r="F229" s="44" t="s">
        <v>11</v>
      </c>
      <c r="G229" s="45">
        <f>G230</f>
        <v>330</v>
      </c>
      <c r="H229" s="45">
        <f>H230</f>
        <v>0</v>
      </c>
      <c r="I229" s="45">
        <f>I230</f>
        <v>330</v>
      </c>
      <c r="J229" s="46">
        <f t="shared" ref="J229:O230" si="38">J230</f>
        <v>0</v>
      </c>
      <c r="K229" s="45">
        <f>K230</f>
        <v>0</v>
      </c>
      <c r="L229" s="46">
        <f t="shared" si="38"/>
        <v>0</v>
      </c>
      <c r="M229" s="45">
        <f t="shared" si="38"/>
        <v>330</v>
      </c>
      <c r="N229" s="45">
        <f t="shared" si="38"/>
        <v>0</v>
      </c>
      <c r="O229" s="45">
        <f t="shared" si="38"/>
        <v>330</v>
      </c>
    </row>
    <row r="230" spans="1:15" ht="31.5" x14ac:dyDescent="0.2">
      <c r="A230" s="40"/>
      <c r="B230" s="41" t="s">
        <v>287</v>
      </c>
      <c r="C230" s="42" t="s">
        <v>51</v>
      </c>
      <c r="D230" s="43" t="s">
        <v>262</v>
      </c>
      <c r="E230" s="43" t="s">
        <v>288</v>
      </c>
      <c r="F230" s="44" t="s">
        <v>11</v>
      </c>
      <c r="G230" s="45">
        <f>G231</f>
        <v>330</v>
      </c>
      <c r="H230" s="45">
        <f>H232+H231</f>
        <v>0</v>
      </c>
      <c r="I230" s="45">
        <f>I231</f>
        <v>330</v>
      </c>
      <c r="J230" s="46">
        <f t="shared" si="38"/>
        <v>0</v>
      </c>
      <c r="K230" s="45">
        <f>K232+K231</f>
        <v>0</v>
      </c>
      <c r="L230" s="46">
        <f t="shared" si="38"/>
        <v>0</v>
      </c>
      <c r="M230" s="45">
        <f t="shared" si="38"/>
        <v>330</v>
      </c>
      <c r="N230" s="45">
        <f t="shared" si="38"/>
        <v>0</v>
      </c>
      <c r="O230" s="45">
        <f t="shared" si="38"/>
        <v>330</v>
      </c>
    </row>
    <row r="231" spans="1:15" ht="31.5" x14ac:dyDescent="0.2">
      <c r="A231" s="40"/>
      <c r="B231" s="41" t="s">
        <v>285</v>
      </c>
      <c r="C231" s="42" t="s">
        <v>51</v>
      </c>
      <c r="D231" s="43" t="s">
        <v>262</v>
      </c>
      <c r="E231" s="43" t="s">
        <v>289</v>
      </c>
      <c r="F231" s="44" t="s">
        <v>11</v>
      </c>
      <c r="G231" s="45">
        <f>G233+G232</f>
        <v>330</v>
      </c>
      <c r="H231" s="45"/>
      <c r="I231" s="45">
        <f>I233+I232</f>
        <v>330</v>
      </c>
      <c r="J231" s="46">
        <f>J233+J232</f>
        <v>0</v>
      </c>
      <c r="K231" s="45"/>
      <c r="L231" s="46">
        <f>L233+L232</f>
        <v>0</v>
      </c>
      <c r="M231" s="45">
        <f>M233+M232</f>
        <v>330</v>
      </c>
      <c r="N231" s="45">
        <f>N233+N232</f>
        <v>0</v>
      </c>
      <c r="O231" s="45">
        <f>O233+O232</f>
        <v>330</v>
      </c>
    </row>
    <row r="232" spans="1:15" ht="31.5" x14ac:dyDescent="0.2">
      <c r="A232" s="40"/>
      <c r="B232" s="41" t="s">
        <v>40</v>
      </c>
      <c r="C232" s="42" t="s">
        <v>51</v>
      </c>
      <c r="D232" s="43" t="s">
        <v>262</v>
      </c>
      <c r="E232" s="43" t="s">
        <v>289</v>
      </c>
      <c r="F232" s="44">
        <v>200</v>
      </c>
      <c r="G232" s="45">
        <v>200</v>
      </c>
      <c r="H232" s="45"/>
      <c r="I232" s="45">
        <v>200</v>
      </c>
      <c r="J232" s="46">
        <v>0</v>
      </c>
      <c r="K232" s="45"/>
      <c r="L232" s="46">
        <v>0</v>
      </c>
      <c r="M232" s="45">
        <v>200</v>
      </c>
      <c r="N232" s="45"/>
      <c r="O232" s="45">
        <v>200</v>
      </c>
    </row>
    <row r="233" spans="1:15" ht="15.75" x14ac:dyDescent="0.2">
      <c r="A233" s="40"/>
      <c r="B233" s="41" t="s">
        <v>70</v>
      </c>
      <c r="C233" s="42" t="s">
        <v>51</v>
      </c>
      <c r="D233" s="43" t="s">
        <v>262</v>
      </c>
      <c r="E233" s="43" t="s">
        <v>289</v>
      </c>
      <c r="F233" s="44" t="s">
        <v>71</v>
      </c>
      <c r="G233" s="45">
        <v>130</v>
      </c>
      <c r="H233" s="45"/>
      <c r="I233" s="45">
        <v>130</v>
      </c>
      <c r="J233" s="47">
        <v>0</v>
      </c>
      <c r="K233" s="45"/>
      <c r="L233" s="47">
        <v>0</v>
      </c>
      <c r="M233" s="45">
        <v>130</v>
      </c>
      <c r="N233" s="45"/>
      <c r="O233" s="45">
        <v>130</v>
      </c>
    </row>
    <row r="234" spans="1:15" ht="31.5" x14ac:dyDescent="0.2">
      <c r="A234" s="40"/>
      <c r="B234" s="41" t="s">
        <v>290</v>
      </c>
      <c r="C234" s="42" t="s">
        <v>51</v>
      </c>
      <c r="D234" s="43" t="s">
        <v>262</v>
      </c>
      <c r="E234" s="43" t="s">
        <v>291</v>
      </c>
      <c r="F234" s="44" t="s">
        <v>11</v>
      </c>
      <c r="G234" s="45">
        <f t="shared" ref="G234:O235" si="39">G235</f>
        <v>3933.6</v>
      </c>
      <c r="H234" s="45">
        <f t="shared" si="39"/>
        <v>462.5</v>
      </c>
      <c r="I234" s="45">
        <f t="shared" si="39"/>
        <v>4396.1000000000004</v>
      </c>
      <c r="J234" s="46">
        <f t="shared" si="39"/>
        <v>0</v>
      </c>
      <c r="K234" s="45">
        <f t="shared" si="39"/>
        <v>0</v>
      </c>
      <c r="L234" s="46">
        <f t="shared" si="39"/>
        <v>0</v>
      </c>
      <c r="M234" s="45">
        <f t="shared" si="39"/>
        <v>3933.6</v>
      </c>
      <c r="N234" s="45">
        <f t="shared" si="39"/>
        <v>462.5</v>
      </c>
      <c r="O234" s="45">
        <f t="shared" si="39"/>
        <v>4396.1000000000004</v>
      </c>
    </row>
    <row r="235" spans="1:15" ht="47.25" x14ac:dyDescent="0.2">
      <c r="A235" s="40"/>
      <c r="B235" s="41" t="s">
        <v>292</v>
      </c>
      <c r="C235" s="42" t="s">
        <v>51</v>
      </c>
      <c r="D235" s="43" t="s">
        <v>262</v>
      </c>
      <c r="E235" s="43" t="s">
        <v>293</v>
      </c>
      <c r="F235" s="44" t="s">
        <v>11</v>
      </c>
      <c r="G235" s="45">
        <f t="shared" si="39"/>
        <v>3933.6</v>
      </c>
      <c r="H235" s="45">
        <f t="shared" si="39"/>
        <v>462.5</v>
      </c>
      <c r="I235" s="45">
        <f t="shared" si="39"/>
        <v>4396.1000000000004</v>
      </c>
      <c r="J235" s="46">
        <f t="shared" si="39"/>
        <v>0</v>
      </c>
      <c r="K235" s="45">
        <f>K236+K237</f>
        <v>0</v>
      </c>
      <c r="L235" s="46">
        <f t="shared" si="39"/>
        <v>0</v>
      </c>
      <c r="M235" s="45">
        <f t="shared" si="39"/>
        <v>3933.6</v>
      </c>
      <c r="N235" s="45">
        <f>SUM(H235)</f>
        <v>462.5</v>
      </c>
      <c r="O235" s="45">
        <f t="shared" si="39"/>
        <v>4396.1000000000004</v>
      </c>
    </row>
    <row r="236" spans="1:15" ht="31.5" x14ac:dyDescent="0.2">
      <c r="A236" s="40"/>
      <c r="B236" s="41" t="s">
        <v>134</v>
      </c>
      <c r="C236" s="42" t="s">
        <v>51</v>
      </c>
      <c r="D236" s="43" t="s">
        <v>262</v>
      </c>
      <c r="E236" s="43" t="s">
        <v>294</v>
      </c>
      <c r="F236" s="44" t="s">
        <v>11</v>
      </c>
      <c r="G236" s="45">
        <f>G237+G238</f>
        <v>3933.6</v>
      </c>
      <c r="H236" s="45">
        <v>462.5</v>
      </c>
      <c r="I236" s="45">
        <f>I237+I238</f>
        <v>4396.1000000000004</v>
      </c>
      <c r="J236" s="46">
        <f>J237+J238</f>
        <v>0</v>
      </c>
      <c r="K236" s="45"/>
      <c r="L236" s="46">
        <f>L237+L238</f>
        <v>0</v>
      </c>
      <c r="M236" s="45">
        <f>M237+M238</f>
        <v>3933.6</v>
      </c>
      <c r="N236" s="45">
        <f>N237+N238</f>
        <v>462.5</v>
      </c>
      <c r="O236" s="45">
        <f>O237+O238</f>
        <v>4396.1000000000004</v>
      </c>
    </row>
    <row r="237" spans="1:15" ht="78.75" x14ac:dyDescent="0.2">
      <c r="A237" s="40"/>
      <c r="B237" s="41" t="s">
        <v>61</v>
      </c>
      <c r="C237" s="42" t="s">
        <v>51</v>
      </c>
      <c r="D237" s="43" t="s">
        <v>262</v>
      </c>
      <c r="E237" s="43" t="s">
        <v>294</v>
      </c>
      <c r="F237" s="44" t="s">
        <v>62</v>
      </c>
      <c r="G237" s="45">
        <v>3788.1</v>
      </c>
      <c r="H237" s="45">
        <v>462.5</v>
      </c>
      <c r="I237" s="45">
        <f>3788.1+H237</f>
        <v>4250.6000000000004</v>
      </c>
      <c r="J237" s="47">
        <v>0</v>
      </c>
      <c r="K237" s="45"/>
      <c r="L237" s="47">
        <v>0</v>
      </c>
      <c r="M237" s="45">
        <v>3788.1</v>
      </c>
      <c r="N237" s="45">
        <f>SUM(H237)</f>
        <v>462.5</v>
      </c>
      <c r="O237" s="45">
        <f>3788.1+N237</f>
        <v>4250.6000000000004</v>
      </c>
    </row>
    <row r="238" spans="1:15" ht="31.5" x14ac:dyDescent="0.2">
      <c r="A238" s="40"/>
      <c r="B238" s="41" t="s">
        <v>40</v>
      </c>
      <c r="C238" s="42" t="s">
        <v>51</v>
      </c>
      <c r="D238" s="43" t="s">
        <v>262</v>
      </c>
      <c r="E238" s="43" t="s">
        <v>294</v>
      </c>
      <c r="F238" s="44" t="s">
        <v>41</v>
      </c>
      <c r="G238" s="45">
        <v>145.5</v>
      </c>
      <c r="H238" s="45"/>
      <c r="I238" s="45">
        <v>145.5</v>
      </c>
      <c r="J238" s="47">
        <v>0</v>
      </c>
      <c r="K238" s="45"/>
      <c r="L238" s="47">
        <v>0</v>
      </c>
      <c r="M238" s="45">
        <v>145.5</v>
      </c>
      <c r="N238" s="45"/>
      <c r="O238" s="45">
        <v>145.5</v>
      </c>
    </row>
    <row r="239" spans="1:15" ht="63" x14ac:dyDescent="0.2">
      <c r="A239" s="40"/>
      <c r="B239" s="56" t="s">
        <v>560</v>
      </c>
      <c r="C239" s="42">
        <v>992</v>
      </c>
      <c r="D239" s="43" t="s">
        <v>262</v>
      </c>
      <c r="E239" s="43" t="s">
        <v>559</v>
      </c>
      <c r="F239" s="44"/>
      <c r="G239" s="45"/>
      <c r="H239" s="45"/>
      <c r="I239" s="45">
        <f>SUM(H239)</f>
        <v>0</v>
      </c>
      <c r="J239" s="47"/>
      <c r="K239" s="45"/>
      <c r="L239" s="47"/>
      <c r="M239" s="45"/>
      <c r="N239" s="45">
        <f>SUM(H239)</f>
        <v>0</v>
      </c>
      <c r="O239" s="45">
        <f>SUM(H239)</f>
        <v>0</v>
      </c>
    </row>
    <row r="240" spans="1:15" ht="15.75" x14ac:dyDescent="0.2">
      <c r="A240" s="40"/>
      <c r="B240" s="41" t="s">
        <v>47</v>
      </c>
      <c r="C240" s="42">
        <v>992</v>
      </c>
      <c r="D240" s="43" t="s">
        <v>262</v>
      </c>
      <c r="E240" s="43" t="s">
        <v>559</v>
      </c>
      <c r="F240" s="44">
        <v>500</v>
      </c>
      <c r="G240" s="45"/>
      <c r="H240" s="45"/>
      <c r="I240" s="45">
        <f>SUM(H240)</f>
        <v>0</v>
      </c>
      <c r="J240" s="47"/>
      <c r="K240" s="45"/>
      <c r="L240" s="47"/>
      <c r="M240" s="45"/>
      <c r="N240" s="45">
        <f>SUM(H240)</f>
        <v>0</v>
      </c>
      <c r="O240" s="45">
        <f>SUM(H240)</f>
        <v>0</v>
      </c>
    </row>
    <row r="241" spans="1:16" ht="63" x14ac:dyDescent="0.2">
      <c r="A241" s="40"/>
      <c r="B241" s="41" t="s">
        <v>295</v>
      </c>
      <c r="C241" s="42" t="s">
        <v>51</v>
      </c>
      <c r="D241" s="43" t="s">
        <v>262</v>
      </c>
      <c r="E241" s="43" t="s">
        <v>296</v>
      </c>
      <c r="F241" s="44" t="s">
        <v>11</v>
      </c>
      <c r="G241" s="45">
        <f t="shared" ref="G241:O243" si="40">G242</f>
        <v>800</v>
      </c>
      <c r="H241" s="45">
        <f t="shared" si="40"/>
        <v>0</v>
      </c>
      <c r="I241" s="45">
        <f t="shared" si="40"/>
        <v>800</v>
      </c>
      <c r="J241" s="46">
        <f t="shared" si="40"/>
        <v>0</v>
      </c>
      <c r="K241" s="45">
        <f>K242</f>
        <v>0</v>
      </c>
      <c r="L241" s="46">
        <f t="shared" si="40"/>
        <v>0</v>
      </c>
      <c r="M241" s="45">
        <f t="shared" si="40"/>
        <v>800</v>
      </c>
      <c r="N241" s="45">
        <f t="shared" si="40"/>
        <v>0</v>
      </c>
      <c r="O241" s="45">
        <f t="shared" si="40"/>
        <v>800</v>
      </c>
    </row>
    <row r="242" spans="1:16" ht="47.25" x14ac:dyDescent="0.2">
      <c r="A242" s="40"/>
      <c r="B242" s="41" t="s">
        <v>297</v>
      </c>
      <c r="C242" s="42" t="s">
        <v>51</v>
      </c>
      <c r="D242" s="43" t="s">
        <v>262</v>
      </c>
      <c r="E242" s="43" t="s">
        <v>298</v>
      </c>
      <c r="F242" s="44" t="s">
        <v>11</v>
      </c>
      <c r="G242" s="45">
        <f t="shared" si="40"/>
        <v>800</v>
      </c>
      <c r="H242" s="45">
        <f>H243</f>
        <v>0</v>
      </c>
      <c r="I242" s="45">
        <f t="shared" si="40"/>
        <v>800</v>
      </c>
      <c r="J242" s="46">
        <f t="shared" si="40"/>
        <v>0</v>
      </c>
      <c r="K242" s="45">
        <f>K243</f>
        <v>0</v>
      </c>
      <c r="L242" s="46">
        <f t="shared" si="40"/>
        <v>0</v>
      </c>
      <c r="M242" s="45">
        <f t="shared" si="40"/>
        <v>800</v>
      </c>
      <c r="N242" s="45">
        <f t="shared" si="40"/>
        <v>0</v>
      </c>
      <c r="O242" s="45">
        <f t="shared" si="40"/>
        <v>800</v>
      </c>
    </row>
    <row r="243" spans="1:16" ht="31.5" x14ac:dyDescent="0.2">
      <c r="A243" s="40"/>
      <c r="B243" s="41" t="s">
        <v>299</v>
      </c>
      <c r="C243" s="42" t="s">
        <v>51</v>
      </c>
      <c r="D243" s="43" t="s">
        <v>262</v>
      </c>
      <c r="E243" s="43" t="s">
        <v>300</v>
      </c>
      <c r="F243" s="44" t="s">
        <v>11</v>
      </c>
      <c r="G243" s="45">
        <f>G244</f>
        <v>800</v>
      </c>
      <c r="H243" s="25"/>
      <c r="I243" s="45">
        <f>I244</f>
        <v>800</v>
      </c>
      <c r="J243" s="46">
        <f t="shared" si="40"/>
        <v>0</v>
      </c>
      <c r="K243" s="45"/>
      <c r="L243" s="46">
        <f t="shared" si="40"/>
        <v>0</v>
      </c>
      <c r="M243" s="45">
        <f t="shared" si="40"/>
        <v>800</v>
      </c>
      <c r="N243" s="45">
        <f t="shared" si="40"/>
        <v>0</v>
      </c>
      <c r="O243" s="45">
        <f t="shared" si="40"/>
        <v>800</v>
      </c>
    </row>
    <row r="244" spans="1:16" ht="31.5" x14ac:dyDescent="0.2">
      <c r="A244" s="40"/>
      <c r="B244" s="41" t="s">
        <v>40</v>
      </c>
      <c r="C244" s="42" t="s">
        <v>51</v>
      </c>
      <c r="D244" s="43" t="s">
        <v>262</v>
      </c>
      <c r="E244" s="43" t="s">
        <v>300</v>
      </c>
      <c r="F244" s="44" t="s">
        <v>41</v>
      </c>
      <c r="G244" s="45">
        <v>800</v>
      </c>
      <c r="H244" s="25"/>
      <c r="I244" s="45">
        <f>SUM(G244)</f>
        <v>800</v>
      </c>
      <c r="J244" s="47"/>
      <c r="K244" s="25"/>
      <c r="L244" s="47"/>
      <c r="M244" s="45">
        <f>SUM(G244)</f>
        <v>800</v>
      </c>
      <c r="N244" s="45">
        <f>SUM(H244)</f>
        <v>0</v>
      </c>
      <c r="O244" s="45">
        <f>SUM(I244)</f>
        <v>800</v>
      </c>
    </row>
    <row r="245" spans="1:16" ht="15.75" x14ac:dyDescent="0.2">
      <c r="A245" s="20" t="s">
        <v>301</v>
      </c>
      <c r="B245" s="21" t="s">
        <v>302</v>
      </c>
      <c r="C245" s="42" t="s">
        <v>51</v>
      </c>
      <c r="D245" s="43" t="s">
        <v>303</v>
      </c>
      <c r="E245" s="43" t="s">
        <v>11</v>
      </c>
      <c r="F245" s="44" t="s">
        <v>11</v>
      </c>
      <c r="G245" s="25">
        <f>G246+G259+G291+G345</f>
        <v>255707.09999999998</v>
      </c>
      <c r="H245" s="25">
        <f>H246+H259+H291+H345</f>
        <v>-19865.100000000006</v>
      </c>
      <c r="I245" s="25">
        <f>I246+I259+I291+I345</f>
        <v>235842</v>
      </c>
      <c r="J245" s="26">
        <f>J246+J259+J291+J345</f>
        <v>2425519.4000000004</v>
      </c>
      <c r="K245" s="38">
        <f>K246+K259+K291</f>
        <v>600</v>
      </c>
      <c r="L245" s="26">
        <f>L246+L259+L291+L345</f>
        <v>2426119.4000000004</v>
      </c>
      <c r="M245" s="25">
        <f>M246+M259+M291+M345</f>
        <v>2681226.5</v>
      </c>
      <c r="N245" s="25">
        <f>N246+N259+N291+N345</f>
        <v>-19265.100000000006</v>
      </c>
      <c r="O245" s="25">
        <f>O246+O259+O291+O345</f>
        <v>2661961.4</v>
      </c>
      <c r="P245" s="17"/>
    </row>
    <row r="246" spans="1:16" ht="15.75" x14ac:dyDescent="0.2">
      <c r="A246" s="33" t="s">
        <v>304</v>
      </c>
      <c r="B246" s="34" t="s">
        <v>305</v>
      </c>
      <c r="C246" s="42" t="s">
        <v>51</v>
      </c>
      <c r="D246" s="43" t="s">
        <v>306</v>
      </c>
      <c r="E246" s="57" t="s">
        <v>231</v>
      </c>
      <c r="F246" s="44" t="s">
        <v>11</v>
      </c>
      <c r="G246" s="38">
        <f>G252+G247</f>
        <v>8442.5</v>
      </c>
      <c r="H246" s="45">
        <f>H252+H247</f>
        <v>1000</v>
      </c>
      <c r="I246" s="38">
        <f>I252+I247</f>
        <v>9442.5</v>
      </c>
      <c r="J246" s="39">
        <f>J252</f>
        <v>0</v>
      </c>
      <c r="K246" s="45">
        <f>K252</f>
        <v>0</v>
      </c>
      <c r="L246" s="39">
        <f>L252</f>
        <v>0</v>
      </c>
      <c r="M246" s="38">
        <f>M252+M247</f>
        <v>8442.5</v>
      </c>
      <c r="N246" s="45">
        <f>N252+N247</f>
        <v>1000</v>
      </c>
      <c r="O246" s="38">
        <f>O252+O247</f>
        <v>9442.5</v>
      </c>
    </row>
    <row r="247" spans="1:16" ht="31.5" x14ac:dyDescent="0.2">
      <c r="A247" s="33"/>
      <c r="B247" s="34" t="s">
        <v>307</v>
      </c>
      <c r="C247" s="42">
        <v>992</v>
      </c>
      <c r="D247" s="43" t="s">
        <v>306</v>
      </c>
      <c r="E247" s="57" t="s">
        <v>308</v>
      </c>
      <c r="F247" s="44"/>
      <c r="G247" s="38">
        <f>SUM(G248)</f>
        <v>1070</v>
      </c>
      <c r="H247" s="45">
        <f>SUM(H248)</f>
        <v>0</v>
      </c>
      <c r="I247" s="38">
        <f>SUM(G247)</f>
        <v>1070</v>
      </c>
      <c r="J247" s="39"/>
      <c r="K247" s="45"/>
      <c r="L247" s="39"/>
      <c r="M247" s="38">
        <f t="shared" ref="M247:O250" si="41">SUM(G247)</f>
        <v>1070</v>
      </c>
      <c r="N247" s="38">
        <f t="shared" si="41"/>
        <v>0</v>
      </c>
      <c r="O247" s="38">
        <f t="shared" si="41"/>
        <v>1070</v>
      </c>
    </row>
    <row r="248" spans="1:16" ht="31.5" x14ac:dyDescent="0.2">
      <c r="A248" s="33"/>
      <c r="B248" s="56" t="s">
        <v>309</v>
      </c>
      <c r="C248" s="42">
        <v>992</v>
      </c>
      <c r="D248" s="43" t="s">
        <v>306</v>
      </c>
      <c r="E248" s="57" t="s">
        <v>310</v>
      </c>
      <c r="F248" s="44"/>
      <c r="G248" s="38">
        <f>SUM(G250)+G249</f>
        <v>1070</v>
      </c>
      <c r="H248" s="45">
        <f>SUM(H250)+H249</f>
        <v>0</v>
      </c>
      <c r="I248" s="38">
        <f>SUM(G248)</f>
        <v>1070</v>
      </c>
      <c r="J248" s="39"/>
      <c r="K248" s="45"/>
      <c r="L248" s="39"/>
      <c r="M248" s="38">
        <f>SUM(G248)</f>
        <v>1070</v>
      </c>
      <c r="N248" s="38">
        <f t="shared" si="41"/>
        <v>0</v>
      </c>
      <c r="O248" s="38">
        <f t="shared" si="41"/>
        <v>1070</v>
      </c>
    </row>
    <row r="249" spans="1:16" ht="31.5" x14ac:dyDescent="0.2">
      <c r="A249" s="33"/>
      <c r="B249" s="41" t="s">
        <v>40</v>
      </c>
      <c r="C249" s="42">
        <v>992</v>
      </c>
      <c r="D249" s="43" t="s">
        <v>306</v>
      </c>
      <c r="E249" s="57" t="s">
        <v>310</v>
      </c>
      <c r="F249" s="44">
        <v>200</v>
      </c>
      <c r="G249" s="38">
        <v>151.30000000000001</v>
      </c>
      <c r="H249" s="45"/>
      <c r="I249" s="38">
        <f>SUM(G249)+H249</f>
        <v>151.30000000000001</v>
      </c>
      <c r="J249" s="39"/>
      <c r="K249" s="45"/>
      <c r="L249" s="39"/>
      <c r="M249" s="38">
        <f>SUM(G249)</f>
        <v>151.30000000000001</v>
      </c>
      <c r="N249" s="38">
        <f>SUM(H249)</f>
        <v>0</v>
      </c>
      <c r="O249" s="38">
        <f t="shared" si="41"/>
        <v>151.30000000000001</v>
      </c>
    </row>
    <row r="250" spans="1:16" ht="30" customHeight="1" x14ac:dyDescent="0.2">
      <c r="A250" s="33"/>
      <c r="B250" s="41" t="s">
        <v>225</v>
      </c>
      <c r="C250" s="42">
        <v>992</v>
      </c>
      <c r="D250" s="43" t="s">
        <v>306</v>
      </c>
      <c r="E250" s="57" t="s">
        <v>308</v>
      </c>
      <c r="F250" s="44">
        <v>400</v>
      </c>
      <c r="G250" s="38">
        <v>918.7</v>
      </c>
      <c r="H250" s="45"/>
      <c r="I250" s="38">
        <f>SUM(G250)+H250</f>
        <v>918.7</v>
      </c>
      <c r="J250" s="39"/>
      <c r="K250" s="45"/>
      <c r="L250" s="39"/>
      <c r="M250" s="38">
        <f>SUM(G250)</f>
        <v>918.7</v>
      </c>
      <c r="N250" s="38">
        <f t="shared" si="41"/>
        <v>0</v>
      </c>
      <c r="O250" s="38">
        <f t="shared" si="41"/>
        <v>918.7</v>
      </c>
    </row>
    <row r="251" spans="1:16" ht="15.75" hidden="1" x14ac:dyDescent="0.2">
      <c r="A251" s="33"/>
      <c r="B251" s="34"/>
      <c r="C251" s="35"/>
      <c r="D251" s="36"/>
      <c r="E251" s="36"/>
      <c r="F251" s="37"/>
      <c r="G251" s="38"/>
      <c r="H251" s="45"/>
      <c r="I251" s="38"/>
      <c r="J251" s="39"/>
      <c r="K251" s="45"/>
      <c r="L251" s="39"/>
      <c r="M251" s="38"/>
      <c r="N251" s="38"/>
      <c r="O251" s="38"/>
    </row>
    <row r="252" spans="1:16" ht="31.5" x14ac:dyDescent="0.2">
      <c r="A252" s="40"/>
      <c r="B252" s="41" t="s">
        <v>245</v>
      </c>
      <c r="C252" s="42" t="s">
        <v>51</v>
      </c>
      <c r="D252" s="43" t="s">
        <v>306</v>
      </c>
      <c r="E252" s="43" t="s">
        <v>246</v>
      </c>
      <c r="F252" s="44" t="s">
        <v>11</v>
      </c>
      <c r="G252" s="45">
        <f t="shared" ref="G252:O253" si="42">G253</f>
        <v>7372.5</v>
      </c>
      <c r="H252" s="45">
        <f t="shared" si="42"/>
        <v>1000</v>
      </c>
      <c r="I252" s="45">
        <f t="shared" si="42"/>
        <v>8372.5</v>
      </c>
      <c r="J252" s="46">
        <f t="shared" si="42"/>
        <v>0</v>
      </c>
      <c r="K252" s="45">
        <f>K253</f>
        <v>0</v>
      </c>
      <c r="L252" s="46">
        <f t="shared" si="42"/>
        <v>0</v>
      </c>
      <c r="M252" s="45">
        <f t="shared" si="42"/>
        <v>7372.5</v>
      </c>
      <c r="N252" s="45">
        <f t="shared" si="42"/>
        <v>1000</v>
      </c>
      <c r="O252" s="45">
        <f t="shared" si="42"/>
        <v>8372.5</v>
      </c>
    </row>
    <row r="253" spans="1:16" ht="31.5" x14ac:dyDescent="0.2">
      <c r="A253" s="40"/>
      <c r="B253" s="41" t="s">
        <v>311</v>
      </c>
      <c r="C253" s="42" t="s">
        <v>51</v>
      </c>
      <c r="D253" s="43" t="s">
        <v>306</v>
      </c>
      <c r="E253" s="43" t="s">
        <v>312</v>
      </c>
      <c r="F253" s="44" t="s">
        <v>11</v>
      </c>
      <c r="G253" s="45">
        <f>G254</f>
        <v>7372.5</v>
      </c>
      <c r="H253" s="45">
        <f>H254+H256</f>
        <v>1000</v>
      </c>
      <c r="I253" s="45">
        <f>I254</f>
        <v>8372.5</v>
      </c>
      <c r="J253" s="46">
        <f t="shared" si="42"/>
        <v>0</v>
      </c>
      <c r="K253" s="45">
        <f>K254+K256</f>
        <v>0</v>
      </c>
      <c r="L253" s="46">
        <f t="shared" si="42"/>
        <v>0</v>
      </c>
      <c r="M253" s="45">
        <f t="shared" si="42"/>
        <v>7372.5</v>
      </c>
      <c r="N253" s="45">
        <f t="shared" si="42"/>
        <v>1000</v>
      </c>
      <c r="O253" s="45">
        <f t="shared" si="42"/>
        <v>8372.5</v>
      </c>
    </row>
    <row r="254" spans="1:16" ht="31.5" x14ac:dyDescent="0.2">
      <c r="A254" s="40"/>
      <c r="B254" s="41" t="s">
        <v>313</v>
      </c>
      <c r="C254" s="42" t="s">
        <v>51</v>
      </c>
      <c r="D254" s="43" t="s">
        <v>306</v>
      </c>
      <c r="E254" s="43" t="s">
        <v>314</v>
      </c>
      <c r="F254" s="44" t="s">
        <v>11</v>
      </c>
      <c r="G254" s="45">
        <f>G255+G257</f>
        <v>7372.5</v>
      </c>
      <c r="H254" s="45">
        <f>H255+H257</f>
        <v>1000</v>
      </c>
      <c r="I254" s="45">
        <f>I255+I257</f>
        <v>8372.5</v>
      </c>
      <c r="J254" s="46">
        <f>J255+J257</f>
        <v>0</v>
      </c>
      <c r="K254" s="45">
        <f>K255</f>
        <v>0</v>
      </c>
      <c r="L254" s="46">
        <f>L255+L257</f>
        <v>0</v>
      </c>
      <c r="M254" s="45">
        <f>M255+M257</f>
        <v>7372.5</v>
      </c>
      <c r="N254" s="45">
        <f>N255+N257</f>
        <v>1000</v>
      </c>
      <c r="O254" s="45">
        <f>O255+O257</f>
        <v>8372.5</v>
      </c>
    </row>
    <row r="255" spans="1:16" ht="47.25" x14ac:dyDescent="0.2">
      <c r="A255" s="40"/>
      <c r="B255" s="41" t="s">
        <v>315</v>
      </c>
      <c r="C255" s="42" t="s">
        <v>51</v>
      </c>
      <c r="D255" s="43" t="s">
        <v>306</v>
      </c>
      <c r="E255" s="43" t="s">
        <v>316</v>
      </c>
      <c r="F255" s="44" t="s">
        <v>11</v>
      </c>
      <c r="G255" s="45">
        <f>G256</f>
        <v>2400</v>
      </c>
      <c r="H255" s="45"/>
      <c r="I255" s="45">
        <f>I256</f>
        <v>2400</v>
      </c>
      <c r="J255" s="46">
        <f>J256</f>
        <v>0</v>
      </c>
      <c r="K255" s="45"/>
      <c r="L255" s="46">
        <f>L256</f>
        <v>0</v>
      </c>
      <c r="M255" s="45">
        <f>M256</f>
        <v>2400</v>
      </c>
      <c r="N255" s="45">
        <f>N256</f>
        <v>0</v>
      </c>
      <c r="O255" s="45">
        <f>O256</f>
        <v>2400</v>
      </c>
    </row>
    <row r="256" spans="1:16" ht="31.5" x14ac:dyDescent="0.2">
      <c r="A256" s="40"/>
      <c r="B256" s="41" t="s">
        <v>40</v>
      </c>
      <c r="C256" s="42" t="s">
        <v>51</v>
      </c>
      <c r="D256" s="43" t="s">
        <v>306</v>
      </c>
      <c r="E256" s="43" t="s">
        <v>316</v>
      </c>
      <c r="F256" s="44" t="s">
        <v>41</v>
      </c>
      <c r="G256" s="45">
        <v>2400</v>
      </c>
      <c r="H256" s="45"/>
      <c r="I256" s="45">
        <v>2400</v>
      </c>
      <c r="J256" s="47"/>
      <c r="K256" s="45"/>
      <c r="L256" s="47"/>
      <c r="M256" s="45">
        <v>2400</v>
      </c>
      <c r="N256" s="45"/>
      <c r="O256" s="45">
        <v>2400</v>
      </c>
    </row>
    <row r="257" spans="1:16" ht="47.25" x14ac:dyDescent="0.2">
      <c r="A257" s="40"/>
      <c r="B257" s="41" t="s">
        <v>317</v>
      </c>
      <c r="C257" s="42" t="s">
        <v>51</v>
      </c>
      <c r="D257" s="43" t="s">
        <v>306</v>
      </c>
      <c r="E257" s="43" t="s">
        <v>318</v>
      </c>
      <c r="F257" s="44" t="s">
        <v>11</v>
      </c>
      <c r="G257" s="45">
        <f>G258</f>
        <v>4972.5</v>
      </c>
      <c r="H257" s="45">
        <f>H258</f>
        <v>1000</v>
      </c>
      <c r="I257" s="45">
        <f>I258</f>
        <v>5972.5</v>
      </c>
      <c r="J257" s="46">
        <f>J258</f>
        <v>0</v>
      </c>
      <c r="K257" s="48"/>
      <c r="L257" s="46">
        <f>L258</f>
        <v>0</v>
      </c>
      <c r="M257" s="45">
        <f>M258</f>
        <v>4972.5</v>
      </c>
      <c r="N257" s="45">
        <f>N258</f>
        <v>1000</v>
      </c>
      <c r="O257" s="45">
        <f>O258</f>
        <v>5972.5</v>
      </c>
    </row>
    <row r="258" spans="1:16" ht="31.5" x14ac:dyDescent="0.2">
      <c r="A258" s="40"/>
      <c r="B258" s="41" t="s">
        <v>40</v>
      </c>
      <c r="C258" s="42" t="s">
        <v>51</v>
      </c>
      <c r="D258" s="43" t="s">
        <v>306</v>
      </c>
      <c r="E258" s="43" t="s">
        <v>318</v>
      </c>
      <c r="F258" s="44" t="s">
        <v>41</v>
      </c>
      <c r="G258" s="48">
        <v>4972.5</v>
      </c>
      <c r="H258" s="66">
        <v>1000</v>
      </c>
      <c r="I258" s="48">
        <f>SUM(G258)+H258</f>
        <v>5972.5</v>
      </c>
      <c r="J258" s="47"/>
      <c r="K258" s="38"/>
      <c r="L258" s="47"/>
      <c r="M258" s="48">
        <f>SUM(G258)</f>
        <v>4972.5</v>
      </c>
      <c r="N258" s="48">
        <f>SUM(H258)</f>
        <v>1000</v>
      </c>
      <c r="O258" s="48">
        <f>SUM(M258)+N258</f>
        <v>5972.5</v>
      </c>
    </row>
    <row r="259" spans="1:16" ht="15.75" x14ac:dyDescent="0.2">
      <c r="A259" s="33" t="s">
        <v>319</v>
      </c>
      <c r="B259" s="34" t="s">
        <v>320</v>
      </c>
      <c r="C259" s="35" t="s">
        <v>51</v>
      </c>
      <c r="D259" s="36" t="s">
        <v>321</v>
      </c>
      <c r="E259" s="36" t="s">
        <v>11</v>
      </c>
      <c r="F259" s="37" t="s">
        <v>11</v>
      </c>
      <c r="G259" s="38">
        <f t="shared" ref="G259:O259" si="43">G260+G275</f>
        <v>63001.600000000006</v>
      </c>
      <c r="H259" s="45">
        <f t="shared" si="43"/>
        <v>43.5</v>
      </c>
      <c r="I259" s="38">
        <f t="shared" si="43"/>
        <v>63045.100000000006</v>
      </c>
      <c r="J259" s="39">
        <f t="shared" si="43"/>
        <v>2420884.4000000004</v>
      </c>
      <c r="K259" s="45">
        <f t="shared" si="43"/>
        <v>0</v>
      </c>
      <c r="L259" s="39">
        <f t="shared" si="43"/>
        <v>2420884.4000000004</v>
      </c>
      <c r="M259" s="78">
        <f t="shared" si="43"/>
        <v>2483886</v>
      </c>
      <c r="N259" s="45">
        <f t="shared" si="43"/>
        <v>43.5</v>
      </c>
      <c r="O259" s="78">
        <f t="shared" si="43"/>
        <v>2483929.5</v>
      </c>
      <c r="P259" s="15"/>
    </row>
    <row r="260" spans="1:16" ht="31.5" x14ac:dyDescent="0.2">
      <c r="A260" s="40"/>
      <c r="B260" s="41" t="s">
        <v>245</v>
      </c>
      <c r="C260" s="42" t="s">
        <v>51</v>
      </c>
      <c r="D260" s="43" t="s">
        <v>321</v>
      </c>
      <c r="E260" s="43" t="s">
        <v>246</v>
      </c>
      <c r="F260" s="44" t="s">
        <v>11</v>
      </c>
      <c r="G260" s="45">
        <f>G261+G272</f>
        <v>26299.800000000003</v>
      </c>
      <c r="H260" s="45">
        <f>H261+H272</f>
        <v>0</v>
      </c>
      <c r="I260" s="45">
        <f>I261+I272</f>
        <v>26299.800000000003</v>
      </c>
      <c r="J260" s="46">
        <f t="shared" ref="G260:O261" si="44">J261</f>
        <v>2301493.8000000003</v>
      </c>
      <c r="K260" s="45">
        <f t="shared" si="44"/>
        <v>0</v>
      </c>
      <c r="L260" s="46">
        <f t="shared" si="44"/>
        <v>2301493.8000000003</v>
      </c>
      <c r="M260" s="45">
        <f>M261+M272</f>
        <v>2327793.6</v>
      </c>
      <c r="N260" s="45">
        <f>SUM(N272)+N261</f>
        <v>0</v>
      </c>
      <c r="O260" s="45">
        <f>O261+O272</f>
        <v>2327793.6</v>
      </c>
      <c r="P260" s="16"/>
    </row>
    <row r="261" spans="1:16" ht="31.5" x14ac:dyDescent="0.2">
      <c r="A261" s="40"/>
      <c r="B261" s="41" t="s">
        <v>322</v>
      </c>
      <c r="C261" s="42" t="s">
        <v>51</v>
      </c>
      <c r="D261" s="43" t="s">
        <v>321</v>
      </c>
      <c r="E261" s="43" t="s">
        <v>323</v>
      </c>
      <c r="F261" s="44" t="s">
        <v>11</v>
      </c>
      <c r="G261" s="45">
        <f t="shared" si="44"/>
        <v>14792.900000000001</v>
      </c>
      <c r="H261" s="45">
        <f>SUM(H262)</f>
        <v>0</v>
      </c>
      <c r="I261" s="45">
        <f t="shared" si="44"/>
        <v>14792.900000000001</v>
      </c>
      <c r="J261" s="46">
        <f t="shared" si="44"/>
        <v>2301493.8000000003</v>
      </c>
      <c r="K261" s="45">
        <f>SUM(K262)</f>
        <v>0</v>
      </c>
      <c r="L261" s="46">
        <f t="shared" si="44"/>
        <v>2301493.8000000003</v>
      </c>
      <c r="M261" s="45">
        <f t="shared" si="44"/>
        <v>2316286.7000000002</v>
      </c>
      <c r="N261" s="45">
        <f t="shared" si="44"/>
        <v>0</v>
      </c>
      <c r="O261" s="45">
        <f t="shared" si="44"/>
        <v>2316286.7000000002</v>
      </c>
      <c r="P261" s="16"/>
    </row>
    <row r="262" spans="1:16" ht="47.25" x14ac:dyDescent="0.2">
      <c r="A262" s="40"/>
      <c r="B262" s="41" t="s">
        <v>324</v>
      </c>
      <c r="C262" s="42" t="s">
        <v>51</v>
      </c>
      <c r="D262" s="43" t="s">
        <v>321</v>
      </c>
      <c r="E262" s="43" t="s">
        <v>325</v>
      </c>
      <c r="F262" s="44" t="s">
        <v>11</v>
      </c>
      <c r="G262" s="45">
        <f>G263+G266+G268+G270</f>
        <v>14792.900000000001</v>
      </c>
      <c r="H262" s="45">
        <f>H263+H268</f>
        <v>0</v>
      </c>
      <c r="I262" s="45">
        <f>I263+I266+I268+I270</f>
        <v>14792.900000000001</v>
      </c>
      <c r="J262" s="46">
        <f>J263+J266+J268+J270</f>
        <v>2301493.8000000003</v>
      </c>
      <c r="K262" s="45">
        <f>K263</f>
        <v>0</v>
      </c>
      <c r="L262" s="46">
        <f>L263+L266+L268+L270</f>
        <v>2301493.8000000003</v>
      </c>
      <c r="M262" s="45">
        <f>M263+M266+M268+M270</f>
        <v>2316286.7000000002</v>
      </c>
      <c r="N262" s="45">
        <f>N263+N266+N268+N270</f>
        <v>0</v>
      </c>
      <c r="O262" s="45">
        <f>O263+O266+O268+O270</f>
        <v>2316286.7000000002</v>
      </c>
      <c r="P262" s="16"/>
    </row>
    <row r="263" spans="1:16" ht="15.75" x14ac:dyDescent="0.2">
      <c r="A263" s="40"/>
      <c r="B263" s="41" t="s">
        <v>326</v>
      </c>
      <c r="C263" s="42" t="s">
        <v>51</v>
      </c>
      <c r="D263" s="43" t="s">
        <v>321</v>
      </c>
      <c r="E263" s="43" t="s">
        <v>327</v>
      </c>
      <c r="F263" s="44" t="s">
        <v>11</v>
      </c>
      <c r="G263" s="45">
        <f>G264+G265</f>
        <v>2286.1</v>
      </c>
      <c r="H263" s="45">
        <f>SUM(H264)+H265</f>
        <v>0</v>
      </c>
      <c r="I263" s="45">
        <f>I264+I265</f>
        <v>2286.1</v>
      </c>
      <c r="J263" s="46">
        <f>J264</f>
        <v>1529.5</v>
      </c>
      <c r="K263" s="45">
        <f>SUM(K264)</f>
        <v>0</v>
      </c>
      <c r="L263" s="46">
        <f>L264</f>
        <v>1529.5</v>
      </c>
      <c r="M263" s="45">
        <f>M264+M265</f>
        <v>3815.6</v>
      </c>
      <c r="N263" s="45">
        <f>N264+N265</f>
        <v>0</v>
      </c>
      <c r="O263" s="45">
        <f>O264+O265</f>
        <v>3815.6</v>
      </c>
    </row>
    <row r="264" spans="1:16" ht="31.5" x14ac:dyDescent="0.2">
      <c r="A264" s="40"/>
      <c r="B264" s="41" t="s">
        <v>40</v>
      </c>
      <c r="C264" s="42" t="s">
        <v>51</v>
      </c>
      <c r="D264" s="43" t="s">
        <v>321</v>
      </c>
      <c r="E264" s="43" t="s">
        <v>327</v>
      </c>
      <c r="F264" s="44" t="s">
        <v>41</v>
      </c>
      <c r="G264" s="45">
        <v>0</v>
      </c>
      <c r="H264" s="45"/>
      <c r="I264" s="45"/>
      <c r="J264" s="47">
        <v>1529.5</v>
      </c>
      <c r="K264" s="45"/>
      <c r="L264" s="45">
        <f>SUM(J264)</f>
        <v>1529.5</v>
      </c>
      <c r="M264" s="45">
        <f>SUM(J264)</f>
        <v>1529.5</v>
      </c>
      <c r="N264" s="45">
        <f>SUM(H264+K264)</f>
        <v>0</v>
      </c>
      <c r="O264" s="45">
        <f>SUM(L264)</f>
        <v>1529.5</v>
      </c>
    </row>
    <row r="265" spans="1:16" ht="31.5" x14ac:dyDescent="0.2">
      <c r="A265" s="40"/>
      <c r="B265" s="41" t="s">
        <v>225</v>
      </c>
      <c r="C265" s="42">
        <v>992</v>
      </c>
      <c r="D265" s="43" t="s">
        <v>321</v>
      </c>
      <c r="E265" s="43" t="s">
        <v>327</v>
      </c>
      <c r="F265" s="44">
        <v>400</v>
      </c>
      <c r="G265" s="45">
        <v>2286.1</v>
      </c>
      <c r="H265" s="45"/>
      <c r="I265" s="45">
        <f>SUM(G265)+H265</f>
        <v>2286.1</v>
      </c>
      <c r="J265" s="47"/>
      <c r="K265" s="45"/>
      <c r="L265" s="70"/>
      <c r="M265" s="45">
        <f>SUM(G265)</f>
        <v>2286.1</v>
      </c>
      <c r="N265" s="45">
        <f>SUM(H265)</f>
        <v>0</v>
      </c>
      <c r="O265" s="45">
        <f>SUM(M265)+N265</f>
        <v>2286.1</v>
      </c>
    </row>
    <row r="266" spans="1:16" ht="31.5" x14ac:dyDescent="0.2">
      <c r="A266" s="40"/>
      <c r="B266" s="41" t="s">
        <v>328</v>
      </c>
      <c r="C266" s="42" t="s">
        <v>51</v>
      </c>
      <c r="D266" s="43" t="s">
        <v>321</v>
      </c>
      <c r="E266" s="43" t="s">
        <v>329</v>
      </c>
      <c r="F266" s="44" t="s">
        <v>11</v>
      </c>
      <c r="G266" s="45">
        <f>G267</f>
        <v>11457.5</v>
      </c>
      <c r="H266" s="45"/>
      <c r="I266" s="45">
        <f>I267</f>
        <v>11457.5</v>
      </c>
      <c r="J266" s="46">
        <f>J267</f>
        <v>2280029.1</v>
      </c>
      <c r="K266" s="45"/>
      <c r="L266" s="46">
        <f>L267</f>
        <v>2280029.1</v>
      </c>
      <c r="M266" s="45">
        <f>M267</f>
        <v>2291486.6</v>
      </c>
      <c r="N266" s="45">
        <f>N267</f>
        <v>0</v>
      </c>
      <c r="O266" s="45">
        <f>O267</f>
        <v>2291486.6</v>
      </c>
    </row>
    <row r="267" spans="1:16" ht="31.5" x14ac:dyDescent="0.2">
      <c r="A267" s="40"/>
      <c r="B267" s="41" t="s">
        <v>225</v>
      </c>
      <c r="C267" s="42" t="s">
        <v>51</v>
      </c>
      <c r="D267" s="43" t="s">
        <v>321</v>
      </c>
      <c r="E267" s="43" t="s">
        <v>329</v>
      </c>
      <c r="F267" s="44" t="s">
        <v>226</v>
      </c>
      <c r="G267" s="45">
        <v>11457.5</v>
      </c>
      <c r="H267" s="45"/>
      <c r="I267" s="45">
        <v>11457.5</v>
      </c>
      <c r="J267" s="47">
        <v>2280029.1</v>
      </c>
      <c r="K267" s="45"/>
      <c r="L267" s="47">
        <v>2280029.1</v>
      </c>
      <c r="M267" s="45">
        <f>11457.5+J267</f>
        <v>2291486.6</v>
      </c>
      <c r="N267" s="45"/>
      <c r="O267" s="45">
        <f>11457.5+L267</f>
        <v>2291486.6</v>
      </c>
    </row>
    <row r="268" spans="1:16" ht="15.75" x14ac:dyDescent="0.2">
      <c r="A268" s="40"/>
      <c r="B268" s="41" t="s">
        <v>330</v>
      </c>
      <c r="C268" s="42" t="s">
        <v>51</v>
      </c>
      <c r="D268" s="43" t="s">
        <v>321</v>
      </c>
      <c r="E268" s="43" t="s">
        <v>331</v>
      </c>
      <c r="F268" s="44" t="s">
        <v>11</v>
      </c>
      <c r="G268" s="45">
        <f>G269</f>
        <v>386.1</v>
      </c>
      <c r="H268" s="45">
        <f>SUM(H269)</f>
        <v>0</v>
      </c>
      <c r="I268" s="45">
        <f>I269</f>
        <v>386.1</v>
      </c>
      <c r="J268" s="46">
        <f>J269</f>
        <v>7335.5</v>
      </c>
      <c r="K268" s="45">
        <v>0</v>
      </c>
      <c r="L268" s="46">
        <f>L269</f>
        <v>7335.5</v>
      </c>
      <c r="M268" s="45">
        <f>M269</f>
        <v>7721.6</v>
      </c>
      <c r="N268" s="45">
        <f>N269</f>
        <v>0</v>
      </c>
      <c r="O268" s="45">
        <f>O269</f>
        <v>7721.6</v>
      </c>
    </row>
    <row r="269" spans="1:16" ht="31.5" x14ac:dyDescent="0.2">
      <c r="A269" s="40"/>
      <c r="B269" s="41" t="s">
        <v>225</v>
      </c>
      <c r="C269" s="42" t="s">
        <v>51</v>
      </c>
      <c r="D269" s="43" t="s">
        <v>321</v>
      </c>
      <c r="E269" s="43" t="s">
        <v>331</v>
      </c>
      <c r="F269" s="44" t="s">
        <v>226</v>
      </c>
      <c r="G269" s="45">
        <v>386.1</v>
      </c>
      <c r="H269" s="45"/>
      <c r="I269" s="45">
        <f>SUM(G269)</f>
        <v>386.1</v>
      </c>
      <c r="J269" s="47">
        <f>14200-6864.5</f>
        <v>7335.5</v>
      </c>
      <c r="K269" s="45"/>
      <c r="L269" s="47">
        <f>14200-6864.5</f>
        <v>7335.5</v>
      </c>
      <c r="M269" s="45">
        <f>SUM(J269)+G269</f>
        <v>7721.6</v>
      </c>
      <c r="N269" s="45">
        <f>SUM(H269)</f>
        <v>0</v>
      </c>
      <c r="O269" s="45">
        <f>SUM(L269)+N269+I269</f>
        <v>7721.6</v>
      </c>
    </row>
    <row r="270" spans="1:16" ht="15.75" x14ac:dyDescent="0.2">
      <c r="A270" s="40"/>
      <c r="B270" s="41" t="s">
        <v>332</v>
      </c>
      <c r="C270" s="42" t="s">
        <v>51</v>
      </c>
      <c r="D270" s="43" t="s">
        <v>321</v>
      </c>
      <c r="E270" s="43" t="s">
        <v>333</v>
      </c>
      <c r="F270" s="44" t="s">
        <v>11</v>
      </c>
      <c r="G270" s="45">
        <f>G271</f>
        <v>663.2</v>
      </c>
      <c r="H270" s="45"/>
      <c r="I270" s="45">
        <f>I271</f>
        <v>663.2</v>
      </c>
      <c r="J270" s="46">
        <f>J271</f>
        <v>12599.699999999999</v>
      </c>
      <c r="K270" s="45"/>
      <c r="L270" s="46">
        <f>L271</f>
        <v>12599.699999999999</v>
      </c>
      <c r="M270" s="45">
        <f>M271</f>
        <v>13262.9</v>
      </c>
      <c r="N270" s="45">
        <f>N271</f>
        <v>0</v>
      </c>
      <c r="O270" s="45">
        <f>O271</f>
        <v>13262.9</v>
      </c>
    </row>
    <row r="271" spans="1:16" ht="31.5" x14ac:dyDescent="0.2">
      <c r="A271" s="40"/>
      <c r="B271" s="41" t="s">
        <v>225</v>
      </c>
      <c r="C271" s="42" t="s">
        <v>51</v>
      </c>
      <c r="D271" s="43" t="s">
        <v>321</v>
      </c>
      <c r="E271" s="43" t="s">
        <v>333</v>
      </c>
      <c r="F271" s="44" t="s">
        <v>226</v>
      </c>
      <c r="G271" s="45">
        <v>663.2</v>
      </c>
      <c r="H271" s="45"/>
      <c r="I271" s="45">
        <f>SUM(G271)</f>
        <v>663.2</v>
      </c>
      <c r="J271" s="47">
        <f>11689.4+910.3</f>
        <v>12599.699999999999</v>
      </c>
      <c r="K271" s="45"/>
      <c r="L271" s="47">
        <f>11689.4+910.3</f>
        <v>12599.699999999999</v>
      </c>
      <c r="M271" s="45">
        <f>SUM(G271+J271)</f>
        <v>13262.9</v>
      </c>
      <c r="N271" s="45">
        <f>SUM(H271)</f>
        <v>0</v>
      </c>
      <c r="O271" s="45">
        <f>SUM(I271+L271)</f>
        <v>13262.9</v>
      </c>
    </row>
    <row r="272" spans="1:16" ht="47.25" x14ac:dyDescent="0.2">
      <c r="A272" s="40"/>
      <c r="B272" s="65" t="s">
        <v>334</v>
      </c>
      <c r="C272" s="42">
        <v>992</v>
      </c>
      <c r="D272" s="43" t="s">
        <v>321</v>
      </c>
      <c r="E272" s="57" t="s">
        <v>335</v>
      </c>
      <c r="F272" s="44"/>
      <c r="G272" s="45">
        <f t="shared" ref="G272:I273" si="45">SUM(G273)</f>
        <v>11506.9</v>
      </c>
      <c r="H272" s="45">
        <f t="shared" si="45"/>
        <v>0</v>
      </c>
      <c r="I272" s="45">
        <f t="shared" si="45"/>
        <v>11506.9</v>
      </c>
      <c r="J272" s="47"/>
      <c r="K272" s="45"/>
      <c r="L272" s="47"/>
      <c r="M272" s="45">
        <f>SUM(G272)</f>
        <v>11506.9</v>
      </c>
      <c r="N272" s="45">
        <f t="shared" ref="N272:O274" si="46">SUM(H272)</f>
        <v>0</v>
      </c>
      <c r="O272" s="45">
        <f t="shared" si="46"/>
        <v>11506.9</v>
      </c>
    </row>
    <row r="273" spans="1:16" ht="78.75" x14ac:dyDescent="0.2">
      <c r="A273" s="40"/>
      <c r="B273" s="72" t="s">
        <v>336</v>
      </c>
      <c r="C273" s="42">
        <v>992</v>
      </c>
      <c r="D273" s="43" t="s">
        <v>321</v>
      </c>
      <c r="E273" s="57" t="s">
        <v>337</v>
      </c>
      <c r="F273" s="44"/>
      <c r="G273" s="45">
        <f t="shared" si="45"/>
        <v>11506.9</v>
      </c>
      <c r="H273" s="45">
        <f t="shared" si="45"/>
        <v>0</v>
      </c>
      <c r="I273" s="45">
        <f t="shared" si="45"/>
        <v>11506.9</v>
      </c>
      <c r="J273" s="47"/>
      <c r="K273" s="45"/>
      <c r="L273" s="47"/>
      <c r="M273" s="45">
        <f>SUM(G273)</f>
        <v>11506.9</v>
      </c>
      <c r="N273" s="45">
        <f t="shared" si="46"/>
        <v>0</v>
      </c>
      <c r="O273" s="45">
        <f t="shared" si="46"/>
        <v>11506.9</v>
      </c>
    </row>
    <row r="274" spans="1:16" ht="15.75" x14ac:dyDescent="0.2">
      <c r="A274" s="40"/>
      <c r="B274" s="41" t="s">
        <v>338</v>
      </c>
      <c r="C274" s="42">
        <v>992</v>
      </c>
      <c r="D274" s="43" t="s">
        <v>321</v>
      </c>
      <c r="E274" s="57" t="s">
        <v>337</v>
      </c>
      <c r="F274" s="44">
        <v>800</v>
      </c>
      <c r="G274" s="45">
        <v>11506.9</v>
      </c>
      <c r="H274" s="45"/>
      <c r="I274" s="45">
        <f>SUM(G274)+H274</f>
        <v>11506.9</v>
      </c>
      <c r="J274" s="47"/>
      <c r="K274" s="45"/>
      <c r="L274" s="47"/>
      <c r="M274" s="45">
        <f>SUM(G274)</f>
        <v>11506.9</v>
      </c>
      <c r="N274" s="45">
        <f t="shared" si="46"/>
        <v>0</v>
      </c>
      <c r="O274" s="80">
        <f t="shared" si="46"/>
        <v>11506.9</v>
      </c>
    </row>
    <row r="275" spans="1:16" ht="31.5" x14ac:dyDescent="0.2">
      <c r="A275" s="40"/>
      <c r="B275" s="41" t="s">
        <v>339</v>
      </c>
      <c r="C275" s="42" t="s">
        <v>51</v>
      </c>
      <c r="D275" s="43" t="s">
        <v>321</v>
      </c>
      <c r="E275" s="43" t="s">
        <v>340</v>
      </c>
      <c r="F275" s="44" t="s">
        <v>11</v>
      </c>
      <c r="G275" s="45">
        <f>G276+G286+G283</f>
        <v>36701.800000000003</v>
      </c>
      <c r="H275" s="45">
        <f>H276+H283+H286</f>
        <v>43.5</v>
      </c>
      <c r="I275" s="45">
        <f>I276+I286+I283</f>
        <v>36745.300000000003</v>
      </c>
      <c r="J275" s="46">
        <f t="shared" ref="G275:O276" si="47">J276</f>
        <v>119390.6</v>
      </c>
      <c r="K275" s="45">
        <f t="shared" si="47"/>
        <v>0</v>
      </c>
      <c r="L275" s="46">
        <f t="shared" si="47"/>
        <v>119390.6</v>
      </c>
      <c r="M275" s="45">
        <f>M276+M286+M283</f>
        <v>156092.40000000002</v>
      </c>
      <c r="N275" s="45">
        <f>N276+N283+N286</f>
        <v>43.5</v>
      </c>
      <c r="O275" s="80">
        <f>O276+O286+O283</f>
        <v>156135.90000000002</v>
      </c>
      <c r="P275" s="16"/>
    </row>
    <row r="276" spans="1:16" ht="15.75" x14ac:dyDescent="0.2">
      <c r="A276" s="40"/>
      <c r="B276" s="41" t="s">
        <v>341</v>
      </c>
      <c r="C276" s="42" t="s">
        <v>51</v>
      </c>
      <c r="D276" s="43" t="s">
        <v>321</v>
      </c>
      <c r="E276" s="43" t="s">
        <v>342</v>
      </c>
      <c r="F276" s="44" t="s">
        <v>11</v>
      </c>
      <c r="G276" s="45">
        <f t="shared" si="47"/>
        <v>26375.800000000003</v>
      </c>
      <c r="H276" s="45">
        <f>H277</f>
        <v>43.5</v>
      </c>
      <c r="I276" s="45">
        <f t="shared" si="47"/>
        <v>26419.300000000003</v>
      </c>
      <c r="J276" s="46">
        <f t="shared" si="47"/>
        <v>119390.6</v>
      </c>
      <c r="K276" s="45">
        <f>K277+K280</f>
        <v>0</v>
      </c>
      <c r="L276" s="46">
        <f t="shared" si="47"/>
        <v>119390.6</v>
      </c>
      <c r="M276" s="45">
        <f t="shared" si="47"/>
        <v>145766.40000000002</v>
      </c>
      <c r="N276" s="45">
        <f t="shared" si="47"/>
        <v>43.5</v>
      </c>
      <c r="O276" s="45">
        <f t="shared" si="47"/>
        <v>145809.90000000002</v>
      </c>
      <c r="P276" s="16"/>
    </row>
    <row r="277" spans="1:16" ht="47.25" x14ac:dyDescent="0.2">
      <c r="A277" s="40"/>
      <c r="B277" s="41" t="s">
        <v>343</v>
      </c>
      <c r="C277" s="42" t="s">
        <v>51</v>
      </c>
      <c r="D277" s="43" t="s">
        <v>321</v>
      </c>
      <c r="E277" s="43" t="s">
        <v>344</v>
      </c>
      <c r="F277" s="44" t="s">
        <v>11</v>
      </c>
      <c r="G277" s="45">
        <f>G278+G281</f>
        <v>26375.800000000003</v>
      </c>
      <c r="H277" s="45">
        <f>H278+H281</f>
        <v>43.5</v>
      </c>
      <c r="I277" s="45">
        <f>I278+I281</f>
        <v>26419.300000000003</v>
      </c>
      <c r="J277" s="46">
        <f>J278+J281</f>
        <v>119390.6</v>
      </c>
      <c r="K277" s="45">
        <f>K278+K281</f>
        <v>0</v>
      </c>
      <c r="L277" s="46">
        <f>L278+L281</f>
        <v>119390.6</v>
      </c>
      <c r="M277" s="45">
        <f>M278+M281</f>
        <v>145766.40000000002</v>
      </c>
      <c r="N277" s="45">
        <f>N278+N281</f>
        <v>43.5</v>
      </c>
      <c r="O277" s="45">
        <f>O278+O281</f>
        <v>145809.90000000002</v>
      </c>
      <c r="P277" s="16"/>
    </row>
    <row r="278" spans="1:16" ht="47.25" x14ac:dyDescent="0.2">
      <c r="A278" s="40"/>
      <c r="B278" s="41" t="s">
        <v>345</v>
      </c>
      <c r="C278" s="42" t="s">
        <v>51</v>
      </c>
      <c r="D278" s="43" t="s">
        <v>321</v>
      </c>
      <c r="E278" s="43" t="s">
        <v>346</v>
      </c>
      <c r="F278" s="44" t="s">
        <v>11</v>
      </c>
      <c r="G278" s="45">
        <f>G279+G280</f>
        <v>7523.6</v>
      </c>
      <c r="H278" s="45">
        <f>SUM(H279+H280)</f>
        <v>-540</v>
      </c>
      <c r="I278" s="45">
        <f>I279+I280</f>
        <v>6983.6</v>
      </c>
      <c r="J278" s="46">
        <f>J279+J280</f>
        <v>0</v>
      </c>
      <c r="K278" s="45"/>
      <c r="L278" s="46">
        <f>L279+L280</f>
        <v>0</v>
      </c>
      <c r="M278" s="45">
        <f>M279+M280</f>
        <v>7523.6</v>
      </c>
      <c r="N278" s="45">
        <f>N279+N280</f>
        <v>-540</v>
      </c>
      <c r="O278" s="45">
        <f>O279+O280</f>
        <v>6983.6</v>
      </c>
    </row>
    <row r="279" spans="1:16" ht="31.5" x14ac:dyDescent="0.2">
      <c r="A279" s="40"/>
      <c r="B279" s="41" t="s">
        <v>40</v>
      </c>
      <c r="C279" s="42" t="s">
        <v>51</v>
      </c>
      <c r="D279" s="43" t="s">
        <v>321</v>
      </c>
      <c r="E279" s="43" t="s">
        <v>346</v>
      </c>
      <c r="F279" s="44" t="s">
        <v>41</v>
      </c>
      <c r="G279" s="45">
        <v>1738</v>
      </c>
      <c r="H279" s="60"/>
      <c r="I279" s="45">
        <f>SUM(G279)+H279</f>
        <v>1738</v>
      </c>
      <c r="J279" s="47">
        <v>0</v>
      </c>
      <c r="K279" s="60">
        <f>2803.6+840-1820-983.6-840</f>
        <v>0</v>
      </c>
      <c r="L279" s="47">
        <v>0</v>
      </c>
      <c r="M279" s="45">
        <f>SUM(G279)</f>
        <v>1738</v>
      </c>
      <c r="N279" s="45">
        <f>SUM(H279)</f>
        <v>0</v>
      </c>
      <c r="O279" s="80">
        <f>SUM(I279)</f>
        <v>1738</v>
      </c>
    </row>
    <row r="280" spans="1:16" ht="31.5" x14ac:dyDescent="0.2">
      <c r="A280" s="40"/>
      <c r="B280" s="41" t="s">
        <v>225</v>
      </c>
      <c r="C280" s="42" t="s">
        <v>51</v>
      </c>
      <c r="D280" s="43" t="s">
        <v>321</v>
      </c>
      <c r="E280" s="43" t="s">
        <v>346</v>
      </c>
      <c r="F280" s="44" t="s">
        <v>226</v>
      </c>
      <c r="G280" s="60">
        <v>5785.6</v>
      </c>
      <c r="H280" s="45">
        <v>-540</v>
      </c>
      <c r="I280" s="60">
        <f>SUM(G280)+R281+H280</f>
        <v>5245.6</v>
      </c>
      <c r="J280" s="47">
        <v>0</v>
      </c>
      <c r="K280" s="45"/>
      <c r="L280" s="47">
        <v>0</v>
      </c>
      <c r="M280" s="60">
        <f>SUM(G280)</f>
        <v>5785.6</v>
      </c>
      <c r="N280" s="60">
        <f>SUM(H280)</f>
        <v>-540</v>
      </c>
      <c r="O280" s="80">
        <f>SUM(M280)+N280</f>
        <v>5245.6</v>
      </c>
    </row>
    <row r="281" spans="1:16" ht="15.75" x14ac:dyDescent="0.2">
      <c r="A281" s="40"/>
      <c r="B281" s="41" t="s">
        <v>347</v>
      </c>
      <c r="C281" s="42" t="s">
        <v>51</v>
      </c>
      <c r="D281" s="43" t="s">
        <v>321</v>
      </c>
      <c r="E281" s="43" t="s">
        <v>348</v>
      </c>
      <c r="F281" s="44" t="s">
        <v>11</v>
      </c>
      <c r="G281" s="45">
        <f>G282</f>
        <v>18852.2</v>
      </c>
      <c r="H281" s="45">
        <f>SUM(H282)</f>
        <v>583.5</v>
      </c>
      <c r="I281" s="45">
        <f>I282</f>
        <v>19435.7</v>
      </c>
      <c r="J281" s="46">
        <f>J282</f>
        <v>119390.6</v>
      </c>
      <c r="K281" s="70"/>
      <c r="L281" s="46">
        <f>L282</f>
        <v>119390.6</v>
      </c>
      <c r="M281" s="45">
        <f>M282</f>
        <v>138242.80000000002</v>
      </c>
      <c r="N281" s="45">
        <f>N282</f>
        <v>583.5</v>
      </c>
      <c r="O281" s="45">
        <f>O282</f>
        <v>138826.30000000002</v>
      </c>
    </row>
    <row r="282" spans="1:16" ht="31.5" x14ac:dyDescent="0.2">
      <c r="A282" s="40"/>
      <c r="B282" s="41" t="s">
        <v>225</v>
      </c>
      <c r="C282" s="42" t="s">
        <v>51</v>
      </c>
      <c r="D282" s="43" t="s">
        <v>321</v>
      </c>
      <c r="E282" s="43" t="s">
        <v>348</v>
      </c>
      <c r="F282" s="44" t="s">
        <v>226</v>
      </c>
      <c r="G282" s="45">
        <v>18852.2</v>
      </c>
      <c r="H282" s="45">
        <f>43.5+540</f>
        <v>583.5</v>
      </c>
      <c r="I282" s="45">
        <f>18852.2+H282</f>
        <v>19435.7</v>
      </c>
      <c r="J282" s="47">
        <v>119390.6</v>
      </c>
      <c r="K282" s="70"/>
      <c r="L282" s="47">
        <f>SUM(J282)</f>
        <v>119390.6</v>
      </c>
      <c r="M282" s="45">
        <f>SUM(G282+J282)</f>
        <v>138242.80000000002</v>
      </c>
      <c r="N282" s="45">
        <f>SUM(H282+K282)</f>
        <v>583.5</v>
      </c>
      <c r="O282" s="45">
        <f>SUM(I282+L282)</f>
        <v>138826.30000000002</v>
      </c>
    </row>
    <row r="283" spans="1:16" ht="15.75" x14ac:dyDescent="0.2">
      <c r="A283" s="40"/>
      <c r="B283" s="41" t="s">
        <v>349</v>
      </c>
      <c r="C283" s="42">
        <v>992</v>
      </c>
      <c r="D283" s="43" t="s">
        <v>321</v>
      </c>
      <c r="E283" s="43">
        <v>1120121140</v>
      </c>
      <c r="F283" s="44"/>
      <c r="G283" s="45">
        <f>SUM(G285)</f>
        <v>8102</v>
      </c>
      <c r="H283" s="45">
        <f>SUM(H285)</f>
        <v>0</v>
      </c>
      <c r="I283" s="45">
        <f>SUM(G283)</f>
        <v>8102</v>
      </c>
      <c r="J283" s="47"/>
      <c r="K283" s="45"/>
      <c r="L283" s="47"/>
      <c r="M283" s="45">
        <f>SUM(G283)</f>
        <v>8102</v>
      </c>
      <c r="N283" s="45">
        <f t="shared" ref="N283:O285" si="48">SUM(H283)</f>
        <v>0</v>
      </c>
      <c r="O283" s="45">
        <f t="shared" si="48"/>
        <v>8102</v>
      </c>
    </row>
    <row r="284" spans="1:16" ht="2.25" customHeight="1" x14ac:dyDescent="0.2">
      <c r="A284" s="40"/>
      <c r="B284" s="41"/>
      <c r="C284" s="42">
        <v>992</v>
      </c>
      <c r="D284" s="43" t="s">
        <v>321</v>
      </c>
      <c r="E284" s="43">
        <v>1120121140</v>
      </c>
      <c r="F284" s="44">
        <v>400</v>
      </c>
      <c r="G284" s="45"/>
      <c r="H284" s="45">
        <f>SUM(H285)</f>
        <v>0</v>
      </c>
      <c r="I284" s="45">
        <f>SUM(H284)</f>
        <v>0</v>
      </c>
      <c r="J284" s="47"/>
      <c r="K284" s="45"/>
      <c r="L284" s="47"/>
      <c r="M284" s="45"/>
      <c r="N284" s="45">
        <f t="shared" si="48"/>
        <v>0</v>
      </c>
      <c r="O284" s="45">
        <f t="shared" si="48"/>
        <v>0</v>
      </c>
    </row>
    <row r="285" spans="1:16" ht="31.5" x14ac:dyDescent="0.2">
      <c r="A285" s="40"/>
      <c r="B285" s="41" t="s">
        <v>225</v>
      </c>
      <c r="C285" s="42">
        <v>992</v>
      </c>
      <c r="D285" s="43" t="s">
        <v>321</v>
      </c>
      <c r="E285" s="43">
        <v>1120121140</v>
      </c>
      <c r="F285" s="44">
        <v>400</v>
      </c>
      <c r="G285" s="45">
        <v>8102</v>
      </c>
      <c r="H285" s="45"/>
      <c r="I285" s="45">
        <f>SUM(G285)</f>
        <v>8102</v>
      </c>
      <c r="J285" s="47"/>
      <c r="K285" s="45"/>
      <c r="L285" s="47"/>
      <c r="M285" s="45">
        <f>SUM(G285)</f>
        <v>8102</v>
      </c>
      <c r="N285" s="45">
        <f t="shared" si="48"/>
        <v>0</v>
      </c>
      <c r="O285" s="45">
        <f t="shared" si="48"/>
        <v>8102</v>
      </c>
    </row>
    <row r="286" spans="1:16" ht="15.75" x14ac:dyDescent="0.2">
      <c r="A286" s="40"/>
      <c r="B286" s="56" t="s">
        <v>350</v>
      </c>
      <c r="C286" s="42">
        <v>992</v>
      </c>
      <c r="D286" s="43" t="s">
        <v>321</v>
      </c>
      <c r="E286" s="43">
        <v>113000000</v>
      </c>
      <c r="F286" s="44"/>
      <c r="G286" s="45">
        <f>SUM(G287)</f>
        <v>2224</v>
      </c>
      <c r="H286" s="38"/>
      <c r="I286" s="45">
        <f>SUM(I287)</f>
        <v>2224</v>
      </c>
      <c r="J286" s="47"/>
      <c r="K286" s="45"/>
      <c r="L286" s="47"/>
      <c r="M286" s="45">
        <f>SUM(M287)</f>
        <v>2224</v>
      </c>
      <c r="N286" s="45">
        <f>SUM(H286)</f>
        <v>0</v>
      </c>
      <c r="O286" s="45">
        <f>SUM(O287)</f>
        <v>2224</v>
      </c>
    </row>
    <row r="287" spans="1:16" ht="47.25" x14ac:dyDescent="0.2">
      <c r="A287" s="40"/>
      <c r="B287" s="56" t="s">
        <v>351</v>
      </c>
      <c r="C287" s="42">
        <v>992</v>
      </c>
      <c r="D287" s="43" t="s">
        <v>321</v>
      </c>
      <c r="E287" s="43">
        <v>113010000</v>
      </c>
      <c r="F287" s="44"/>
      <c r="G287" s="45">
        <f>1964+G289</f>
        <v>2224</v>
      </c>
      <c r="H287" s="38"/>
      <c r="I287" s="45">
        <f>1964+I289</f>
        <v>2224</v>
      </c>
      <c r="J287" s="47"/>
      <c r="K287" s="45"/>
      <c r="L287" s="47"/>
      <c r="M287" s="45">
        <f>SUM(M288)</f>
        <v>2224</v>
      </c>
      <c r="N287" s="45">
        <f>SUM(H287)</f>
        <v>0</v>
      </c>
      <c r="O287" s="45">
        <f>SUM(O288)</f>
        <v>2224</v>
      </c>
    </row>
    <row r="288" spans="1:16" ht="15.75" x14ac:dyDescent="0.2">
      <c r="A288" s="40"/>
      <c r="B288" s="56" t="s">
        <v>350</v>
      </c>
      <c r="C288" s="42">
        <v>992</v>
      </c>
      <c r="D288" s="43" t="s">
        <v>321</v>
      </c>
      <c r="E288" s="43">
        <v>1130121070</v>
      </c>
      <c r="F288" s="44"/>
      <c r="G288" s="45">
        <f>1964+G289</f>
        <v>2224</v>
      </c>
      <c r="H288" s="38"/>
      <c r="I288" s="45">
        <f>1964+I289</f>
        <v>2224</v>
      </c>
      <c r="J288" s="47"/>
      <c r="K288" s="45"/>
      <c r="L288" s="47"/>
      <c r="M288" s="45">
        <f>1964+M289</f>
        <v>2224</v>
      </c>
      <c r="N288" s="45">
        <f>SUM(H288)</f>
        <v>0</v>
      </c>
      <c r="O288" s="45">
        <f>1964+O289</f>
        <v>2224</v>
      </c>
    </row>
    <row r="289" spans="1:16" ht="31.5" x14ac:dyDescent="0.2">
      <c r="A289" s="40"/>
      <c r="B289" s="41" t="s">
        <v>40</v>
      </c>
      <c r="C289" s="42">
        <v>992</v>
      </c>
      <c r="D289" s="43" t="s">
        <v>321</v>
      </c>
      <c r="E289" s="43">
        <v>1130121070</v>
      </c>
      <c r="F289" s="44">
        <v>200</v>
      </c>
      <c r="G289" s="45">
        <v>260</v>
      </c>
      <c r="H289" s="38"/>
      <c r="I289" s="45">
        <f>SUM(G289)</f>
        <v>260</v>
      </c>
      <c r="J289" s="47"/>
      <c r="K289" s="45"/>
      <c r="L289" s="47"/>
      <c r="M289" s="45">
        <f>SUM(G289)</f>
        <v>260</v>
      </c>
      <c r="N289" s="45">
        <f>SUM(H289)</f>
        <v>0</v>
      </c>
      <c r="O289" s="45">
        <f>SUM(I289)</f>
        <v>260</v>
      </c>
    </row>
    <row r="290" spans="1:16" ht="31.5" x14ac:dyDescent="0.2">
      <c r="A290" s="40"/>
      <c r="B290" s="41" t="s">
        <v>225</v>
      </c>
      <c r="C290" s="42">
        <v>992</v>
      </c>
      <c r="D290" s="43" t="s">
        <v>321</v>
      </c>
      <c r="E290" s="57" t="s">
        <v>352</v>
      </c>
      <c r="F290" s="44">
        <v>400</v>
      </c>
      <c r="G290" s="45">
        <v>1964</v>
      </c>
      <c r="H290" s="38"/>
      <c r="I290" s="45">
        <f>1964+H290</f>
        <v>1964</v>
      </c>
      <c r="J290" s="47"/>
      <c r="K290" s="38"/>
      <c r="L290" s="47"/>
      <c r="M290" s="45">
        <v>1964</v>
      </c>
      <c r="N290" s="45">
        <f>SUM(H290)</f>
        <v>0</v>
      </c>
      <c r="O290" s="45">
        <f>1964+N290</f>
        <v>1964</v>
      </c>
    </row>
    <row r="291" spans="1:16" ht="15.75" x14ac:dyDescent="0.2">
      <c r="A291" s="33" t="s">
        <v>353</v>
      </c>
      <c r="B291" s="34" t="s">
        <v>354</v>
      </c>
      <c r="C291" s="35" t="s">
        <v>51</v>
      </c>
      <c r="D291" s="36" t="s">
        <v>355</v>
      </c>
      <c r="E291" s="36" t="s">
        <v>11</v>
      </c>
      <c r="F291" s="37" t="s">
        <v>11</v>
      </c>
      <c r="G291" s="38">
        <f>G292+G326+G333+G320+G340</f>
        <v>92898.2</v>
      </c>
      <c r="H291" s="45">
        <f>H292+Z294+H333</f>
        <v>-33475.800000000003</v>
      </c>
      <c r="I291" s="38">
        <f>I292+I326+I333+I320+I340</f>
        <v>59422.399999999994</v>
      </c>
      <c r="J291" s="39">
        <f>J292+J326+J333+J320</f>
        <v>4635</v>
      </c>
      <c r="K291" s="45">
        <f>K292+K320+K326+K340+K333</f>
        <v>600</v>
      </c>
      <c r="L291" s="45">
        <f>L292+L320+L326+L340+L333</f>
        <v>5235</v>
      </c>
      <c r="M291" s="38">
        <f>M292+M326+M333+M320+M340</f>
        <v>97533.2</v>
      </c>
      <c r="N291" s="45">
        <f>N292+AF294+N333+N326</f>
        <v>-32875.800000000003</v>
      </c>
      <c r="O291" s="38">
        <f>O292+O326+O333+O320+O340</f>
        <v>64657.399999999994</v>
      </c>
      <c r="P291" s="15"/>
    </row>
    <row r="292" spans="1:16" ht="31.5" x14ac:dyDescent="0.2">
      <c r="A292" s="40"/>
      <c r="B292" s="41" t="s">
        <v>245</v>
      </c>
      <c r="C292" s="42" t="s">
        <v>51</v>
      </c>
      <c r="D292" s="43" t="s">
        <v>355</v>
      </c>
      <c r="E292" s="43" t="s">
        <v>246</v>
      </c>
      <c r="F292" s="44" t="s">
        <v>11</v>
      </c>
      <c r="G292" s="45">
        <f t="shared" ref="G292:O293" si="49">G293</f>
        <v>85572.4</v>
      </c>
      <c r="H292" s="45">
        <f>H293+H315</f>
        <v>-33475.800000000003</v>
      </c>
      <c r="I292" s="45">
        <f>I293+I315</f>
        <v>52096.6</v>
      </c>
      <c r="J292" s="46">
        <f t="shared" si="49"/>
        <v>1335</v>
      </c>
      <c r="K292" s="45">
        <f t="shared" si="49"/>
        <v>0</v>
      </c>
      <c r="L292" s="46">
        <f t="shared" si="49"/>
        <v>1335</v>
      </c>
      <c r="M292" s="45">
        <f t="shared" si="49"/>
        <v>86907.4</v>
      </c>
      <c r="N292" s="45">
        <f>N293+N315</f>
        <v>-33475.800000000003</v>
      </c>
      <c r="O292" s="45">
        <f>O293+O315</f>
        <v>53431.6</v>
      </c>
    </row>
    <row r="293" spans="1:16" ht="15.75" x14ac:dyDescent="0.2">
      <c r="A293" s="40"/>
      <c r="B293" s="41" t="s">
        <v>356</v>
      </c>
      <c r="C293" s="42" t="s">
        <v>51</v>
      </c>
      <c r="D293" s="43" t="s">
        <v>355</v>
      </c>
      <c r="E293" s="43" t="s">
        <v>357</v>
      </c>
      <c r="F293" s="44" t="s">
        <v>11</v>
      </c>
      <c r="G293" s="45">
        <f t="shared" si="49"/>
        <v>85572.4</v>
      </c>
      <c r="H293" s="45">
        <f t="shared" si="49"/>
        <v>-35725.800000000003</v>
      </c>
      <c r="I293" s="45">
        <f t="shared" si="49"/>
        <v>49846.6</v>
      </c>
      <c r="J293" s="46">
        <f t="shared" si="49"/>
        <v>1335</v>
      </c>
      <c r="K293" s="45">
        <f>K294+K296+K298+K300+K302+K306</f>
        <v>0</v>
      </c>
      <c r="L293" s="46">
        <f t="shared" si="49"/>
        <v>1335</v>
      </c>
      <c r="M293" s="45">
        <f t="shared" si="49"/>
        <v>86907.4</v>
      </c>
      <c r="N293" s="45">
        <f t="shared" si="49"/>
        <v>-35725.800000000003</v>
      </c>
      <c r="O293" s="45">
        <f t="shared" si="49"/>
        <v>51181.599999999999</v>
      </c>
    </row>
    <row r="294" spans="1:16" ht="47.25" x14ac:dyDescent="0.2">
      <c r="A294" s="40"/>
      <c r="B294" s="41" t="s">
        <v>358</v>
      </c>
      <c r="C294" s="42" t="s">
        <v>51</v>
      </c>
      <c r="D294" s="43" t="s">
        <v>355</v>
      </c>
      <c r="E294" s="43" t="s">
        <v>359</v>
      </c>
      <c r="F294" s="44" t="s">
        <v>11</v>
      </c>
      <c r="G294" s="45">
        <f>G295+G297+G299+G301+G305+G307+G303+G313</f>
        <v>85572.4</v>
      </c>
      <c r="H294" s="45">
        <f>H295+H297+H299+H301+H305+H307+H303+H313</f>
        <v>-35725.800000000003</v>
      </c>
      <c r="I294" s="45">
        <f>I295+I297+I299+I301+I305+I307+I303+I313</f>
        <v>49846.6</v>
      </c>
      <c r="J294" s="46">
        <f>J295+J297+J299+J301+J305+J307+J313</f>
        <v>1335</v>
      </c>
      <c r="K294" s="45">
        <f>SUM(K313)</f>
        <v>0</v>
      </c>
      <c r="L294" s="46">
        <f>L295+L297+L299+L301+L305+L307+L313</f>
        <v>1335</v>
      </c>
      <c r="M294" s="45">
        <f>SUM(G294+J294)</f>
        <v>86907.4</v>
      </c>
      <c r="N294" s="45">
        <f>SUM(H294+K294)</f>
        <v>-35725.800000000003</v>
      </c>
      <c r="O294" s="45">
        <f>SUM(I294+L294)</f>
        <v>51181.599999999999</v>
      </c>
      <c r="P294" s="16"/>
    </row>
    <row r="295" spans="1:16" ht="15.75" x14ac:dyDescent="0.2">
      <c r="A295" s="40"/>
      <c r="B295" s="41" t="s">
        <v>360</v>
      </c>
      <c r="C295" s="42" t="s">
        <v>51</v>
      </c>
      <c r="D295" s="43" t="s">
        <v>355</v>
      </c>
      <c r="E295" s="43" t="s">
        <v>361</v>
      </c>
      <c r="F295" s="44" t="s">
        <v>11</v>
      </c>
      <c r="G295" s="45">
        <f>G296</f>
        <v>54639</v>
      </c>
      <c r="H295" s="45">
        <f>H296</f>
        <v>-36025.800000000003</v>
      </c>
      <c r="I295" s="45">
        <f>I296</f>
        <v>18613.199999999997</v>
      </c>
      <c r="J295" s="46">
        <f>J296</f>
        <v>0</v>
      </c>
      <c r="K295" s="45"/>
      <c r="L295" s="46">
        <f>L296</f>
        <v>0</v>
      </c>
      <c r="M295" s="45">
        <f>M296</f>
        <v>54639</v>
      </c>
      <c r="N295" s="45">
        <f>N296</f>
        <v>-36025.800000000003</v>
      </c>
      <c r="O295" s="45">
        <f>O296</f>
        <v>18613.199999999997</v>
      </c>
    </row>
    <row r="296" spans="1:16" ht="31.5" x14ac:dyDescent="0.2">
      <c r="A296" s="40"/>
      <c r="B296" s="41" t="s">
        <v>40</v>
      </c>
      <c r="C296" s="42" t="s">
        <v>51</v>
      </c>
      <c r="D296" s="43" t="s">
        <v>355</v>
      </c>
      <c r="E296" s="43" t="s">
        <v>361</v>
      </c>
      <c r="F296" s="44" t="s">
        <v>41</v>
      </c>
      <c r="G296" s="45">
        <v>54639</v>
      </c>
      <c r="H296" s="45">
        <f>-12482.3-24254+710.5</f>
        <v>-36025.800000000003</v>
      </c>
      <c r="I296" s="45">
        <f>SUM(G296)+H296</f>
        <v>18613.199999999997</v>
      </c>
      <c r="J296" s="47"/>
      <c r="K296" s="45"/>
      <c r="L296" s="47"/>
      <c r="M296" s="45">
        <f>SUM(G296)</f>
        <v>54639</v>
      </c>
      <c r="N296" s="45">
        <f>SUM(H296)+K296</f>
        <v>-36025.800000000003</v>
      </c>
      <c r="O296" s="45">
        <f>SUM(I296)</f>
        <v>18613.199999999997</v>
      </c>
    </row>
    <row r="297" spans="1:16" ht="15.75" x14ac:dyDescent="0.2">
      <c r="A297" s="40"/>
      <c r="B297" s="41" t="s">
        <v>362</v>
      </c>
      <c r="C297" s="42" t="s">
        <v>51</v>
      </c>
      <c r="D297" s="43" t="s">
        <v>355</v>
      </c>
      <c r="E297" s="43" t="s">
        <v>363</v>
      </c>
      <c r="F297" s="44" t="s">
        <v>11</v>
      </c>
      <c r="G297" s="45">
        <f>G298</f>
        <v>10114.1</v>
      </c>
      <c r="H297" s="45">
        <f>H298</f>
        <v>0</v>
      </c>
      <c r="I297" s="45">
        <f>I298</f>
        <v>10114.1</v>
      </c>
      <c r="J297" s="46">
        <f>J298</f>
        <v>75</v>
      </c>
      <c r="K297" s="45">
        <f>SUM(K298)</f>
        <v>0</v>
      </c>
      <c r="L297" s="46">
        <f>L298</f>
        <v>75</v>
      </c>
      <c r="M297" s="45">
        <f>M298</f>
        <v>10189.1</v>
      </c>
      <c r="N297" s="45">
        <f>N298</f>
        <v>0</v>
      </c>
      <c r="O297" s="45">
        <f>O298</f>
        <v>10189.1</v>
      </c>
    </row>
    <row r="298" spans="1:16" ht="31.5" x14ac:dyDescent="0.2">
      <c r="A298" s="40"/>
      <c r="B298" s="41" t="s">
        <v>40</v>
      </c>
      <c r="C298" s="42" t="s">
        <v>51</v>
      </c>
      <c r="D298" s="43" t="s">
        <v>355</v>
      </c>
      <c r="E298" s="43" t="s">
        <v>363</v>
      </c>
      <c r="F298" s="44" t="s">
        <v>41</v>
      </c>
      <c r="G298" s="45">
        <v>10114.1</v>
      </c>
      <c r="H298" s="45"/>
      <c r="I298" s="45">
        <f>SUM(G298)+H298</f>
        <v>10114.1</v>
      </c>
      <c r="J298" s="47">
        <v>75</v>
      </c>
      <c r="K298" s="45"/>
      <c r="L298" s="45">
        <f>SUM(J298)</f>
        <v>75</v>
      </c>
      <c r="M298" s="45">
        <f>SUM(G298+J298)</f>
        <v>10189.1</v>
      </c>
      <c r="N298" s="45">
        <f>SUM(H298)+K298</f>
        <v>0</v>
      </c>
      <c r="O298" s="45">
        <f>SUM(I298+L298)</f>
        <v>10189.1</v>
      </c>
    </row>
    <row r="299" spans="1:16" ht="15.75" x14ac:dyDescent="0.2">
      <c r="A299" s="40"/>
      <c r="B299" s="41" t="s">
        <v>364</v>
      </c>
      <c r="C299" s="42" t="s">
        <v>51</v>
      </c>
      <c r="D299" s="43" t="s">
        <v>355</v>
      </c>
      <c r="E299" s="43" t="s">
        <v>365</v>
      </c>
      <c r="F299" s="44" t="s">
        <v>11</v>
      </c>
      <c r="G299" s="45">
        <f>G300</f>
        <v>2550</v>
      </c>
      <c r="H299" s="45">
        <v>-31.5</v>
      </c>
      <c r="I299" s="45">
        <f>I300</f>
        <v>2518.5</v>
      </c>
      <c r="J299" s="46">
        <f>J300</f>
        <v>0</v>
      </c>
      <c r="K299" s="45"/>
      <c r="L299" s="46">
        <f>L300</f>
        <v>0</v>
      </c>
      <c r="M299" s="45">
        <f>M300</f>
        <v>2550</v>
      </c>
      <c r="N299" s="45">
        <f>N300</f>
        <v>-31.5</v>
      </c>
      <c r="O299" s="45">
        <f>O300</f>
        <v>2518.5</v>
      </c>
    </row>
    <row r="300" spans="1:16" ht="31.5" x14ac:dyDescent="0.2">
      <c r="A300" s="40"/>
      <c r="B300" s="41" t="s">
        <v>40</v>
      </c>
      <c r="C300" s="42" t="s">
        <v>51</v>
      </c>
      <c r="D300" s="43" t="s">
        <v>355</v>
      </c>
      <c r="E300" s="43" t="s">
        <v>365</v>
      </c>
      <c r="F300" s="44" t="s">
        <v>41</v>
      </c>
      <c r="G300" s="45">
        <v>2550</v>
      </c>
      <c r="H300" s="45">
        <v>-31.5</v>
      </c>
      <c r="I300" s="45">
        <f>2550+H300</f>
        <v>2518.5</v>
      </c>
      <c r="J300" s="47"/>
      <c r="K300" s="45"/>
      <c r="L300" s="47"/>
      <c r="M300" s="45">
        <v>2550</v>
      </c>
      <c r="N300" s="45">
        <f>SUM(H300)</f>
        <v>-31.5</v>
      </c>
      <c r="O300" s="45">
        <f>2550+N300</f>
        <v>2518.5</v>
      </c>
    </row>
    <row r="301" spans="1:16" ht="15.75" x14ac:dyDescent="0.2">
      <c r="A301" s="40"/>
      <c r="B301" s="41" t="s">
        <v>366</v>
      </c>
      <c r="C301" s="42" t="s">
        <v>51</v>
      </c>
      <c r="D301" s="43" t="s">
        <v>355</v>
      </c>
      <c r="E301" s="43" t="s">
        <v>367</v>
      </c>
      <c r="F301" s="44" t="s">
        <v>11</v>
      </c>
      <c r="G301" s="45">
        <f>G302</f>
        <v>1597.4</v>
      </c>
      <c r="H301" s="45">
        <f>H302</f>
        <v>564.4</v>
      </c>
      <c r="I301" s="45">
        <f>I302</f>
        <v>2161.8000000000002</v>
      </c>
      <c r="J301" s="46">
        <f>J302</f>
        <v>0</v>
      </c>
      <c r="K301" s="45"/>
      <c r="L301" s="46">
        <f>L302</f>
        <v>0</v>
      </c>
      <c r="M301" s="45">
        <f>M302</f>
        <v>1597.4</v>
      </c>
      <c r="N301" s="45">
        <f>N302</f>
        <v>564.4</v>
      </c>
      <c r="O301" s="45">
        <f>O302</f>
        <v>2161.8000000000002</v>
      </c>
    </row>
    <row r="302" spans="1:16" ht="31.5" x14ac:dyDescent="0.2">
      <c r="A302" s="40"/>
      <c r="B302" s="41" t="s">
        <v>40</v>
      </c>
      <c r="C302" s="42" t="s">
        <v>51</v>
      </c>
      <c r="D302" s="43" t="s">
        <v>355</v>
      </c>
      <c r="E302" s="43" t="s">
        <v>367</v>
      </c>
      <c r="F302" s="44" t="s">
        <v>41</v>
      </c>
      <c r="G302" s="45">
        <v>1597.4</v>
      </c>
      <c r="H302" s="45">
        <f>-50+520.3-53.5+147.6</f>
        <v>564.4</v>
      </c>
      <c r="I302" s="45">
        <f>SUM(G302)+H302</f>
        <v>2161.8000000000002</v>
      </c>
      <c r="J302" s="47"/>
      <c r="K302" s="45"/>
      <c r="L302" s="47"/>
      <c r="M302" s="45">
        <f t="shared" ref="M302:O304" si="50">SUM(G302)</f>
        <v>1597.4</v>
      </c>
      <c r="N302" s="45">
        <f t="shared" si="50"/>
        <v>564.4</v>
      </c>
      <c r="O302" s="45">
        <f t="shared" si="50"/>
        <v>2161.8000000000002</v>
      </c>
    </row>
    <row r="303" spans="1:16" ht="31.5" x14ac:dyDescent="0.2">
      <c r="A303" s="40"/>
      <c r="B303" s="56" t="s">
        <v>368</v>
      </c>
      <c r="C303" s="42">
        <v>992</v>
      </c>
      <c r="D303" s="43" t="s">
        <v>355</v>
      </c>
      <c r="E303" s="57" t="s">
        <v>369</v>
      </c>
      <c r="F303" s="44"/>
      <c r="G303" s="45">
        <v>700</v>
      </c>
      <c r="H303" s="45">
        <v>-116.4</v>
      </c>
      <c r="I303" s="45">
        <f>SUM(G303)+H303</f>
        <v>583.6</v>
      </c>
      <c r="J303" s="47"/>
      <c r="K303" s="45"/>
      <c r="L303" s="47"/>
      <c r="M303" s="45">
        <f t="shared" si="50"/>
        <v>700</v>
      </c>
      <c r="N303" s="45">
        <f t="shared" si="50"/>
        <v>-116.4</v>
      </c>
      <c r="O303" s="45">
        <f t="shared" si="50"/>
        <v>583.6</v>
      </c>
    </row>
    <row r="304" spans="1:16" ht="31.5" x14ac:dyDescent="0.2">
      <c r="A304" s="40"/>
      <c r="B304" s="41" t="s">
        <v>40</v>
      </c>
      <c r="C304" s="42">
        <v>992</v>
      </c>
      <c r="D304" s="43" t="s">
        <v>355</v>
      </c>
      <c r="E304" s="57" t="s">
        <v>369</v>
      </c>
      <c r="F304" s="44">
        <v>200</v>
      </c>
      <c r="G304" s="45">
        <v>700</v>
      </c>
      <c r="H304" s="45">
        <v>-116.4</v>
      </c>
      <c r="I304" s="45">
        <f>SUM(G304)+H304</f>
        <v>583.6</v>
      </c>
      <c r="J304" s="47"/>
      <c r="K304" s="45"/>
      <c r="L304" s="47"/>
      <c r="M304" s="45">
        <f t="shared" si="50"/>
        <v>700</v>
      </c>
      <c r="N304" s="45">
        <f t="shared" si="50"/>
        <v>-116.4</v>
      </c>
      <c r="O304" s="45">
        <f t="shared" si="50"/>
        <v>583.6</v>
      </c>
    </row>
    <row r="305" spans="1:15" ht="31.5" x14ac:dyDescent="0.2">
      <c r="A305" s="40"/>
      <c r="B305" s="41" t="s">
        <v>370</v>
      </c>
      <c r="C305" s="42" t="s">
        <v>51</v>
      </c>
      <c r="D305" s="43" t="s">
        <v>355</v>
      </c>
      <c r="E305" s="43" t="s">
        <v>371</v>
      </c>
      <c r="F305" s="44" t="s">
        <v>11</v>
      </c>
      <c r="G305" s="45">
        <f>G306</f>
        <v>4100</v>
      </c>
      <c r="H305" s="45">
        <f>SUM(H306)</f>
        <v>-847.59999999999991</v>
      </c>
      <c r="I305" s="45">
        <f>I306</f>
        <v>3252.4</v>
      </c>
      <c r="J305" s="46">
        <f>J306</f>
        <v>0</v>
      </c>
      <c r="K305" s="45"/>
      <c r="L305" s="46">
        <f>L306</f>
        <v>0</v>
      </c>
      <c r="M305" s="45">
        <f>M306</f>
        <v>4100</v>
      </c>
      <c r="N305" s="45">
        <f>N306</f>
        <v>-847.59999999999991</v>
      </c>
      <c r="O305" s="45">
        <f>O306</f>
        <v>3252.4</v>
      </c>
    </row>
    <row r="306" spans="1:15" ht="31.5" x14ac:dyDescent="0.2">
      <c r="A306" s="40"/>
      <c r="B306" s="41" t="s">
        <v>40</v>
      </c>
      <c r="C306" s="42" t="s">
        <v>51</v>
      </c>
      <c r="D306" s="43" t="s">
        <v>355</v>
      </c>
      <c r="E306" s="43" t="s">
        <v>371</v>
      </c>
      <c r="F306" s="44" t="s">
        <v>41</v>
      </c>
      <c r="G306" s="45">
        <v>4100</v>
      </c>
      <c r="H306" s="45">
        <f>-520.3-479.7-147.6+300</f>
        <v>-847.59999999999991</v>
      </c>
      <c r="I306" s="45">
        <f>4100+H306</f>
        <v>3252.4</v>
      </c>
      <c r="J306" s="47"/>
      <c r="K306" s="45"/>
      <c r="L306" s="47"/>
      <c r="M306" s="45">
        <v>4100</v>
      </c>
      <c r="N306" s="45">
        <f>SUM(H306)</f>
        <v>-847.59999999999991</v>
      </c>
      <c r="O306" s="45">
        <f>4100+N306</f>
        <v>3252.4</v>
      </c>
    </row>
    <row r="307" spans="1:15" ht="47.25" x14ac:dyDescent="0.2">
      <c r="A307" s="40"/>
      <c r="B307" s="41" t="s">
        <v>372</v>
      </c>
      <c r="C307" s="42" t="s">
        <v>51</v>
      </c>
      <c r="D307" s="43" t="s">
        <v>355</v>
      </c>
      <c r="E307" s="43" t="s">
        <v>373</v>
      </c>
      <c r="F307" s="44" t="s">
        <v>11</v>
      </c>
      <c r="G307" s="45">
        <f>G308</f>
        <v>11805.5</v>
      </c>
      <c r="H307" s="48">
        <f>SUM(H308)</f>
        <v>731.1</v>
      </c>
      <c r="I307" s="45">
        <f>I308</f>
        <v>12536.6</v>
      </c>
      <c r="J307" s="46">
        <f>J308</f>
        <v>0</v>
      </c>
      <c r="K307" s="48">
        <f>SUM(K308)</f>
        <v>0</v>
      </c>
      <c r="L307" s="46">
        <f>L308</f>
        <v>0</v>
      </c>
      <c r="M307" s="45">
        <f>M308</f>
        <v>11805.5</v>
      </c>
      <c r="N307" s="45">
        <f>N308</f>
        <v>731.1</v>
      </c>
      <c r="O307" s="45">
        <f>SUM(M307+N307)</f>
        <v>12536.6</v>
      </c>
    </row>
    <row r="308" spans="1:15" ht="29.25" customHeight="1" x14ac:dyDescent="0.2">
      <c r="A308" s="40"/>
      <c r="B308" s="41" t="s">
        <v>40</v>
      </c>
      <c r="C308" s="42" t="s">
        <v>51</v>
      </c>
      <c r="D308" s="43" t="s">
        <v>355</v>
      </c>
      <c r="E308" s="43" t="s">
        <v>373</v>
      </c>
      <c r="F308" s="44" t="s">
        <v>41</v>
      </c>
      <c r="G308" s="48">
        <v>11805.5</v>
      </c>
      <c r="H308" s="48">
        <f>731.1</f>
        <v>731.1</v>
      </c>
      <c r="I308" s="48">
        <f>SUM(G308)+H308</f>
        <v>12536.6</v>
      </c>
      <c r="J308" s="47">
        <v>0</v>
      </c>
      <c r="K308" s="48"/>
      <c r="L308" s="47">
        <f>SUM(K308)</f>
        <v>0</v>
      </c>
      <c r="M308" s="48">
        <f>SUM(G308)</f>
        <v>11805.5</v>
      </c>
      <c r="N308" s="48">
        <f>SUM(H308)</f>
        <v>731.1</v>
      </c>
      <c r="O308" s="48">
        <f>SUM(I308)</f>
        <v>12536.6</v>
      </c>
    </row>
    <row r="309" spans="1:15" ht="15.75" hidden="1" x14ac:dyDescent="0.2">
      <c r="A309" s="40"/>
      <c r="B309" s="41"/>
      <c r="C309" s="42"/>
      <c r="D309" s="43"/>
      <c r="E309" s="43"/>
      <c r="F309" s="44"/>
      <c r="G309" s="48"/>
      <c r="H309" s="48"/>
      <c r="I309" s="48"/>
      <c r="J309" s="47"/>
      <c r="K309" s="48">
        <v>4251.8</v>
      </c>
      <c r="L309" s="93">
        <f>SUM(K309)</f>
        <v>4251.8</v>
      </c>
      <c r="M309" s="48"/>
      <c r="N309" s="48">
        <f t="shared" ref="N309:O312" si="51">SUM(K309)</f>
        <v>4251.8</v>
      </c>
      <c r="O309" s="48">
        <f t="shared" si="51"/>
        <v>4251.8</v>
      </c>
    </row>
    <row r="310" spans="1:15" ht="15.75" hidden="1" x14ac:dyDescent="0.2">
      <c r="A310" s="40"/>
      <c r="B310" s="41"/>
      <c r="C310" s="42"/>
      <c r="D310" s="43"/>
      <c r="E310" s="43"/>
      <c r="F310" s="44">
        <v>200</v>
      </c>
      <c r="G310" s="48"/>
      <c r="H310" s="48"/>
      <c r="I310" s="48"/>
      <c r="J310" s="47"/>
      <c r="K310" s="48">
        <v>4251.8</v>
      </c>
      <c r="L310" s="93">
        <f>SUM(K310)</f>
        <v>4251.8</v>
      </c>
      <c r="M310" s="48"/>
      <c r="N310" s="48">
        <f t="shared" si="51"/>
        <v>4251.8</v>
      </c>
      <c r="O310" s="48">
        <f t="shared" si="51"/>
        <v>4251.8</v>
      </c>
    </row>
    <row r="311" spans="1:15" ht="15.75" hidden="1" x14ac:dyDescent="0.2">
      <c r="A311" s="40"/>
      <c r="B311" s="41"/>
      <c r="C311" s="42"/>
      <c r="D311" s="43"/>
      <c r="E311" s="43"/>
      <c r="F311" s="44"/>
      <c r="G311" s="48"/>
      <c r="H311" s="48"/>
      <c r="I311" s="48"/>
      <c r="J311" s="47"/>
      <c r="K311" s="48">
        <v>5</v>
      </c>
      <c r="L311" s="93">
        <f>SUM(K311)</f>
        <v>5</v>
      </c>
      <c r="M311" s="48"/>
      <c r="N311" s="48">
        <f t="shared" si="51"/>
        <v>5</v>
      </c>
      <c r="O311" s="48">
        <f t="shared" si="51"/>
        <v>5</v>
      </c>
    </row>
    <row r="312" spans="1:15" ht="15.75" hidden="1" x14ac:dyDescent="0.2">
      <c r="A312" s="40"/>
      <c r="B312" s="41"/>
      <c r="C312" s="42"/>
      <c r="D312" s="43"/>
      <c r="E312" s="43"/>
      <c r="F312" s="44">
        <v>200</v>
      </c>
      <c r="G312" s="48"/>
      <c r="H312" s="48"/>
      <c r="I312" s="48"/>
      <c r="J312" s="47"/>
      <c r="K312" s="48">
        <v>5</v>
      </c>
      <c r="L312" s="93">
        <f>SUM(K312)</f>
        <v>5</v>
      </c>
      <c r="M312" s="48"/>
      <c r="N312" s="48">
        <f t="shared" si="51"/>
        <v>5</v>
      </c>
      <c r="O312" s="48">
        <f t="shared" si="51"/>
        <v>5</v>
      </c>
    </row>
    <row r="313" spans="1:15" ht="126" x14ac:dyDescent="0.2">
      <c r="A313" s="40"/>
      <c r="B313" s="56" t="s">
        <v>551</v>
      </c>
      <c r="C313" s="42">
        <v>992</v>
      </c>
      <c r="D313" s="43" t="s">
        <v>355</v>
      </c>
      <c r="E313" s="43" t="s">
        <v>550</v>
      </c>
      <c r="F313" s="44"/>
      <c r="G313" s="48">
        <f>SUM(G314)</f>
        <v>66.400000000000006</v>
      </c>
      <c r="H313" s="60">
        <f>SUM(H314)</f>
        <v>0</v>
      </c>
      <c r="I313" s="48">
        <f>SUM(G313)</f>
        <v>66.400000000000006</v>
      </c>
      <c r="J313" s="47">
        <f>SUM(J314)</f>
        <v>1260</v>
      </c>
      <c r="K313" s="48">
        <f>SUM(K314)</f>
        <v>0</v>
      </c>
      <c r="L313" s="48">
        <f>SUM(L314)</f>
        <v>1260</v>
      </c>
      <c r="M313" s="48">
        <f t="shared" ref="M313:O314" si="52">SUM(G313+J313)</f>
        <v>1326.4</v>
      </c>
      <c r="N313" s="48">
        <f t="shared" si="52"/>
        <v>0</v>
      </c>
      <c r="O313" s="48">
        <f t="shared" si="52"/>
        <v>1326.4</v>
      </c>
    </row>
    <row r="314" spans="1:15" ht="31.5" x14ac:dyDescent="0.2">
      <c r="A314" s="40"/>
      <c r="B314" s="41" t="s">
        <v>40</v>
      </c>
      <c r="C314" s="42">
        <v>992</v>
      </c>
      <c r="D314" s="43" t="s">
        <v>355</v>
      </c>
      <c r="E314" s="43" t="s">
        <v>550</v>
      </c>
      <c r="F314" s="44">
        <v>200</v>
      </c>
      <c r="G314" s="48">
        <v>66.400000000000006</v>
      </c>
      <c r="H314" s="60"/>
      <c r="I314" s="48">
        <f>SUM(G314)</f>
        <v>66.400000000000006</v>
      </c>
      <c r="J314" s="47">
        <v>1260</v>
      </c>
      <c r="K314" s="48"/>
      <c r="L314" s="47">
        <f>SUM(J314)</f>
        <v>1260</v>
      </c>
      <c r="M314" s="48">
        <f t="shared" si="52"/>
        <v>1326.4</v>
      </c>
      <c r="N314" s="48">
        <f t="shared" si="52"/>
        <v>0</v>
      </c>
      <c r="O314" s="48">
        <f t="shared" si="52"/>
        <v>1326.4</v>
      </c>
    </row>
    <row r="315" spans="1:15" ht="15.75" x14ac:dyDescent="0.2">
      <c r="A315" s="40"/>
      <c r="B315" s="94" t="s">
        <v>247</v>
      </c>
      <c r="C315" s="42">
        <v>992</v>
      </c>
      <c r="D315" s="43" t="s">
        <v>355</v>
      </c>
      <c r="E315" s="57" t="s">
        <v>248</v>
      </c>
      <c r="F315" s="44"/>
      <c r="G315" s="48"/>
      <c r="H315" s="45">
        <v>2250</v>
      </c>
      <c r="I315" s="45">
        <v>2250</v>
      </c>
      <c r="J315" s="47"/>
      <c r="K315" s="48"/>
      <c r="L315" s="47"/>
      <c r="M315" s="48"/>
      <c r="N315" s="48">
        <f>SUM(H315)</f>
        <v>2250</v>
      </c>
      <c r="O315" s="48">
        <f>SUM(I315)</f>
        <v>2250</v>
      </c>
    </row>
    <row r="316" spans="1:15" ht="63" x14ac:dyDescent="0.2">
      <c r="A316" s="40"/>
      <c r="B316" s="95" t="s">
        <v>569</v>
      </c>
      <c r="C316" s="42">
        <v>992</v>
      </c>
      <c r="D316" s="43" t="s">
        <v>355</v>
      </c>
      <c r="E316" s="57" t="s">
        <v>567</v>
      </c>
      <c r="F316" s="44"/>
      <c r="G316" s="48"/>
      <c r="H316" s="45">
        <v>2250</v>
      </c>
      <c r="I316" s="45">
        <v>2250</v>
      </c>
      <c r="J316" s="47"/>
      <c r="K316" s="48"/>
      <c r="L316" s="47"/>
      <c r="M316" s="48"/>
      <c r="N316" s="48">
        <f>SUM(H316)</f>
        <v>2250</v>
      </c>
      <c r="O316" s="48">
        <f>SUM(I316)</f>
        <v>2250</v>
      </c>
    </row>
    <row r="317" spans="1:15" ht="0.75" customHeight="1" x14ac:dyDescent="0.2">
      <c r="A317" s="40"/>
      <c r="B317" s="95"/>
      <c r="C317" s="42"/>
      <c r="D317" s="43"/>
      <c r="E317" s="57"/>
      <c r="F317" s="44"/>
      <c r="G317" s="48"/>
      <c r="H317" s="60"/>
      <c r="I317" s="48"/>
      <c r="J317" s="47"/>
      <c r="K317" s="48"/>
      <c r="L317" s="47"/>
      <c r="M317" s="48"/>
      <c r="N317" s="48"/>
      <c r="O317" s="48"/>
    </row>
    <row r="318" spans="1:15" ht="47.25" x14ac:dyDescent="0.2">
      <c r="A318" s="40"/>
      <c r="B318" s="96" t="s">
        <v>570</v>
      </c>
      <c r="C318" s="42">
        <v>992</v>
      </c>
      <c r="D318" s="43" t="s">
        <v>355</v>
      </c>
      <c r="E318" s="57" t="s">
        <v>568</v>
      </c>
      <c r="F318" s="44"/>
      <c r="G318" s="48"/>
      <c r="H318" s="45">
        <v>2250</v>
      </c>
      <c r="I318" s="48">
        <f>SUM(H318)</f>
        <v>2250</v>
      </c>
      <c r="J318" s="47"/>
      <c r="K318" s="48"/>
      <c r="L318" s="47"/>
      <c r="M318" s="48"/>
      <c r="N318" s="48">
        <f>SUM(H318)</f>
        <v>2250</v>
      </c>
      <c r="O318" s="48">
        <f>SUM(I318)</f>
        <v>2250</v>
      </c>
    </row>
    <row r="319" spans="1:15" ht="27" customHeight="1" x14ac:dyDescent="0.2">
      <c r="A319" s="40"/>
      <c r="B319" s="41" t="s">
        <v>70</v>
      </c>
      <c r="C319" s="42">
        <v>992</v>
      </c>
      <c r="D319" s="43" t="s">
        <v>355</v>
      </c>
      <c r="E319" s="57" t="s">
        <v>568</v>
      </c>
      <c r="F319" s="44">
        <v>800</v>
      </c>
      <c r="G319" s="48"/>
      <c r="H319" s="45">
        <v>2250</v>
      </c>
      <c r="I319" s="48">
        <f>SUM(H319)</f>
        <v>2250</v>
      </c>
      <c r="J319" s="47"/>
      <c r="K319" s="48"/>
      <c r="L319" s="47"/>
      <c r="M319" s="48"/>
      <c r="N319" s="48">
        <f>SUM(H319)</f>
        <v>2250</v>
      </c>
      <c r="O319" s="48">
        <f>SUM(I319)</f>
        <v>2250</v>
      </c>
    </row>
    <row r="320" spans="1:15" ht="15.75" x14ac:dyDescent="0.2">
      <c r="A320" s="40"/>
      <c r="B320" s="56" t="s">
        <v>374</v>
      </c>
      <c r="C320" s="42">
        <v>992</v>
      </c>
      <c r="D320" s="43" t="s">
        <v>355</v>
      </c>
      <c r="E320" s="57" t="s">
        <v>375</v>
      </c>
      <c r="F320" s="44"/>
      <c r="G320" s="48">
        <f t="shared" ref="G320:O322" si="53">G321</f>
        <v>3478.2</v>
      </c>
      <c r="H320" s="48">
        <f t="shared" si="53"/>
        <v>0</v>
      </c>
      <c r="I320" s="48">
        <f t="shared" si="53"/>
        <v>3478.2</v>
      </c>
      <c r="J320" s="47">
        <f t="shared" si="53"/>
        <v>3300</v>
      </c>
      <c r="K320" s="48">
        <f t="shared" si="53"/>
        <v>0</v>
      </c>
      <c r="L320" s="47">
        <f t="shared" si="53"/>
        <v>3300</v>
      </c>
      <c r="M320" s="48">
        <f t="shared" si="53"/>
        <v>6778.2</v>
      </c>
      <c r="N320" s="48">
        <f t="shared" si="53"/>
        <v>0</v>
      </c>
      <c r="O320" s="48">
        <f t="shared" si="53"/>
        <v>6778.2</v>
      </c>
    </row>
    <row r="321" spans="1:15" ht="31.5" x14ac:dyDescent="0.2">
      <c r="A321" s="40"/>
      <c r="B321" s="56" t="s">
        <v>376</v>
      </c>
      <c r="C321" s="42">
        <v>992</v>
      </c>
      <c r="D321" s="43" t="s">
        <v>355</v>
      </c>
      <c r="E321" s="57" t="s">
        <v>377</v>
      </c>
      <c r="F321" s="44"/>
      <c r="G321" s="48">
        <f t="shared" ref="G321:M321" si="54">G322+G324</f>
        <v>3478.2</v>
      </c>
      <c r="H321" s="48">
        <f t="shared" si="54"/>
        <v>0</v>
      </c>
      <c r="I321" s="48">
        <f t="shared" si="54"/>
        <v>3478.2</v>
      </c>
      <c r="J321" s="47">
        <f t="shared" si="54"/>
        <v>3300</v>
      </c>
      <c r="K321" s="48">
        <f t="shared" si="54"/>
        <v>0</v>
      </c>
      <c r="L321" s="47">
        <f t="shared" si="54"/>
        <v>3300</v>
      </c>
      <c r="M321" s="48">
        <f t="shared" si="54"/>
        <v>6778.2</v>
      </c>
      <c r="N321" s="48">
        <f>SUM(H321)+K321</f>
        <v>0</v>
      </c>
      <c r="O321" s="48">
        <f>O322+O324</f>
        <v>6778.2</v>
      </c>
    </row>
    <row r="322" spans="1:15" ht="15.75" x14ac:dyDescent="0.2">
      <c r="A322" s="40"/>
      <c r="B322" s="56" t="s">
        <v>378</v>
      </c>
      <c r="C322" s="42">
        <v>992</v>
      </c>
      <c r="D322" s="43" t="s">
        <v>355</v>
      </c>
      <c r="E322" s="57" t="s">
        <v>379</v>
      </c>
      <c r="F322" s="44"/>
      <c r="G322" s="48">
        <f t="shared" si="53"/>
        <v>1914.2</v>
      </c>
      <c r="H322" s="48">
        <f t="shared" si="53"/>
        <v>0</v>
      </c>
      <c r="I322" s="48">
        <f t="shared" si="53"/>
        <v>1914.2</v>
      </c>
      <c r="J322" s="47">
        <f t="shared" si="53"/>
        <v>0</v>
      </c>
      <c r="K322" s="45"/>
      <c r="L322" s="47">
        <f t="shared" si="53"/>
        <v>0</v>
      </c>
      <c r="M322" s="48">
        <f t="shared" si="53"/>
        <v>1914.2</v>
      </c>
      <c r="N322" s="48">
        <f t="shared" si="53"/>
        <v>0</v>
      </c>
      <c r="O322" s="48">
        <f t="shared" si="53"/>
        <v>1914.2</v>
      </c>
    </row>
    <row r="323" spans="1:15" ht="31.5" x14ac:dyDescent="0.2">
      <c r="A323" s="40"/>
      <c r="B323" s="41" t="s">
        <v>40</v>
      </c>
      <c r="C323" s="42">
        <v>992</v>
      </c>
      <c r="D323" s="43" t="s">
        <v>355</v>
      </c>
      <c r="E323" s="57" t="s">
        <v>379</v>
      </c>
      <c r="F323" s="44">
        <v>200</v>
      </c>
      <c r="G323" s="48">
        <v>1914.2</v>
      </c>
      <c r="H323" s="45"/>
      <c r="I323" s="48">
        <f>SUM(G323)+H323</f>
        <v>1914.2</v>
      </c>
      <c r="J323" s="47">
        <v>0</v>
      </c>
      <c r="K323" s="45"/>
      <c r="L323" s="47">
        <f>SUM(K323)</f>
        <v>0</v>
      </c>
      <c r="M323" s="48">
        <f>SUM(G323)</f>
        <v>1914.2</v>
      </c>
      <c r="N323" s="45">
        <f>SUM(H323)+K323</f>
        <v>0</v>
      </c>
      <c r="O323" s="48">
        <f>SUM(I323)+L323</f>
        <v>1914.2</v>
      </c>
    </row>
    <row r="324" spans="1:15" ht="47.25" x14ac:dyDescent="0.2">
      <c r="A324" s="40"/>
      <c r="B324" s="41" t="s">
        <v>372</v>
      </c>
      <c r="C324" s="42">
        <v>992</v>
      </c>
      <c r="D324" s="43" t="s">
        <v>355</v>
      </c>
      <c r="E324" s="57" t="s">
        <v>549</v>
      </c>
      <c r="F324" s="44"/>
      <c r="G324" s="48">
        <f>SUM(G325)</f>
        <v>1564</v>
      </c>
      <c r="H324" s="45">
        <f>SUM(H325)</f>
        <v>0</v>
      </c>
      <c r="I324" s="48">
        <f>SUM(G324)+H324</f>
        <v>1564</v>
      </c>
      <c r="J324" s="47">
        <f>SUM(J325)</f>
        <v>3300</v>
      </c>
      <c r="K324" s="45"/>
      <c r="L324" s="47">
        <v>3300</v>
      </c>
      <c r="M324" s="48">
        <f t="shared" ref="M324:O325" si="55">SUM(G324+J324)</f>
        <v>4864</v>
      </c>
      <c r="N324" s="45">
        <f t="shared" si="55"/>
        <v>0</v>
      </c>
      <c r="O324" s="48">
        <f t="shared" si="55"/>
        <v>4864</v>
      </c>
    </row>
    <row r="325" spans="1:15" ht="31.5" x14ac:dyDescent="0.2">
      <c r="A325" s="40"/>
      <c r="B325" s="41" t="s">
        <v>40</v>
      </c>
      <c r="C325" s="42">
        <v>992</v>
      </c>
      <c r="D325" s="43" t="s">
        <v>355</v>
      </c>
      <c r="E325" s="57" t="s">
        <v>549</v>
      </c>
      <c r="F325" s="44">
        <v>200</v>
      </c>
      <c r="G325" s="48">
        <v>1564</v>
      </c>
      <c r="H325" s="45"/>
      <c r="I325" s="48">
        <f>SUM(G325)+H325</f>
        <v>1564</v>
      </c>
      <c r="J325" s="47">
        <v>3300</v>
      </c>
      <c r="K325" s="45"/>
      <c r="L325" s="47">
        <v>3300</v>
      </c>
      <c r="M325" s="48">
        <f t="shared" si="55"/>
        <v>4864</v>
      </c>
      <c r="N325" s="45">
        <f t="shared" si="55"/>
        <v>0</v>
      </c>
      <c r="O325" s="48">
        <f t="shared" si="55"/>
        <v>4864</v>
      </c>
    </row>
    <row r="326" spans="1:15" ht="47.25" x14ac:dyDescent="0.2">
      <c r="A326" s="40"/>
      <c r="B326" s="41" t="s">
        <v>105</v>
      </c>
      <c r="C326" s="42" t="s">
        <v>51</v>
      </c>
      <c r="D326" s="43" t="s">
        <v>355</v>
      </c>
      <c r="E326" s="43" t="s">
        <v>106</v>
      </c>
      <c r="F326" s="44" t="s">
        <v>11</v>
      </c>
      <c r="G326" s="45">
        <f>G327</f>
        <v>300</v>
      </c>
      <c r="H326" s="45"/>
      <c r="I326" s="45">
        <f>I327</f>
        <v>300</v>
      </c>
      <c r="J326" s="46">
        <f t="shared" ref="G326:O329" si="56">J327</f>
        <v>0</v>
      </c>
      <c r="K326" s="45">
        <f>K327</f>
        <v>600</v>
      </c>
      <c r="L326" s="46">
        <f t="shared" si="56"/>
        <v>600</v>
      </c>
      <c r="M326" s="45">
        <f t="shared" si="56"/>
        <v>300</v>
      </c>
      <c r="N326" s="45">
        <f>SUM(K326)</f>
        <v>600</v>
      </c>
      <c r="O326" s="45">
        <f t="shared" si="56"/>
        <v>900</v>
      </c>
    </row>
    <row r="327" spans="1:15" ht="31.5" x14ac:dyDescent="0.2">
      <c r="A327" s="40"/>
      <c r="B327" s="41" t="s">
        <v>107</v>
      </c>
      <c r="C327" s="42" t="s">
        <v>51</v>
      </c>
      <c r="D327" s="43" t="s">
        <v>355</v>
      </c>
      <c r="E327" s="43" t="s">
        <v>108</v>
      </c>
      <c r="F327" s="44" t="s">
        <v>11</v>
      </c>
      <c r="G327" s="45">
        <f t="shared" si="56"/>
        <v>300</v>
      </c>
      <c r="H327" s="45">
        <f t="shared" si="56"/>
        <v>0</v>
      </c>
      <c r="I327" s="45">
        <f t="shared" si="56"/>
        <v>300</v>
      </c>
      <c r="J327" s="46">
        <f t="shared" si="56"/>
        <v>0</v>
      </c>
      <c r="K327" s="45">
        <f>K328</f>
        <v>600</v>
      </c>
      <c r="L327" s="46">
        <f t="shared" si="56"/>
        <v>600</v>
      </c>
      <c r="M327" s="45">
        <f t="shared" si="56"/>
        <v>300</v>
      </c>
      <c r="N327" s="45">
        <f t="shared" si="56"/>
        <v>600</v>
      </c>
      <c r="O327" s="45">
        <f>N327+M327</f>
        <v>900</v>
      </c>
    </row>
    <row r="328" spans="1:15" ht="31.5" x14ac:dyDescent="0.2">
      <c r="A328" s="40"/>
      <c r="B328" s="41" t="s">
        <v>109</v>
      </c>
      <c r="C328" s="42" t="s">
        <v>51</v>
      </c>
      <c r="D328" s="43" t="s">
        <v>355</v>
      </c>
      <c r="E328" s="43" t="s">
        <v>110</v>
      </c>
      <c r="F328" s="44" t="s">
        <v>11</v>
      </c>
      <c r="G328" s="45">
        <f t="shared" si="56"/>
        <v>300</v>
      </c>
      <c r="H328" s="45">
        <f t="shared" si="56"/>
        <v>0</v>
      </c>
      <c r="I328" s="45">
        <f t="shared" si="56"/>
        <v>300</v>
      </c>
      <c r="J328" s="46">
        <f t="shared" si="56"/>
        <v>0</v>
      </c>
      <c r="K328" s="45">
        <f>K329+K331</f>
        <v>600</v>
      </c>
      <c r="L328" s="45">
        <f>L329+L331</f>
        <v>600</v>
      </c>
      <c r="M328" s="45">
        <f t="shared" si="56"/>
        <v>300</v>
      </c>
      <c r="N328" s="45">
        <f>SUM(K328)</f>
        <v>600</v>
      </c>
      <c r="O328" s="45">
        <f>O329+N328</f>
        <v>900</v>
      </c>
    </row>
    <row r="329" spans="1:15" ht="31.5" x14ac:dyDescent="0.2">
      <c r="A329" s="40"/>
      <c r="B329" s="41" t="s">
        <v>114</v>
      </c>
      <c r="C329" s="42" t="s">
        <v>51</v>
      </c>
      <c r="D329" s="43" t="s">
        <v>355</v>
      </c>
      <c r="E329" s="43" t="s">
        <v>115</v>
      </c>
      <c r="F329" s="44" t="s">
        <v>11</v>
      </c>
      <c r="G329" s="45">
        <f>G330</f>
        <v>300</v>
      </c>
      <c r="H329" s="45"/>
      <c r="I329" s="45">
        <f>I330</f>
        <v>300</v>
      </c>
      <c r="J329" s="46">
        <f t="shared" si="56"/>
        <v>0</v>
      </c>
      <c r="K329" s="45"/>
      <c r="L329" s="46">
        <f t="shared" si="56"/>
        <v>0</v>
      </c>
      <c r="M329" s="45">
        <f t="shared" si="56"/>
        <v>300</v>
      </c>
      <c r="N329" s="45">
        <f t="shared" si="56"/>
        <v>0</v>
      </c>
      <c r="O329" s="45">
        <f t="shared" si="56"/>
        <v>300</v>
      </c>
    </row>
    <row r="330" spans="1:15" ht="31.5" x14ac:dyDescent="0.2">
      <c r="A330" s="40"/>
      <c r="B330" s="41" t="s">
        <v>40</v>
      </c>
      <c r="C330" s="42" t="s">
        <v>51</v>
      </c>
      <c r="D330" s="43" t="s">
        <v>355</v>
      </c>
      <c r="E330" s="43" t="s">
        <v>115</v>
      </c>
      <c r="F330" s="44" t="s">
        <v>41</v>
      </c>
      <c r="G330" s="45">
        <v>300</v>
      </c>
      <c r="H330" s="45"/>
      <c r="I330" s="45">
        <v>300</v>
      </c>
      <c r="J330" s="47">
        <v>0</v>
      </c>
      <c r="K330" s="45"/>
      <c r="L330" s="47">
        <v>0</v>
      </c>
      <c r="M330" s="45">
        <v>300</v>
      </c>
      <c r="N330" s="45"/>
      <c r="O330" s="45">
        <v>300</v>
      </c>
    </row>
    <row r="331" spans="1:15" ht="47.25" x14ac:dyDescent="0.2">
      <c r="A331" s="40"/>
      <c r="B331" s="41" t="s">
        <v>566</v>
      </c>
      <c r="C331" s="42">
        <v>992</v>
      </c>
      <c r="D331" s="43" t="s">
        <v>355</v>
      </c>
      <c r="E331" s="43">
        <v>1010160390</v>
      </c>
      <c r="F331" s="44"/>
      <c r="G331" s="45"/>
      <c r="H331" s="45"/>
      <c r="I331" s="45"/>
      <c r="J331" s="47"/>
      <c r="K331" s="45">
        <f>SUM(K332)</f>
        <v>600</v>
      </c>
      <c r="L331" s="45">
        <f>SUM(L332)</f>
        <v>600</v>
      </c>
      <c r="M331" s="45"/>
      <c r="N331" s="45">
        <f>SUM(K331)</f>
        <v>600</v>
      </c>
      <c r="O331" s="45">
        <f>SUM(L331)</f>
        <v>600</v>
      </c>
    </row>
    <row r="332" spans="1:15" ht="31.5" x14ac:dyDescent="0.2">
      <c r="A332" s="40"/>
      <c r="B332" s="41" t="s">
        <v>40</v>
      </c>
      <c r="C332" s="42">
        <v>992</v>
      </c>
      <c r="D332" s="43" t="s">
        <v>355</v>
      </c>
      <c r="E332" s="43">
        <v>1010160390</v>
      </c>
      <c r="F332" s="44">
        <v>200</v>
      </c>
      <c r="G332" s="45"/>
      <c r="H332" s="45"/>
      <c r="I332" s="45"/>
      <c r="J332" s="47"/>
      <c r="K332" s="45">
        <v>600</v>
      </c>
      <c r="L332" s="47">
        <f>SUM(K332)</f>
        <v>600</v>
      </c>
      <c r="M332" s="45"/>
      <c r="N332" s="45">
        <f>SUM(K332)</f>
        <v>600</v>
      </c>
      <c r="O332" s="45">
        <f>SUM(L332)</f>
        <v>600</v>
      </c>
    </row>
    <row r="333" spans="1:15" ht="63" x14ac:dyDescent="0.2">
      <c r="A333" s="40"/>
      <c r="B333" s="41" t="s">
        <v>380</v>
      </c>
      <c r="C333" s="42" t="s">
        <v>51</v>
      </c>
      <c r="D333" s="43" t="s">
        <v>355</v>
      </c>
      <c r="E333" s="43" t="s">
        <v>381</v>
      </c>
      <c r="F333" s="44" t="s">
        <v>11</v>
      </c>
      <c r="G333" s="45">
        <f t="shared" ref="G333:O333" si="57">G334</f>
        <v>709.09999999999991</v>
      </c>
      <c r="H333" s="45">
        <f t="shared" si="57"/>
        <v>0</v>
      </c>
      <c r="I333" s="45">
        <f t="shared" si="57"/>
        <v>709.09999999999991</v>
      </c>
      <c r="J333" s="46">
        <f t="shared" si="57"/>
        <v>0</v>
      </c>
      <c r="K333" s="45">
        <f t="shared" si="57"/>
        <v>0</v>
      </c>
      <c r="L333" s="46">
        <f t="shared" si="57"/>
        <v>0</v>
      </c>
      <c r="M333" s="45">
        <f t="shared" si="57"/>
        <v>709.09999999999991</v>
      </c>
      <c r="N333" s="45">
        <f t="shared" si="57"/>
        <v>0</v>
      </c>
      <c r="O333" s="45">
        <f t="shared" si="57"/>
        <v>709.09999999999991</v>
      </c>
    </row>
    <row r="334" spans="1:15" ht="47.25" x14ac:dyDescent="0.2">
      <c r="A334" s="40"/>
      <c r="B334" s="41" t="s">
        <v>382</v>
      </c>
      <c r="C334" s="42" t="s">
        <v>51</v>
      </c>
      <c r="D334" s="43" t="s">
        <v>355</v>
      </c>
      <c r="E334" s="43" t="s">
        <v>383</v>
      </c>
      <c r="F334" s="44" t="s">
        <v>11</v>
      </c>
      <c r="G334" s="45">
        <f>G335+G338</f>
        <v>709.09999999999991</v>
      </c>
      <c r="H334" s="45">
        <f>H335+H338</f>
        <v>0</v>
      </c>
      <c r="I334" s="45">
        <f>I335+I338</f>
        <v>709.09999999999991</v>
      </c>
      <c r="J334" s="46">
        <f>J335</f>
        <v>0</v>
      </c>
      <c r="K334" s="45">
        <f>K335</f>
        <v>0</v>
      </c>
      <c r="L334" s="46">
        <f>L335</f>
        <v>0</v>
      </c>
      <c r="M334" s="45">
        <f>M335+M338</f>
        <v>709.09999999999991</v>
      </c>
      <c r="N334" s="45">
        <f>N335+N338</f>
        <v>0</v>
      </c>
      <c r="O334" s="45">
        <f>O335+O338</f>
        <v>709.09999999999991</v>
      </c>
    </row>
    <row r="335" spans="1:15" ht="63" x14ac:dyDescent="0.2">
      <c r="A335" s="40"/>
      <c r="B335" s="41" t="s">
        <v>384</v>
      </c>
      <c r="C335" s="42" t="s">
        <v>51</v>
      </c>
      <c r="D335" s="43" t="s">
        <v>355</v>
      </c>
      <c r="E335" s="57" t="s">
        <v>545</v>
      </c>
      <c r="F335" s="44" t="s">
        <v>11</v>
      </c>
      <c r="G335" s="45">
        <f>G336+G337</f>
        <v>309.39999999999998</v>
      </c>
      <c r="H335" s="45">
        <f>H336+H337</f>
        <v>0</v>
      </c>
      <c r="I335" s="45">
        <f>I336+I337</f>
        <v>309.39999999999998</v>
      </c>
      <c r="J335" s="46">
        <f>J336</f>
        <v>0</v>
      </c>
      <c r="K335" s="45"/>
      <c r="L335" s="46">
        <f>L336</f>
        <v>0</v>
      </c>
      <c r="M335" s="45">
        <f>M336+M337</f>
        <v>309.39999999999998</v>
      </c>
      <c r="N335" s="45">
        <f>N336+N337</f>
        <v>0</v>
      </c>
      <c r="O335" s="45">
        <f>O336+O337</f>
        <v>309.39999999999998</v>
      </c>
    </row>
    <row r="336" spans="1:15" ht="31.5" x14ac:dyDescent="0.2">
      <c r="A336" s="40"/>
      <c r="B336" s="41" t="s">
        <v>40</v>
      </c>
      <c r="C336" s="42" t="s">
        <v>51</v>
      </c>
      <c r="D336" s="43" t="s">
        <v>355</v>
      </c>
      <c r="E336" s="57" t="s">
        <v>545</v>
      </c>
      <c r="F336" s="44" t="s">
        <v>41</v>
      </c>
      <c r="G336" s="45">
        <v>109.4</v>
      </c>
      <c r="H336" s="66"/>
      <c r="I336" s="45">
        <v>109.4</v>
      </c>
      <c r="J336" s="47">
        <v>0</v>
      </c>
      <c r="K336" s="38"/>
      <c r="L336" s="47">
        <v>0</v>
      </c>
      <c r="M336" s="45">
        <f>SUM(G336)</f>
        <v>109.4</v>
      </c>
      <c r="N336" s="45">
        <f t="shared" ref="N336:O343" si="58">SUM(H336)</f>
        <v>0</v>
      </c>
      <c r="O336" s="45">
        <f>SUM(I336)</f>
        <v>109.4</v>
      </c>
    </row>
    <row r="337" spans="1:15" ht="31.5" x14ac:dyDescent="0.2">
      <c r="A337" s="40"/>
      <c r="B337" s="41" t="s">
        <v>112</v>
      </c>
      <c r="C337" s="42">
        <v>992</v>
      </c>
      <c r="D337" s="43" t="s">
        <v>355</v>
      </c>
      <c r="E337" s="57" t="s">
        <v>545</v>
      </c>
      <c r="F337" s="44">
        <v>300</v>
      </c>
      <c r="G337" s="45">
        <v>200</v>
      </c>
      <c r="H337" s="66"/>
      <c r="I337" s="45">
        <f>SUM(G337)</f>
        <v>200</v>
      </c>
      <c r="J337" s="47"/>
      <c r="K337" s="38"/>
      <c r="L337" s="47"/>
      <c r="M337" s="45">
        <f>SUM(G337)</f>
        <v>200</v>
      </c>
      <c r="N337" s="45">
        <f>SUM(H337)</f>
        <v>0</v>
      </c>
      <c r="O337" s="45">
        <f>SUM(I337)</f>
        <v>200</v>
      </c>
    </row>
    <row r="338" spans="1:15" ht="31.5" x14ac:dyDescent="0.2">
      <c r="A338" s="40"/>
      <c r="B338" s="41" t="s">
        <v>385</v>
      </c>
      <c r="C338" s="42">
        <v>992</v>
      </c>
      <c r="D338" s="43" t="s">
        <v>355</v>
      </c>
      <c r="E338" s="43">
        <v>1400124240</v>
      </c>
      <c r="F338" s="44"/>
      <c r="G338" s="45">
        <v>399.7</v>
      </c>
      <c r="H338" s="66"/>
      <c r="I338" s="45">
        <f t="shared" ref="I338:I343" si="59">SUM(G338)</f>
        <v>399.7</v>
      </c>
      <c r="J338" s="47"/>
      <c r="K338" s="38"/>
      <c r="L338" s="47"/>
      <c r="M338" s="45">
        <f>SUM(G338)</f>
        <v>399.7</v>
      </c>
      <c r="N338" s="45">
        <f t="shared" si="58"/>
        <v>0</v>
      </c>
      <c r="O338" s="45">
        <f t="shared" si="58"/>
        <v>399.7</v>
      </c>
    </row>
    <row r="339" spans="1:15" ht="31.5" x14ac:dyDescent="0.2">
      <c r="A339" s="40"/>
      <c r="B339" s="41" t="s">
        <v>40</v>
      </c>
      <c r="C339" s="42">
        <v>992</v>
      </c>
      <c r="D339" s="43" t="s">
        <v>355</v>
      </c>
      <c r="E339" s="43">
        <v>1400124240</v>
      </c>
      <c r="F339" s="44">
        <v>200</v>
      </c>
      <c r="G339" s="45">
        <v>399.7</v>
      </c>
      <c r="H339" s="66"/>
      <c r="I339" s="45">
        <f t="shared" si="59"/>
        <v>399.7</v>
      </c>
      <c r="J339" s="47"/>
      <c r="K339" s="38"/>
      <c r="L339" s="47"/>
      <c r="M339" s="45">
        <f>SUM(G339)</f>
        <v>399.7</v>
      </c>
      <c r="N339" s="45">
        <f t="shared" si="58"/>
        <v>0</v>
      </c>
      <c r="O339" s="45">
        <f t="shared" si="58"/>
        <v>399.7</v>
      </c>
    </row>
    <row r="340" spans="1:15" ht="31.5" x14ac:dyDescent="0.2">
      <c r="A340" s="40"/>
      <c r="B340" s="41" t="s">
        <v>66</v>
      </c>
      <c r="C340" s="42">
        <v>992</v>
      </c>
      <c r="D340" s="43" t="s">
        <v>355</v>
      </c>
      <c r="E340" s="43">
        <v>5200000000</v>
      </c>
      <c r="F340" s="44"/>
      <c r="G340" s="45">
        <v>2838.5</v>
      </c>
      <c r="H340" s="66">
        <f>SUM(H342)</f>
        <v>0</v>
      </c>
      <c r="I340" s="45">
        <f t="shared" si="59"/>
        <v>2838.5</v>
      </c>
      <c r="J340" s="47"/>
      <c r="K340" s="38"/>
      <c r="L340" s="47"/>
      <c r="M340" s="45">
        <v>2838.5</v>
      </c>
      <c r="N340" s="45">
        <f t="shared" si="58"/>
        <v>0</v>
      </c>
      <c r="O340" s="45">
        <f t="shared" si="58"/>
        <v>2838.5</v>
      </c>
    </row>
    <row r="341" spans="1:15" ht="31.5" x14ac:dyDescent="0.2">
      <c r="A341" s="40"/>
      <c r="B341" s="41" t="s">
        <v>80</v>
      </c>
      <c r="C341" s="42">
        <v>992</v>
      </c>
      <c r="D341" s="43" t="s">
        <v>355</v>
      </c>
      <c r="E341" s="43">
        <v>5230000000</v>
      </c>
      <c r="F341" s="44"/>
      <c r="G341" s="45">
        <v>2838.5</v>
      </c>
      <c r="H341" s="66">
        <f>SUM(H343)</f>
        <v>0</v>
      </c>
      <c r="I341" s="45">
        <f t="shared" si="59"/>
        <v>2838.5</v>
      </c>
      <c r="J341" s="47"/>
      <c r="K341" s="38"/>
      <c r="L341" s="47"/>
      <c r="M341" s="45">
        <f>SUM(M343)</f>
        <v>2838.5</v>
      </c>
      <c r="N341" s="45">
        <f t="shared" si="58"/>
        <v>0</v>
      </c>
      <c r="O341" s="45">
        <f t="shared" si="58"/>
        <v>2838.5</v>
      </c>
    </row>
    <row r="342" spans="1:15" ht="31.5" x14ac:dyDescent="0.2">
      <c r="A342" s="40"/>
      <c r="B342" s="41" t="s">
        <v>82</v>
      </c>
      <c r="C342" s="42">
        <v>992</v>
      </c>
      <c r="D342" s="43" t="s">
        <v>355</v>
      </c>
      <c r="E342" s="43">
        <v>5230010490</v>
      </c>
      <c r="F342" s="44"/>
      <c r="G342" s="45">
        <v>2838.5</v>
      </c>
      <c r="H342" s="66">
        <f>SUM(H343)</f>
        <v>0</v>
      </c>
      <c r="I342" s="45">
        <f t="shared" si="59"/>
        <v>2838.5</v>
      </c>
      <c r="J342" s="47"/>
      <c r="K342" s="38"/>
      <c r="L342" s="47"/>
      <c r="M342" s="45">
        <f>SUM(G342)</f>
        <v>2838.5</v>
      </c>
      <c r="N342" s="45">
        <f t="shared" si="58"/>
        <v>0</v>
      </c>
      <c r="O342" s="45">
        <f t="shared" si="58"/>
        <v>2838.5</v>
      </c>
    </row>
    <row r="343" spans="1:15" ht="29.25" customHeight="1" x14ac:dyDescent="0.2">
      <c r="A343" s="40"/>
      <c r="B343" s="41" t="s">
        <v>40</v>
      </c>
      <c r="C343" s="42">
        <v>992</v>
      </c>
      <c r="D343" s="43" t="s">
        <v>355</v>
      </c>
      <c r="E343" s="43">
        <v>5230010490</v>
      </c>
      <c r="F343" s="44">
        <v>200</v>
      </c>
      <c r="G343" s="45">
        <v>2838.5</v>
      </c>
      <c r="H343" s="66"/>
      <c r="I343" s="45">
        <f t="shared" si="59"/>
        <v>2838.5</v>
      </c>
      <c r="J343" s="47"/>
      <c r="K343" s="38"/>
      <c r="L343" s="47"/>
      <c r="M343" s="45">
        <f>SUM(G343)</f>
        <v>2838.5</v>
      </c>
      <c r="N343" s="45">
        <f t="shared" si="58"/>
        <v>0</v>
      </c>
      <c r="O343" s="45">
        <f t="shared" si="58"/>
        <v>2838.5</v>
      </c>
    </row>
    <row r="344" spans="1:15" ht="31.5" hidden="1" x14ac:dyDescent="0.2">
      <c r="A344" s="40"/>
      <c r="B344" s="41" t="s">
        <v>40</v>
      </c>
      <c r="C344" s="42"/>
      <c r="D344" s="43"/>
      <c r="E344" s="43"/>
      <c r="F344" s="44"/>
      <c r="G344" s="45"/>
      <c r="H344" s="38"/>
      <c r="I344" s="45"/>
      <c r="J344" s="47"/>
      <c r="K344" s="38"/>
      <c r="L344" s="47"/>
      <c r="M344" s="45"/>
      <c r="N344" s="45"/>
      <c r="O344" s="45"/>
    </row>
    <row r="345" spans="1:15" ht="31.5" x14ac:dyDescent="0.2">
      <c r="A345" s="33" t="s">
        <v>386</v>
      </c>
      <c r="B345" s="34" t="s">
        <v>387</v>
      </c>
      <c r="C345" s="35" t="s">
        <v>51</v>
      </c>
      <c r="D345" s="36" t="s">
        <v>388</v>
      </c>
      <c r="E345" s="36" t="s">
        <v>11</v>
      </c>
      <c r="F345" s="37" t="s">
        <v>11</v>
      </c>
      <c r="G345" s="38">
        <f t="shared" ref="G345:O346" si="60">G346</f>
        <v>91364.800000000003</v>
      </c>
      <c r="H345" s="45">
        <f t="shared" si="60"/>
        <v>12567.199999999999</v>
      </c>
      <c r="I345" s="38">
        <f t="shared" si="60"/>
        <v>103932.00000000001</v>
      </c>
      <c r="J345" s="39">
        <f t="shared" si="60"/>
        <v>0</v>
      </c>
      <c r="K345" s="45">
        <f t="shared" si="60"/>
        <v>0</v>
      </c>
      <c r="L345" s="39">
        <f t="shared" si="60"/>
        <v>0</v>
      </c>
      <c r="M345" s="38">
        <f t="shared" si="60"/>
        <v>91364.800000000003</v>
      </c>
      <c r="N345" s="38">
        <f t="shared" si="60"/>
        <v>12567.199999999999</v>
      </c>
      <c r="O345" s="78">
        <f t="shared" si="60"/>
        <v>103932.00000000001</v>
      </c>
    </row>
    <row r="346" spans="1:15" ht="31.5" x14ac:dyDescent="0.2">
      <c r="A346" s="40"/>
      <c r="B346" s="41" t="s">
        <v>245</v>
      </c>
      <c r="C346" s="42" t="s">
        <v>51</v>
      </c>
      <c r="D346" s="43" t="s">
        <v>388</v>
      </c>
      <c r="E346" s="43" t="s">
        <v>246</v>
      </c>
      <c r="F346" s="44" t="s">
        <v>11</v>
      </c>
      <c r="G346" s="45">
        <f t="shared" si="60"/>
        <v>91364.800000000003</v>
      </c>
      <c r="H346" s="45">
        <f t="shared" si="60"/>
        <v>12567.199999999999</v>
      </c>
      <c r="I346" s="45">
        <f t="shared" si="60"/>
        <v>103932.00000000001</v>
      </c>
      <c r="J346" s="46">
        <f t="shared" si="60"/>
        <v>0</v>
      </c>
      <c r="K346" s="45">
        <f>K347+K350</f>
        <v>0</v>
      </c>
      <c r="L346" s="46">
        <f t="shared" si="60"/>
        <v>0</v>
      </c>
      <c r="M346" s="45">
        <f t="shared" si="60"/>
        <v>91364.800000000003</v>
      </c>
      <c r="N346" s="45">
        <f t="shared" si="60"/>
        <v>12567.199999999999</v>
      </c>
      <c r="O346" s="45">
        <f t="shared" si="60"/>
        <v>103932.00000000001</v>
      </c>
    </row>
    <row r="347" spans="1:15" ht="15.75" x14ac:dyDescent="0.2">
      <c r="A347" s="40"/>
      <c r="B347" s="41" t="s">
        <v>247</v>
      </c>
      <c r="C347" s="42" t="s">
        <v>51</v>
      </c>
      <c r="D347" s="43" t="s">
        <v>388</v>
      </c>
      <c r="E347" s="43" t="s">
        <v>248</v>
      </c>
      <c r="F347" s="44" t="s">
        <v>11</v>
      </c>
      <c r="G347" s="45">
        <f>G348+G351</f>
        <v>91364.800000000003</v>
      </c>
      <c r="H347" s="45">
        <f>SUM(H351)+H348</f>
        <v>12567.199999999999</v>
      </c>
      <c r="I347" s="45">
        <f>I348+I351</f>
        <v>103932.00000000001</v>
      </c>
      <c r="J347" s="46">
        <f>J348+J351</f>
        <v>0</v>
      </c>
      <c r="K347" s="45">
        <f t="shared" ref="G347:O349" si="61">K348</f>
        <v>0</v>
      </c>
      <c r="L347" s="46">
        <f>L348+L351</f>
        <v>0</v>
      </c>
      <c r="M347" s="45">
        <f>M348+M351+M354+M356</f>
        <v>91364.800000000003</v>
      </c>
      <c r="N347" s="45">
        <f>N348+N351</f>
        <v>12567.199999999999</v>
      </c>
      <c r="O347" s="45">
        <f>O348+O351</f>
        <v>103932.00000000001</v>
      </c>
    </row>
    <row r="348" spans="1:15" ht="31.5" x14ac:dyDescent="0.2">
      <c r="A348" s="40"/>
      <c r="B348" s="41" t="s">
        <v>389</v>
      </c>
      <c r="C348" s="42" t="s">
        <v>51</v>
      </c>
      <c r="D348" s="43" t="s">
        <v>388</v>
      </c>
      <c r="E348" s="43" t="s">
        <v>390</v>
      </c>
      <c r="F348" s="44" t="s">
        <v>11</v>
      </c>
      <c r="G348" s="45">
        <f t="shared" si="61"/>
        <v>7768.7</v>
      </c>
      <c r="H348" s="45">
        <f t="shared" si="61"/>
        <v>930.4</v>
      </c>
      <c r="I348" s="45">
        <f t="shared" si="61"/>
        <v>8699.1</v>
      </c>
      <c r="J348" s="46">
        <f t="shared" si="61"/>
        <v>0</v>
      </c>
      <c r="K348" s="45">
        <f t="shared" si="61"/>
        <v>0</v>
      </c>
      <c r="L348" s="46">
        <f t="shared" si="61"/>
        <v>0</v>
      </c>
      <c r="M348" s="45">
        <f t="shared" si="61"/>
        <v>7768.7</v>
      </c>
      <c r="N348" s="45">
        <f t="shared" si="61"/>
        <v>930.4</v>
      </c>
      <c r="O348" s="45">
        <f t="shared" si="61"/>
        <v>8699.1</v>
      </c>
    </row>
    <row r="349" spans="1:15" ht="31.5" x14ac:dyDescent="0.2">
      <c r="A349" s="40"/>
      <c r="B349" s="41" t="s">
        <v>134</v>
      </c>
      <c r="C349" s="42" t="s">
        <v>51</v>
      </c>
      <c r="D349" s="43" t="s">
        <v>388</v>
      </c>
      <c r="E349" s="43" t="s">
        <v>391</v>
      </c>
      <c r="F349" s="44" t="s">
        <v>11</v>
      </c>
      <c r="G349" s="45">
        <f t="shared" si="61"/>
        <v>7768.7</v>
      </c>
      <c r="H349" s="45">
        <v>930.4</v>
      </c>
      <c r="I349" s="45">
        <f t="shared" si="61"/>
        <v>8699.1</v>
      </c>
      <c r="J349" s="46">
        <f t="shared" si="61"/>
        <v>0</v>
      </c>
      <c r="K349" s="45"/>
      <c r="L349" s="46">
        <f t="shared" si="61"/>
        <v>0</v>
      </c>
      <c r="M349" s="45">
        <f t="shared" si="61"/>
        <v>7768.7</v>
      </c>
      <c r="N349" s="45">
        <f t="shared" si="61"/>
        <v>930.4</v>
      </c>
      <c r="O349" s="45">
        <f t="shared" si="61"/>
        <v>8699.1</v>
      </c>
    </row>
    <row r="350" spans="1:15" ht="33.6" customHeight="1" x14ac:dyDescent="0.2">
      <c r="A350" s="40"/>
      <c r="B350" s="41" t="s">
        <v>95</v>
      </c>
      <c r="C350" s="42" t="s">
        <v>51</v>
      </c>
      <c r="D350" s="43" t="s">
        <v>388</v>
      </c>
      <c r="E350" s="43" t="s">
        <v>391</v>
      </c>
      <c r="F350" s="44" t="s">
        <v>96</v>
      </c>
      <c r="G350" s="45">
        <v>7768.7</v>
      </c>
      <c r="H350" s="45">
        <v>930.4</v>
      </c>
      <c r="I350" s="45">
        <f>7768.7+H350</f>
        <v>8699.1</v>
      </c>
      <c r="J350" s="47">
        <v>0</v>
      </c>
      <c r="K350" s="45"/>
      <c r="L350" s="47">
        <v>0</v>
      </c>
      <c r="M350" s="45">
        <v>7768.7</v>
      </c>
      <c r="N350" s="45">
        <f>SUM(H350)</f>
        <v>930.4</v>
      </c>
      <c r="O350" s="45">
        <f>7768.7+N350</f>
        <v>8699.1</v>
      </c>
    </row>
    <row r="351" spans="1:15" ht="47.25" x14ac:dyDescent="0.2">
      <c r="A351" s="40"/>
      <c r="B351" s="41" t="s">
        <v>249</v>
      </c>
      <c r="C351" s="42" t="s">
        <v>51</v>
      </c>
      <c r="D351" s="43" t="s">
        <v>388</v>
      </c>
      <c r="E351" s="43" t="s">
        <v>250</v>
      </c>
      <c r="F351" s="44" t="s">
        <v>11</v>
      </c>
      <c r="G351" s="45">
        <f>G352+G354+G356</f>
        <v>83596.100000000006</v>
      </c>
      <c r="H351" s="45">
        <f>H352+H356+H354</f>
        <v>11636.8</v>
      </c>
      <c r="I351" s="45">
        <f>I352+I356+I354</f>
        <v>95232.900000000009</v>
      </c>
      <c r="J351" s="46">
        <f t="shared" ref="G351:O352" si="62">J352</f>
        <v>0</v>
      </c>
      <c r="K351" s="45">
        <f t="shared" si="62"/>
        <v>0</v>
      </c>
      <c r="L351" s="46">
        <f t="shared" si="62"/>
        <v>0</v>
      </c>
      <c r="M351" s="45">
        <f t="shared" si="62"/>
        <v>81676.100000000006</v>
      </c>
      <c r="N351" s="45">
        <f>N352+N356+N354</f>
        <v>11636.8</v>
      </c>
      <c r="O351" s="45">
        <f>O352+O356+O354</f>
        <v>95232.900000000009</v>
      </c>
    </row>
    <row r="352" spans="1:15" ht="31.5" x14ac:dyDescent="0.2">
      <c r="A352" s="40"/>
      <c r="B352" s="41" t="s">
        <v>134</v>
      </c>
      <c r="C352" s="42" t="s">
        <v>51</v>
      </c>
      <c r="D352" s="43" t="s">
        <v>388</v>
      </c>
      <c r="E352" s="43" t="s">
        <v>251</v>
      </c>
      <c r="F352" s="44" t="s">
        <v>11</v>
      </c>
      <c r="G352" s="45">
        <f t="shared" si="62"/>
        <v>81676.100000000006</v>
      </c>
      <c r="H352" s="45">
        <f t="shared" si="62"/>
        <v>11636.8</v>
      </c>
      <c r="I352" s="45">
        <f t="shared" si="62"/>
        <v>93312.900000000009</v>
      </c>
      <c r="J352" s="46">
        <f t="shared" si="62"/>
        <v>0</v>
      </c>
      <c r="K352" s="45"/>
      <c r="L352" s="46">
        <f t="shared" si="62"/>
        <v>0</v>
      </c>
      <c r="M352" s="45">
        <f t="shared" si="62"/>
        <v>81676.100000000006</v>
      </c>
      <c r="N352" s="45">
        <f t="shared" si="62"/>
        <v>11636.8</v>
      </c>
      <c r="O352" s="45">
        <f t="shared" si="62"/>
        <v>93312.900000000009</v>
      </c>
    </row>
    <row r="353" spans="1:16" ht="33.6" customHeight="1" x14ac:dyDescent="0.2">
      <c r="A353" s="40"/>
      <c r="B353" s="41" t="s">
        <v>95</v>
      </c>
      <c r="C353" s="42" t="s">
        <v>51</v>
      </c>
      <c r="D353" s="43" t="s">
        <v>388</v>
      </c>
      <c r="E353" s="43" t="s">
        <v>251</v>
      </c>
      <c r="F353" s="44" t="s">
        <v>96</v>
      </c>
      <c r="G353" s="45">
        <v>81676.100000000006</v>
      </c>
      <c r="H353" s="45">
        <v>11636.8</v>
      </c>
      <c r="I353" s="45">
        <f>SUM(G353)+H353</f>
        <v>93312.900000000009</v>
      </c>
      <c r="J353" s="47">
        <v>0</v>
      </c>
      <c r="K353" s="25"/>
      <c r="L353" s="47">
        <v>0</v>
      </c>
      <c r="M353" s="45">
        <f>SUM(G353)</f>
        <v>81676.100000000006</v>
      </c>
      <c r="N353" s="45">
        <f>SUM(H353)</f>
        <v>11636.8</v>
      </c>
      <c r="O353" s="45">
        <f>SUM(M353)+N353</f>
        <v>93312.900000000009</v>
      </c>
    </row>
    <row r="354" spans="1:16" ht="33.6" customHeight="1" x14ac:dyDescent="0.2">
      <c r="A354" s="40"/>
      <c r="B354" s="71" t="s">
        <v>392</v>
      </c>
      <c r="C354" s="42">
        <v>992</v>
      </c>
      <c r="D354" s="43" t="s">
        <v>388</v>
      </c>
      <c r="E354" s="57" t="s">
        <v>393</v>
      </c>
      <c r="F354" s="44"/>
      <c r="G354" s="45">
        <f>SUM(G355)</f>
        <v>779</v>
      </c>
      <c r="H354" s="45"/>
      <c r="I354" s="45">
        <f>SUM(G354)</f>
        <v>779</v>
      </c>
      <c r="J354" s="47"/>
      <c r="K354" s="25"/>
      <c r="L354" s="47"/>
      <c r="M354" s="45">
        <f>SUM(G354)</f>
        <v>779</v>
      </c>
      <c r="N354" s="45">
        <f t="shared" ref="N354:O357" si="63">SUM(H354)</f>
        <v>0</v>
      </c>
      <c r="O354" s="45">
        <f t="shared" si="63"/>
        <v>779</v>
      </c>
    </row>
    <row r="355" spans="1:16" ht="33.6" customHeight="1" x14ac:dyDescent="0.2">
      <c r="A355" s="40"/>
      <c r="B355" s="41" t="s">
        <v>95</v>
      </c>
      <c r="C355" s="42">
        <v>992</v>
      </c>
      <c r="D355" s="43" t="s">
        <v>388</v>
      </c>
      <c r="E355" s="57" t="s">
        <v>393</v>
      </c>
      <c r="F355" s="44">
        <v>600</v>
      </c>
      <c r="G355" s="45">
        <v>779</v>
      </c>
      <c r="H355" s="45"/>
      <c r="I355" s="45">
        <f>SUM(G355)</f>
        <v>779</v>
      </c>
      <c r="J355" s="47"/>
      <c r="K355" s="25"/>
      <c r="L355" s="47"/>
      <c r="M355" s="45">
        <f>SUM(G355)</f>
        <v>779</v>
      </c>
      <c r="N355" s="45">
        <f t="shared" si="63"/>
        <v>0</v>
      </c>
      <c r="O355" s="45">
        <f t="shared" si="63"/>
        <v>779</v>
      </c>
    </row>
    <row r="356" spans="1:16" ht="51" customHeight="1" x14ac:dyDescent="0.2">
      <c r="A356" s="40"/>
      <c r="B356" s="41" t="s">
        <v>283</v>
      </c>
      <c r="C356" s="42">
        <v>992</v>
      </c>
      <c r="D356" s="43" t="s">
        <v>388</v>
      </c>
      <c r="E356" s="57" t="s">
        <v>284</v>
      </c>
      <c r="F356" s="44"/>
      <c r="G356" s="45">
        <f>SUM(G357)</f>
        <v>1141</v>
      </c>
      <c r="H356" s="45">
        <f>SUM(H357)</f>
        <v>0</v>
      </c>
      <c r="I356" s="45">
        <f>SUM(G356)</f>
        <v>1141</v>
      </c>
      <c r="J356" s="47"/>
      <c r="K356" s="25"/>
      <c r="L356" s="47"/>
      <c r="M356" s="45">
        <f>SUM(G356)</f>
        <v>1141</v>
      </c>
      <c r="N356" s="45">
        <f t="shared" si="63"/>
        <v>0</v>
      </c>
      <c r="O356" s="45">
        <f t="shared" si="63"/>
        <v>1141</v>
      </c>
    </row>
    <row r="357" spans="1:16" ht="33.6" customHeight="1" x14ac:dyDescent="0.2">
      <c r="A357" s="40"/>
      <c r="B357" s="41" t="s">
        <v>95</v>
      </c>
      <c r="C357" s="42">
        <v>992</v>
      </c>
      <c r="D357" s="43" t="s">
        <v>388</v>
      </c>
      <c r="E357" s="57" t="s">
        <v>284</v>
      </c>
      <c r="F357" s="44">
        <v>600</v>
      </c>
      <c r="G357" s="45">
        <v>1141</v>
      </c>
      <c r="H357" s="45"/>
      <c r="I357" s="45">
        <f>SUM(G357)</f>
        <v>1141</v>
      </c>
      <c r="J357" s="47"/>
      <c r="K357" s="25"/>
      <c r="L357" s="47"/>
      <c r="M357" s="45">
        <f>SUM(G357)</f>
        <v>1141</v>
      </c>
      <c r="N357" s="45">
        <f t="shared" si="63"/>
        <v>0</v>
      </c>
      <c r="O357" s="45">
        <f t="shared" si="63"/>
        <v>1141</v>
      </c>
    </row>
    <row r="358" spans="1:16" ht="15.75" x14ac:dyDescent="0.2">
      <c r="A358" s="20" t="s">
        <v>394</v>
      </c>
      <c r="B358" s="21" t="s">
        <v>395</v>
      </c>
      <c r="C358" s="22" t="s">
        <v>51</v>
      </c>
      <c r="D358" s="23" t="s">
        <v>396</v>
      </c>
      <c r="E358" s="23" t="s">
        <v>11</v>
      </c>
      <c r="F358" s="24" t="s">
        <v>11</v>
      </c>
      <c r="G358" s="25">
        <f>G359</f>
        <v>13989.1</v>
      </c>
      <c r="H358" s="38">
        <f>H359</f>
        <v>931.3</v>
      </c>
      <c r="I358" s="25">
        <f>I359</f>
        <v>14920.400000000001</v>
      </c>
      <c r="J358" s="26">
        <f>J359</f>
        <v>156</v>
      </c>
      <c r="K358" s="38">
        <f>K359+K373</f>
        <v>0</v>
      </c>
      <c r="L358" s="26">
        <f>L359</f>
        <v>156</v>
      </c>
      <c r="M358" s="25">
        <f>M359</f>
        <v>14145.1</v>
      </c>
      <c r="N358" s="25">
        <f>N359</f>
        <v>931.3</v>
      </c>
      <c r="O358" s="25">
        <f>O359</f>
        <v>15076.400000000001</v>
      </c>
      <c r="P358" s="17"/>
    </row>
    <row r="359" spans="1:16" ht="15.75" x14ac:dyDescent="0.2">
      <c r="A359" s="33" t="s">
        <v>397</v>
      </c>
      <c r="B359" s="34" t="s">
        <v>398</v>
      </c>
      <c r="C359" s="35" t="s">
        <v>51</v>
      </c>
      <c r="D359" s="36" t="s">
        <v>399</v>
      </c>
      <c r="E359" s="36" t="s">
        <v>11</v>
      </c>
      <c r="F359" s="37" t="s">
        <v>11</v>
      </c>
      <c r="G359" s="38">
        <f>G360+G376</f>
        <v>13989.1</v>
      </c>
      <c r="H359" s="45">
        <f>H360+H365</f>
        <v>931.3</v>
      </c>
      <c r="I359" s="38">
        <f>I360+I376</f>
        <v>14920.400000000001</v>
      </c>
      <c r="J359" s="39">
        <f>J360+J376</f>
        <v>156</v>
      </c>
      <c r="K359" s="45">
        <f>K360+K366</f>
        <v>0</v>
      </c>
      <c r="L359" s="39">
        <f>L360+L376</f>
        <v>156</v>
      </c>
      <c r="M359" s="38">
        <f>M360+M376</f>
        <v>14145.1</v>
      </c>
      <c r="N359" s="38">
        <f>N360+N376</f>
        <v>931.3</v>
      </c>
      <c r="O359" s="38">
        <f>O360+O376</f>
        <v>15076.400000000001</v>
      </c>
      <c r="P359" s="15"/>
    </row>
    <row r="360" spans="1:16" ht="31.5" x14ac:dyDescent="0.2">
      <c r="A360" s="40"/>
      <c r="B360" s="41" t="s">
        <v>400</v>
      </c>
      <c r="C360" s="42" t="s">
        <v>51</v>
      </c>
      <c r="D360" s="43" t="s">
        <v>399</v>
      </c>
      <c r="E360" s="43" t="s">
        <v>401</v>
      </c>
      <c r="F360" s="44" t="s">
        <v>11</v>
      </c>
      <c r="G360" s="45">
        <f>G361+G367</f>
        <v>13909.1</v>
      </c>
      <c r="H360" s="45">
        <f>H361+H363+H367+H372</f>
        <v>1002.3</v>
      </c>
      <c r="I360" s="45">
        <f>I361+I367</f>
        <v>14840.400000000001</v>
      </c>
      <c r="J360" s="45">
        <f>J361+J363+J374</f>
        <v>156</v>
      </c>
      <c r="K360" s="45">
        <f>K361+K363+K367+K374</f>
        <v>0</v>
      </c>
      <c r="L360" s="45">
        <f>L361+L363+L374</f>
        <v>156</v>
      </c>
      <c r="M360" s="45">
        <f>M361+M367</f>
        <v>14065.1</v>
      </c>
      <c r="N360" s="45">
        <f>N361+N367+K360</f>
        <v>931.3</v>
      </c>
      <c r="O360" s="45">
        <f>O361+O367</f>
        <v>14996.400000000001</v>
      </c>
    </row>
    <row r="361" spans="1:16" ht="47.25" x14ac:dyDescent="0.2">
      <c r="A361" s="40"/>
      <c r="B361" s="41" t="s">
        <v>402</v>
      </c>
      <c r="C361" s="42" t="s">
        <v>51</v>
      </c>
      <c r="D361" s="43" t="s">
        <v>399</v>
      </c>
      <c r="E361" s="43" t="s">
        <v>403</v>
      </c>
      <c r="F361" s="44" t="s">
        <v>11</v>
      </c>
      <c r="G361" s="45">
        <f>G362+G365</f>
        <v>2346.5</v>
      </c>
      <c r="H361" s="45">
        <f>H362</f>
        <v>71</v>
      </c>
      <c r="I361" s="45">
        <f>I362+I365</f>
        <v>2346.5</v>
      </c>
      <c r="J361" s="46">
        <f>J362+J365</f>
        <v>0</v>
      </c>
      <c r="K361" s="45">
        <f>K362</f>
        <v>0</v>
      </c>
      <c r="L361" s="46">
        <f>L362+L365</f>
        <v>0</v>
      </c>
      <c r="M361" s="45">
        <f>M362+M365</f>
        <v>2346.5</v>
      </c>
      <c r="N361" s="45">
        <f>N362+N365</f>
        <v>0</v>
      </c>
      <c r="O361" s="45">
        <f>O362+O365</f>
        <v>2346.5</v>
      </c>
    </row>
    <row r="362" spans="1:16" ht="47.25" x14ac:dyDescent="0.2">
      <c r="A362" s="40"/>
      <c r="B362" s="41" t="s">
        <v>404</v>
      </c>
      <c r="C362" s="42" t="s">
        <v>51</v>
      </c>
      <c r="D362" s="43" t="s">
        <v>399</v>
      </c>
      <c r="E362" s="43" t="s">
        <v>405</v>
      </c>
      <c r="F362" s="44" t="s">
        <v>11</v>
      </c>
      <c r="G362" s="45">
        <f>G363</f>
        <v>1500</v>
      </c>
      <c r="H362" s="45">
        <f>SUM(H364)</f>
        <v>71</v>
      </c>
      <c r="I362" s="45">
        <f>I363+H362</f>
        <v>1571</v>
      </c>
      <c r="J362" s="46">
        <f>J363</f>
        <v>0</v>
      </c>
      <c r="K362" s="45"/>
      <c r="L362" s="46">
        <f>L363</f>
        <v>0</v>
      </c>
      <c r="M362" s="45">
        <f>M363</f>
        <v>1500</v>
      </c>
      <c r="N362" s="45">
        <f>SUM(H362)</f>
        <v>71</v>
      </c>
      <c r="O362" s="45">
        <f>O363+O364</f>
        <v>1571</v>
      </c>
    </row>
    <row r="363" spans="1:16" ht="78.75" x14ac:dyDescent="0.2">
      <c r="A363" s="40"/>
      <c r="B363" s="41" t="s">
        <v>61</v>
      </c>
      <c r="C363" s="42" t="s">
        <v>51</v>
      </c>
      <c r="D363" s="43" t="s">
        <v>399</v>
      </c>
      <c r="E363" s="43" t="s">
        <v>405</v>
      </c>
      <c r="F363" s="44" t="s">
        <v>62</v>
      </c>
      <c r="G363" s="45">
        <v>1500</v>
      </c>
      <c r="H363" s="45"/>
      <c r="I363" s="45">
        <v>1500</v>
      </c>
      <c r="J363" s="47">
        <v>0</v>
      </c>
      <c r="K363" s="45"/>
      <c r="L363" s="47">
        <v>0</v>
      </c>
      <c r="M363" s="45">
        <v>1500</v>
      </c>
      <c r="N363" s="45"/>
      <c r="O363" s="45">
        <v>1500</v>
      </c>
    </row>
    <row r="364" spans="1:16" ht="31.5" x14ac:dyDescent="0.2">
      <c r="A364" s="40"/>
      <c r="B364" s="41" t="s">
        <v>408</v>
      </c>
      <c r="C364" s="42" t="s">
        <v>51</v>
      </c>
      <c r="D364" s="43" t="s">
        <v>399</v>
      </c>
      <c r="E364" s="43" t="s">
        <v>405</v>
      </c>
      <c r="F364" s="44">
        <v>200</v>
      </c>
      <c r="G364" s="45"/>
      <c r="H364" s="45">
        <v>71</v>
      </c>
      <c r="I364" s="45">
        <f>SUM(H364)</f>
        <v>71</v>
      </c>
      <c r="J364" s="47"/>
      <c r="K364" s="45"/>
      <c r="L364" s="47"/>
      <c r="M364" s="45"/>
      <c r="N364" s="45">
        <f>SUM(H364)</f>
        <v>71</v>
      </c>
      <c r="O364" s="45">
        <f>SUM(I364)</f>
        <v>71</v>
      </c>
    </row>
    <row r="365" spans="1:16" ht="47.25" x14ac:dyDescent="0.2">
      <c r="A365" s="40"/>
      <c r="B365" s="41" t="s">
        <v>406</v>
      </c>
      <c r="C365" s="42" t="s">
        <v>51</v>
      </c>
      <c r="D365" s="43" t="s">
        <v>399</v>
      </c>
      <c r="E365" s="43" t="s">
        <v>407</v>
      </c>
      <c r="F365" s="44" t="s">
        <v>11</v>
      </c>
      <c r="G365" s="45">
        <f>G366</f>
        <v>846.5</v>
      </c>
      <c r="H365" s="45">
        <v>-71</v>
      </c>
      <c r="I365" s="45">
        <f>I366</f>
        <v>775.5</v>
      </c>
      <c r="J365" s="46">
        <f>J366</f>
        <v>0</v>
      </c>
      <c r="K365" s="45"/>
      <c r="L365" s="46">
        <f>L366</f>
        <v>0</v>
      </c>
      <c r="M365" s="45">
        <f>M366</f>
        <v>846.5</v>
      </c>
      <c r="N365" s="45">
        <f>N366</f>
        <v>-71</v>
      </c>
      <c r="O365" s="45">
        <f>O366</f>
        <v>775.5</v>
      </c>
    </row>
    <row r="366" spans="1:16" ht="31.5" x14ac:dyDescent="0.2">
      <c r="A366" s="40"/>
      <c r="B366" s="41" t="s">
        <v>408</v>
      </c>
      <c r="C366" s="42" t="s">
        <v>51</v>
      </c>
      <c r="D366" s="43" t="s">
        <v>399</v>
      </c>
      <c r="E366" s="43" t="s">
        <v>407</v>
      </c>
      <c r="F366" s="44" t="s">
        <v>41</v>
      </c>
      <c r="G366" s="45">
        <v>846.5</v>
      </c>
      <c r="H366" s="45">
        <v>-71</v>
      </c>
      <c r="I366" s="45">
        <f>846.5+H365</f>
        <v>775.5</v>
      </c>
      <c r="J366" s="47">
        <v>0</v>
      </c>
      <c r="K366" s="45"/>
      <c r="L366" s="47">
        <v>0</v>
      </c>
      <c r="M366" s="45">
        <v>846.5</v>
      </c>
      <c r="N366" s="45">
        <f>SUM(H366)</f>
        <v>-71</v>
      </c>
      <c r="O366" s="45">
        <f>846.5+N366</f>
        <v>775.5</v>
      </c>
    </row>
    <row r="367" spans="1:16" ht="49.15" customHeight="1" x14ac:dyDescent="0.2">
      <c r="A367" s="40"/>
      <c r="B367" s="41" t="s">
        <v>409</v>
      </c>
      <c r="C367" s="42" t="s">
        <v>51</v>
      </c>
      <c r="D367" s="43" t="s">
        <v>399</v>
      </c>
      <c r="E367" s="43" t="s">
        <v>410</v>
      </c>
      <c r="F367" s="44" t="s">
        <v>11</v>
      </c>
      <c r="G367" s="45">
        <f>G368+G372</f>
        <v>11562.6</v>
      </c>
      <c r="H367" s="45">
        <f>H368</f>
        <v>931.3</v>
      </c>
      <c r="I367" s="45">
        <f>I368+I372</f>
        <v>12493.900000000001</v>
      </c>
      <c r="J367" s="46">
        <f>J368+J372+J374</f>
        <v>156</v>
      </c>
      <c r="K367" s="45">
        <f>K368+K369+K374</f>
        <v>0</v>
      </c>
      <c r="L367" s="46">
        <f>L368+L372+L374</f>
        <v>156</v>
      </c>
      <c r="M367" s="45">
        <f>M368+M372</f>
        <v>11718.6</v>
      </c>
      <c r="N367" s="45">
        <f>N368+N372</f>
        <v>931.3</v>
      </c>
      <c r="O367" s="45">
        <f>O368+O372+O374</f>
        <v>12649.900000000001</v>
      </c>
    </row>
    <row r="368" spans="1:16" ht="31.5" x14ac:dyDescent="0.2">
      <c r="A368" s="40"/>
      <c r="B368" s="41" t="s">
        <v>134</v>
      </c>
      <c r="C368" s="42" t="s">
        <v>51</v>
      </c>
      <c r="D368" s="43" t="s">
        <v>399</v>
      </c>
      <c r="E368" s="43" t="s">
        <v>411</v>
      </c>
      <c r="F368" s="44" t="s">
        <v>11</v>
      </c>
      <c r="G368" s="45">
        <f>G369+G370+G371</f>
        <v>10677.5</v>
      </c>
      <c r="H368" s="45">
        <f>H369+H370+H371</f>
        <v>931.3</v>
      </c>
      <c r="I368" s="45">
        <f>I369+I370+I371</f>
        <v>11608.800000000001</v>
      </c>
      <c r="J368" s="46">
        <f>J369+J370+J371</f>
        <v>0</v>
      </c>
      <c r="K368" s="45">
        <f>SUM(K370)</f>
        <v>0</v>
      </c>
      <c r="L368" s="46">
        <f>L369+L370+L371</f>
        <v>0</v>
      </c>
      <c r="M368" s="45">
        <f>M369+M370+M371</f>
        <v>10677.5</v>
      </c>
      <c r="N368" s="45">
        <f>N369+N370+N371</f>
        <v>931.3</v>
      </c>
      <c r="O368" s="45">
        <f>O369+O370+O371</f>
        <v>11608.800000000001</v>
      </c>
    </row>
    <row r="369" spans="1:16" ht="78.75" x14ac:dyDescent="0.2">
      <c r="A369" s="40"/>
      <c r="B369" s="41" t="s">
        <v>61</v>
      </c>
      <c r="C369" s="42" t="s">
        <v>51</v>
      </c>
      <c r="D369" s="43" t="s">
        <v>399</v>
      </c>
      <c r="E369" s="43" t="s">
        <v>411</v>
      </c>
      <c r="F369" s="44" t="s">
        <v>62</v>
      </c>
      <c r="G369" s="45">
        <v>8018.2</v>
      </c>
      <c r="H369" s="45">
        <v>931.3</v>
      </c>
      <c r="I369" s="45">
        <f>SUM(G369)+H369</f>
        <v>8949.5</v>
      </c>
      <c r="J369" s="47">
        <v>0</v>
      </c>
      <c r="K369" s="45"/>
      <c r="L369" s="47">
        <v>0</v>
      </c>
      <c r="M369" s="45">
        <f>SUM(G369)</f>
        <v>8018.2</v>
      </c>
      <c r="N369" s="45">
        <f>SUM(H369)</f>
        <v>931.3</v>
      </c>
      <c r="O369" s="45">
        <f>SUM(I369)</f>
        <v>8949.5</v>
      </c>
    </row>
    <row r="370" spans="1:16" ht="31.5" x14ac:dyDescent="0.2">
      <c r="A370" s="40"/>
      <c r="B370" s="41" t="s">
        <v>40</v>
      </c>
      <c r="C370" s="42" t="s">
        <v>51</v>
      </c>
      <c r="D370" s="43" t="s">
        <v>399</v>
      </c>
      <c r="E370" s="43" t="s">
        <v>411</v>
      </c>
      <c r="F370" s="44" t="s">
        <v>41</v>
      </c>
      <c r="G370" s="45">
        <v>2655.6</v>
      </c>
      <c r="H370" s="45"/>
      <c r="I370" s="45">
        <f>SUM(G370)+H370</f>
        <v>2655.6</v>
      </c>
      <c r="J370" s="47">
        <v>0</v>
      </c>
      <c r="K370" s="45"/>
      <c r="L370" s="46">
        <f>K370</f>
        <v>0</v>
      </c>
      <c r="M370" s="45">
        <f>SUM(G370)</f>
        <v>2655.6</v>
      </c>
      <c r="N370" s="45">
        <f>SUM(H370+K370)</f>
        <v>0</v>
      </c>
      <c r="O370" s="45">
        <f>SUM(I370)</f>
        <v>2655.6</v>
      </c>
    </row>
    <row r="371" spans="1:16" ht="15.75" x14ac:dyDescent="0.2">
      <c r="A371" s="40"/>
      <c r="B371" s="41" t="s">
        <v>338</v>
      </c>
      <c r="C371" s="42" t="s">
        <v>51</v>
      </c>
      <c r="D371" s="43" t="s">
        <v>399</v>
      </c>
      <c r="E371" s="43" t="s">
        <v>411</v>
      </c>
      <c r="F371" s="44" t="s">
        <v>71</v>
      </c>
      <c r="G371" s="45">
        <v>3.7</v>
      </c>
      <c r="H371" s="45"/>
      <c r="I371" s="45">
        <v>3.7</v>
      </c>
      <c r="J371" s="47">
        <v>0</v>
      </c>
      <c r="K371" s="45"/>
      <c r="L371" s="47">
        <v>0</v>
      </c>
      <c r="M371" s="45">
        <v>3.7</v>
      </c>
      <c r="N371" s="45"/>
      <c r="O371" s="45">
        <v>3.7</v>
      </c>
    </row>
    <row r="372" spans="1:16" ht="31.5" x14ac:dyDescent="0.2">
      <c r="A372" s="40"/>
      <c r="B372" s="41" t="s">
        <v>412</v>
      </c>
      <c r="C372" s="42" t="s">
        <v>51</v>
      </c>
      <c r="D372" s="43" t="s">
        <v>399</v>
      </c>
      <c r="E372" s="43" t="s">
        <v>413</v>
      </c>
      <c r="F372" s="44" t="s">
        <v>11</v>
      </c>
      <c r="G372" s="45">
        <f>G373</f>
        <v>885.1</v>
      </c>
      <c r="H372" s="45"/>
      <c r="I372" s="45">
        <f>I373</f>
        <v>885.1</v>
      </c>
      <c r="J372" s="46">
        <f>J373</f>
        <v>0</v>
      </c>
      <c r="K372" s="45"/>
      <c r="L372" s="46">
        <f>L373</f>
        <v>0</v>
      </c>
      <c r="M372" s="45">
        <f>M373+M374</f>
        <v>1041.0999999999999</v>
      </c>
      <c r="N372" s="45">
        <f>N373</f>
        <v>0</v>
      </c>
      <c r="O372" s="45">
        <f>O373</f>
        <v>885.1</v>
      </c>
    </row>
    <row r="373" spans="1:16" ht="31.5" x14ac:dyDescent="0.2">
      <c r="A373" s="40"/>
      <c r="B373" s="41" t="s">
        <v>40</v>
      </c>
      <c r="C373" s="42" t="s">
        <v>51</v>
      </c>
      <c r="D373" s="43" t="s">
        <v>399</v>
      </c>
      <c r="E373" s="43" t="s">
        <v>413</v>
      </c>
      <c r="F373" s="44" t="s">
        <v>41</v>
      </c>
      <c r="G373" s="45">
        <v>885.1</v>
      </c>
      <c r="H373" s="45"/>
      <c r="I373" s="45">
        <f>SUM(G373)</f>
        <v>885.1</v>
      </c>
      <c r="J373" s="47">
        <v>0</v>
      </c>
      <c r="K373" s="45"/>
      <c r="L373" s="47">
        <v>0</v>
      </c>
      <c r="M373" s="45">
        <f>SUM(G373)</f>
        <v>885.1</v>
      </c>
      <c r="N373" s="45">
        <f>SUM(H373)</f>
        <v>0</v>
      </c>
      <c r="O373" s="45">
        <f>SUM(M373)</f>
        <v>885.1</v>
      </c>
    </row>
    <row r="374" spans="1:16" ht="78.75" x14ac:dyDescent="0.2">
      <c r="A374" s="40"/>
      <c r="B374" s="68" t="s">
        <v>414</v>
      </c>
      <c r="C374" s="42">
        <v>992</v>
      </c>
      <c r="D374" s="43" t="s">
        <v>399</v>
      </c>
      <c r="E374" s="57" t="s">
        <v>415</v>
      </c>
      <c r="F374" s="44"/>
      <c r="G374" s="45"/>
      <c r="H374" s="45"/>
      <c r="I374" s="45"/>
      <c r="J374" s="47">
        <v>156</v>
      </c>
      <c r="K374" s="45"/>
      <c r="L374" s="47">
        <f>SUM(L375)</f>
        <v>156</v>
      </c>
      <c r="M374" s="45">
        <f t="shared" ref="M374:O375" si="64">SUM(J374)</f>
        <v>156</v>
      </c>
      <c r="N374" s="45">
        <f t="shared" si="64"/>
        <v>0</v>
      </c>
      <c r="O374" s="45">
        <f t="shared" si="64"/>
        <v>156</v>
      </c>
    </row>
    <row r="375" spans="1:16" ht="31.5" x14ac:dyDescent="0.2">
      <c r="A375" s="40"/>
      <c r="B375" s="41" t="s">
        <v>40</v>
      </c>
      <c r="C375" s="42">
        <v>992</v>
      </c>
      <c r="D375" s="43" t="s">
        <v>399</v>
      </c>
      <c r="E375" s="57" t="s">
        <v>415</v>
      </c>
      <c r="F375" s="44">
        <v>200</v>
      </c>
      <c r="G375" s="45"/>
      <c r="H375" s="45"/>
      <c r="I375" s="45"/>
      <c r="J375" s="47">
        <v>156</v>
      </c>
      <c r="K375" s="45"/>
      <c r="L375" s="47">
        <f>SUM(J375)</f>
        <v>156</v>
      </c>
      <c r="M375" s="45">
        <f t="shared" si="64"/>
        <v>156</v>
      </c>
      <c r="N375" s="45">
        <f t="shared" si="64"/>
        <v>0</v>
      </c>
      <c r="O375" s="45">
        <f t="shared" si="64"/>
        <v>156</v>
      </c>
    </row>
    <row r="376" spans="1:16" ht="31.5" x14ac:dyDescent="0.2">
      <c r="A376" s="40"/>
      <c r="B376" s="41" t="s">
        <v>87</v>
      </c>
      <c r="C376" s="42" t="s">
        <v>51</v>
      </c>
      <c r="D376" s="43" t="s">
        <v>399</v>
      </c>
      <c r="E376" s="43" t="s">
        <v>88</v>
      </c>
      <c r="F376" s="44" t="s">
        <v>11</v>
      </c>
      <c r="G376" s="45">
        <f t="shared" ref="G376:O379" si="65">G377</f>
        <v>80</v>
      </c>
      <c r="H376" s="45">
        <f t="shared" si="65"/>
        <v>0</v>
      </c>
      <c r="I376" s="45">
        <f t="shared" si="65"/>
        <v>80</v>
      </c>
      <c r="J376" s="46">
        <f t="shared" si="65"/>
        <v>0</v>
      </c>
      <c r="K376" s="45">
        <f>K377</f>
        <v>0</v>
      </c>
      <c r="L376" s="46">
        <f t="shared" si="65"/>
        <v>0</v>
      </c>
      <c r="M376" s="45">
        <f t="shared" si="65"/>
        <v>80</v>
      </c>
      <c r="N376" s="45">
        <f t="shared" si="65"/>
        <v>0</v>
      </c>
      <c r="O376" s="45">
        <f t="shared" si="65"/>
        <v>80</v>
      </c>
    </row>
    <row r="377" spans="1:16" ht="47.25" x14ac:dyDescent="0.2">
      <c r="A377" s="40"/>
      <c r="B377" s="41" t="s">
        <v>89</v>
      </c>
      <c r="C377" s="42" t="s">
        <v>51</v>
      </c>
      <c r="D377" s="43" t="s">
        <v>399</v>
      </c>
      <c r="E377" s="43" t="s">
        <v>90</v>
      </c>
      <c r="F377" s="44" t="s">
        <v>11</v>
      </c>
      <c r="G377" s="45">
        <f t="shared" si="65"/>
        <v>80</v>
      </c>
      <c r="H377" s="45">
        <f t="shared" si="65"/>
        <v>0</v>
      </c>
      <c r="I377" s="45">
        <f t="shared" si="65"/>
        <v>80</v>
      </c>
      <c r="J377" s="46">
        <f t="shared" si="65"/>
        <v>0</v>
      </c>
      <c r="K377" s="45">
        <f>K378</f>
        <v>0</v>
      </c>
      <c r="L377" s="46">
        <f t="shared" si="65"/>
        <v>0</v>
      </c>
      <c r="M377" s="45">
        <f t="shared" si="65"/>
        <v>80</v>
      </c>
      <c r="N377" s="45">
        <f t="shared" si="65"/>
        <v>0</v>
      </c>
      <c r="O377" s="45">
        <f t="shared" si="65"/>
        <v>80</v>
      </c>
    </row>
    <row r="378" spans="1:16" ht="78.75" x14ac:dyDescent="0.2">
      <c r="A378" s="40"/>
      <c r="B378" s="41" t="s">
        <v>91</v>
      </c>
      <c r="C378" s="42" t="s">
        <v>51</v>
      </c>
      <c r="D378" s="43" t="s">
        <v>399</v>
      </c>
      <c r="E378" s="43" t="s">
        <v>92</v>
      </c>
      <c r="F378" s="44" t="s">
        <v>11</v>
      </c>
      <c r="G378" s="45">
        <f t="shared" si="65"/>
        <v>80</v>
      </c>
      <c r="H378" s="45">
        <f t="shared" si="65"/>
        <v>0</v>
      </c>
      <c r="I378" s="45">
        <f t="shared" si="65"/>
        <v>80</v>
      </c>
      <c r="J378" s="46">
        <f t="shared" si="65"/>
        <v>0</v>
      </c>
      <c r="K378" s="45">
        <f>K379</f>
        <v>0</v>
      </c>
      <c r="L378" s="46">
        <f t="shared" si="65"/>
        <v>0</v>
      </c>
      <c r="M378" s="45">
        <f t="shared" si="65"/>
        <v>80</v>
      </c>
      <c r="N378" s="45">
        <f t="shared" si="65"/>
        <v>0</v>
      </c>
      <c r="O378" s="45">
        <f t="shared" si="65"/>
        <v>80</v>
      </c>
    </row>
    <row r="379" spans="1:16" ht="47.25" x14ac:dyDescent="0.2">
      <c r="A379" s="40"/>
      <c r="B379" s="41" t="s">
        <v>93</v>
      </c>
      <c r="C379" s="42" t="s">
        <v>51</v>
      </c>
      <c r="D379" s="43" t="s">
        <v>399</v>
      </c>
      <c r="E379" s="43" t="s">
        <v>94</v>
      </c>
      <c r="F379" s="44" t="s">
        <v>11</v>
      </c>
      <c r="G379" s="45">
        <f>G380</f>
        <v>80</v>
      </c>
      <c r="H379" s="45"/>
      <c r="I379" s="45">
        <f>I380</f>
        <v>80</v>
      </c>
      <c r="J379" s="46">
        <f t="shared" si="65"/>
        <v>0</v>
      </c>
      <c r="K379" s="45"/>
      <c r="L379" s="46">
        <f t="shared" si="65"/>
        <v>0</v>
      </c>
      <c r="M379" s="45">
        <f t="shared" si="65"/>
        <v>80</v>
      </c>
      <c r="N379" s="45">
        <f t="shared" si="65"/>
        <v>0</v>
      </c>
      <c r="O379" s="45">
        <f t="shared" si="65"/>
        <v>80</v>
      </c>
    </row>
    <row r="380" spans="1:16" ht="30.6" customHeight="1" x14ac:dyDescent="0.2">
      <c r="A380" s="40"/>
      <c r="B380" s="41" t="s">
        <v>95</v>
      </c>
      <c r="C380" s="42" t="s">
        <v>51</v>
      </c>
      <c r="D380" s="43" t="s">
        <v>399</v>
      </c>
      <c r="E380" s="43" t="s">
        <v>94</v>
      </c>
      <c r="F380" s="44" t="s">
        <v>96</v>
      </c>
      <c r="G380" s="45">
        <v>80</v>
      </c>
      <c r="H380" s="25"/>
      <c r="I380" s="45">
        <v>80</v>
      </c>
      <c r="J380" s="47">
        <v>0</v>
      </c>
      <c r="K380" s="25"/>
      <c r="L380" s="47">
        <v>0</v>
      </c>
      <c r="M380" s="45">
        <v>80</v>
      </c>
      <c r="N380" s="45"/>
      <c r="O380" s="45">
        <v>80</v>
      </c>
    </row>
    <row r="381" spans="1:16" ht="15.75" x14ac:dyDescent="0.2">
      <c r="A381" s="20" t="s">
        <v>416</v>
      </c>
      <c r="B381" s="21" t="s">
        <v>417</v>
      </c>
      <c r="C381" s="22" t="s">
        <v>51</v>
      </c>
      <c r="D381" s="23" t="s">
        <v>418</v>
      </c>
      <c r="E381" s="23" t="s">
        <v>11</v>
      </c>
      <c r="F381" s="24" t="s">
        <v>11</v>
      </c>
      <c r="G381" s="25">
        <f>G382+G388+G394+G400</f>
        <v>11586.2</v>
      </c>
      <c r="H381" s="38">
        <f>H382+H388</f>
        <v>-150</v>
      </c>
      <c r="I381" s="25">
        <f>I382+I388+I394+I400</f>
        <v>11436.2</v>
      </c>
      <c r="J381" s="26">
        <f>J382+J388+J394+J400</f>
        <v>3074.2</v>
      </c>
      <c r="K381" s="38">
        <f>K382</f>
        <v>0</v>
      </c>
      <c r="L381" s="26">
        <f>L382+L388+L394+L400</f>
        <v>3074.2</v>
      </c>
      <c r="M381" s="25">
        <f>M382+M388+M394+M400</f>
        <v>14660.4</v>
      </c>
      <c r="N381" s="25">
        <f>N382+N388+N394+N400</f>
        <v>-150</v>
      </c>
      <c r="O381" s="25">
        <f>O382+O388+O394+O400</f>
        <v>14510.4</v>
      </c>
      <c r="P381" s="17"/>
    </row>
    <row r="382" spans="1:16" ht="15.75" x14ac:dyDescent="0.2">
      <c r="A382" s="33" t="s">
        <v>419</v>
      </c>
      <c r="B382" s="34" t="s">
        <v>420</v>
      </c>
      <c r="C382" s="35" t="s">
        <v>51</v>
      </c>
      <c r="D382" s="36" t="s">
        <v>421</v>
      </c>
      <c r="E382" s="36" t="s">
        <v>11</v>
      </c>
      <c r="F382" s="37" t="s">
        <v>11</v>
      </c>
      <c r="G382" s="38">
        <f t="shared" ref="G382:I385" si="66">G383</f>
        <v>4040</v>
      </c>
      <c r="H382" s="45">
        <f t="shared" si="66"/>
        <v>0</v>
      </c>
      <c r="I382" s="38">
        <f t="shared" si="66"/>
        <v>4040</v>
      </c>
      <c r="J382" s="39">
        <f t="shared" ref="J382:O386" si="67">J383</f>
        <v>0</v>
      </c>
      <c r="K382" s="45">
        <f>K383</f>
        <v>0</v>
      </c>
      <c r="L382" s="39">
        <f t="shared" si="67"/>
        <v>0</v>
      </c>
      <c r="M382" s="38">
        <f t="shared" si="67"/>
        <v>4040</v>
      </c>
      <c r="N382" s="38">
        <f t="shared" si="67"/>
        <v>0</v>
      </c>
      <c r="O382" s="38">
        <f t="shared" si="67"/>
        <v>4040</v>
      </c>
    </row>
    <row r="383" spans="1:16" ht="31.5" x14ac:dyDescent="0.2">
      <c r="A383" s="40"/>
      <c r="B383" s="41" t="s">
        <v>87</v>
      </c>
      <c r="C383" s="42" t="s">
        <v>51</v>
      </c>
      <c r="D383" s="43" t="s">
        <v>421</v>
      </c>
      <c r="E383" s="43" t="s">
        <v>88</v>
      </c>
      <c r="F383" s="44" t="s">
        <v>11</v>
      </c>
      <c r="G383" s="45">
        <f t="shared" si="66"/>
        <v>4040</v>
      </c>
      <c r="H383" s="45">
        <f t="shared" si="66"/>
        <v>0</v>
      </c>
      <c r="I383" s="45">
        <f t="shared" si="66"/>
        <v>4040</v>
      </c>
      <c r="J383" s="46">
        <f t="shared" si="67"/>
        <v>0</v>
      </c>
      <c r="K383" s="45">
        <f>K384</f>
        <v>0</v>
      </c>
      <c r="L383" s="46">
        <f t="shared" si="67"/>
        <v>0</v>
      </c>
      <c r="M383" s="45">
        <f t="shared" si="67"/>
        <v>4040</v>
      </c>
      <c r="N383" s="45">
        <f t="shared" si="67"/>
        <v>0</v>
      </c>
      <c r="O383" s="45">
        <f t="shared" si="67"/>
        <v>4040</v>
      </c>
    </row>
    <row r="384" spans="1:16" ht="31.5" x14ac:dyDescent="0.2">
      <c r="A384" s="40"/>
      <c r="B384" s="41" t="s">
        <v>422</v>
      </c>
      <c r="C384" s="42" t="s">
        <v>51</v>
      </c>
      <c r="D384" s="43" t="s">
        <v>421</v>
      </c>
      <c r="E384" s="43" t="s">
        <v>423</v>
      </c>
      <c r="F384" s="44" t="s">
        <v>11</v>
      </c>
      <c r="G384" s="45">
        <f t="shared" si="66"/>
        <v>4040</v>
      </c>
      <c r="H384" s="45">
        <f t="shared" si="66"/>
        <v>0</v>
      </c>
      <c r="I384" s="45">
        <f t="shared" si="66"/>
        <v>4040</v>
      </c>
      <c r="J384" s="46">
        <f t="shared" si="67"/>
        <v>0</v>
      </c>
      <c r="K384" s="45">
        <f>K385</f>
        <v>0</v>
      </c>
      <c r="L384" s="46">
        <f t="shared" si="67"/>
        <v>0</v>
      </c>
      <c r="M384" s="45">
        <f t="shared" si="67"/>
        <v>4040</v>
      </c>
      <c r="N384" s="45">
        <f t="shared" si="67"/>
        <v>0</v>
      </c>
      <c r="O384" s="45">
        <f t="shared" si="67"/>
        <v>4040</v>
      </c>
    </row>
    <row r="385" spans="1:15" ht="47.25" x14ac:dyDescent="0.2">
      <c r="A385" s="40"/>
      <c r="B385" s="41" t="s">
        <v>424</v>
      </c>
      <c r="C385" s="42" t="s">
        <v>51</v>
      </c>
      <c r="D385" s="43" t="s">
        <v>421</v>
      </c>
      <c r="E385" s="43" t="s">
        <v>425</v>
      </c>
      <c r="F385" s="44" t="s">
        <v>11</v>
      </c>
      <c r="G385" s="45">
        <f t="shared" si="66"/>
        <v>4040</v>
      </c>
      <c r="H385" s="45">
        <f t="shared" si="66"/>
        <v>0</v>
      </c>
      <c r="I385" s="45">
        <f t="shared" si="66"/>
        <v>4040</v>
      </c>
      <c r="J385" s="46">
        <f t="shared" si="67"/>
        <v>0</v>
      </c>
      <c r="K385" s="45">
        <f>K386</f>
        <v>0</v>
      </c>
      <c r="L385" s="46">
        <f t="shared" si="67"/>
        <v>0</v>
      </c>
      <c r="M385" s="45">
        <f t="shared" si="67"/>
        <v>4040</v>
      </c>
      <c r="N385" s="45">
        <f t="shared" si="67"/>
        <v>0</v>
      </c>
      <c r="O385" s="45">
        <f t="shared" si="67"/>
        <v>4040</v>
      </c>
    </row>
    <row r="386" spans="1:15" ht="33" customHeight="1" x14ac:dyDescent="0.2">
      <c r="A386" s="40"/>
      <c r="B386" s="41" t="s">
        <v>426</v>
      </c>
      <c r="C386" s="42" t="s">
        <v>51</v>
      </c>
      <c r="D386" s="43" t="s">
        <v>421</v>
      </c>
      <c r="E386" s="43" t="s">
        <v>427</v>
      </c>
      <c r="F386" s="44" t="s">
        <v>11</v>
      </c>
      <c r="G386" s="45">
        <f>G387</f>
        <v>4040</v>
      </c>
      <c r="H386" s="45"/>
      <c r="I386" s="45">
        <f>I387</f>
        <v>4040</v>
      </c>
      <c r="J386" s="46">
        <f t="shared" si="67"/>
        <v>0</v>
      </c>
      <c r="K386" s="45"/>
      <c r="L386" s="46">
        <f t="shared" si="67"/>
        <v>0</v>
      </c>
      <c r="M386" s="45">
        <f t="shared" si="67"/>
        <v>4040</v>
      </c>
      <c r="N386" s="45">
        <f t="shared" si="67"/>
        <v>0</v>
      </c>
      <c r="O386" s="45">
        <f t="shared" si="67"/>
        <v>4040</v>
      </c>
    </row>
    <row r="387" spans="1:15" ht="31.5" x14ac:dyDescent="0.2">
      <c r="A387" s="40"/>
      <c r="B387" s="41" t="s">
        <v>112</v>
      </c>
      <c r="C387" s="42" t="s">
        <v>51</v>
      </c>
      <c r="D387" s="43" t="s">
        <v>421</v>
      </c>
      <c r="E387" s="43" t="s">
        <v>427</v>
      </c>
      <c r="F387" s="44" t="s">
        <v>113</v>
      </c>
      <c r="G387" s="45">
        <v>4040</v>
      </c>
      <c r="H387" s="38"/>
      <c r="I387" s="45">
        <v>4040</v>
      </c>
      <c r="J387" s="47">
        <v>0</v>
      </c>
      <c r="K387" s="38"/>
      <c r="L387" s="47">
        <v>0</v>
      </c>
      <c r="M387" s="45">
        <v>4040</v>
      </c>
      <c r="N387" s="45"/>
      <c r="O387" s="45">
        <v>4040</v>
      </c>
    </row>
    <row r="388" spans="1:15" ht="15.75" x14ac:dyDescent="0.2">
      <c r="A388" s="33" t="s">
        <v>428</v>
      </c>
      <c r="B388" s="34" t="s">
        <v>429</v>
      </c>
      <c r="C388" s="35" t="s">
        <v>51</v>
      </c>
      <c r="D388" s="36" t="s">
        <v>430</v>
      </c>
      <c r="E388" s="36" t="s">
        <v>11</v>
      </c>
      <c r="F388" s="37" t="s">
        <v>11</v>
      </c>
      <c r="G388" s="38">
        <f t="shared" ref="G388:O392" si="68">G389</f>
        <v>4496</v>
      </c>
      <c r="H388" s="45">
        <f t="shared" si="68"/>
        <v>-150</v>
      </c>
      <c r="I388" s="38">
        <f t="shared" si="68"/>
        <v>4346</v>
      </c>
      <c r="J388" s="39">
        <f t="shared" si="68"/>
        <v>0</v>
      </c>
      <c r="K388" s="45">
        <f>K389</f>
        <v>0</v>
      </c>
      <c r="L388" s="39">
        <f t="shared" si="68"/>
        <v>0</v>
      </c>
      <c r="M388" s="38">
        <f t="shared" si="68"/>
        <v>4496</v>
      </c>
      <c r="N388" s="38">
        <f t="shared" si="68"/>
        <v>-150</v>
      </c>
      <c r="O388" s="38">
        <f t="shared" si="68"/>
        <v>4346</v>
      </c>
    </row>
    <row r="389" spans="1:15" ht="31.5" x14ac:dyDescent="0.2">
      <c r="A389" s="40"/>
      <c r="B389" s="41" t="s">
        <v>87</v>
      </c>
      <c r="C389" s="42" t="s">
        <v>51</v>
      </c>
      <c r="D389" s="43" t="s">
        <v>430</v>
      </c>
      <c r="E389" s="43" t="s">
        <v>88</v>
      </c>
      <c r="F389" s="44" t="s">
        <v>11</v>
      </c>
      <c r="G389" s="45">
        <f t="shared" si="68"/>
        <v>4496</v>
      </c>
      <c r="H389" s="45">
        <f t="shared" si="68"/>
        <v>-150</v>
      </c>
      <c r="I389" s="45">
        <f t="shared" si="68"/>
        <v>4346</v>
      </c>
      <c r="J389" s="46">
        <f t="shared" si="68"/>
        <v>0</v>
      </c>
      <c r="K389" s="45">
        <f>K390</f>
        <v>0</v>
      </c>
      <c r="L389" s="46">
        <f t="shared" si="68"/>
        <v>0</v>
      </c>
      <c r="M389" s="45">
        <f t="shared" si="68"/>
        <v>4496</v>
      </c>
      <c r="N389" s="45">
        <f t="shared" si="68"/>
        <v>-150</v>
      </c>
      <c r="O389" s="45">
        <f t="shared" si="68"/>
        <v>4346</v>
      </c>
    </row>
    <row r="390" spans="1:15" ht="31.5" x14ac:dyDescent="0.2">
      <c r="A390" s="40"/>
      <c r="B390" s="41" t="s">
        <v>422</v>
      </c>
      <c r="C390" s="42" t="s">
        <v>51</v>
      </c>
      <c r="D390" s="43" t="s">
        <v>430</v>
      </c>
      <c r="E390" s="43" t="s">
        <v>423</v>
      </c>
      <c r="F390" s="44" t="s">
        <v>11</v>
      </c>
      <c r="G390" s="45">
        <f t="shared" si="68"/>
        <v>4496</v>
      </c>
      <c r="H390" s="45">
        <f t="shared" si="68"/>
        <v>-150</v>
      </c>
      <c r="I390" s="45">
        <f t="shared" si="68"/>
        <v>4346</v>
      </c>
      <c r="J390" s="46">
        <f t="shared" si="68"/>
        <v>0</v>
      </c>
      <c r="K390" s="45">
        <f>K391</f>
        <v>0</v>
      </c>
      <c r="L390" s="46">
        <f t="shared" si="68"/>
        <v>0</v>
      </c>
      <c r="M390" s="45">
        <f t="shared" si="68"/>
        <v>4496</v>
      </c>
      <c r="N390" s="45">
        <f t="shared" si="68"/>
        <v>-150</v>
      </c>
      <c r="O390" s="45">
        <f t="shared" si="68"/>
        <v>4346</v>
      </c>
    </row>
    <row r="391" spans="1:15" ht="31.5" x14ac:dyDescent="0.2">
      <c r="A391" s="40"/>
      <c r="B391" s="41" t="s">
        <v>431</v>
      </c>
      <c r="C391" s="42" t="s">
        <v>51</v>
      </c>
      <c r="D391" s="43" t="s">
        <v>430</v>
      </c>
      <c r="E391" s="43" t="s">
        <v>432</v>
      </c>
      <c r="F391" s="44" t="s">
        <v>11</v>
      </c>
      <c r="G391" s="45">
        <f t="shared" si="68"/>
        <v>4496</v>
      </c>
      <c r="H391" s="45">
        <f t="shared" si="68"/>
        <v>-150</v>
      </c>
      <c r="I391" s="45">
        <f t="shared" si="68"/>
        <v>4346</v>
      </c>
      <c r="J391" s="46">
        <f t="shared" si="68"/>
        <v>0</v>
      </c>
      <c r="K391" s="45">
        <f>K392</f>
        <v>0</v>
      </c>
      <c r="L391" s="46">
        <f t="shared" si="68"/>
        <v>0</v>
      </c>
      <c r="M391" s="45">
        <f t="shared" si="68"/>
        <v>4496</v>
      </c>
      <c r="N391" s="45">
        <f t="shared" si="68"/>
        <v>-150</v>
      </c>
      <c r="O391" s="45">
        <f t="shared" si="68"/>
        <v>4346</v>
      </c>
    </row>
    <row r="392" spans="1:15" ht="21" customHeight="1" x14ac:dyDescent="0.2">
      <c r="A392" s="40"/>
      <c r="B392" s="41" t="s">
        <v>433</v>
      </c>
      <c r="C392" s="42" t="s">
        <v>51</v>
      </c>
      <c r="D392" s="43" t="s">
        <v>430</v>
      </c>
      <c r="E392" s="43" t="s">
        <v>434</v>
      </c>
      <c r="F392" s="44" t="s">
        <v>11</v>
      </c>
      <c r="G392" s="45">
        <f>G393</f>
        <v>4496</v>
      </c>
      <c r="H392" s="38">
        <v>-150</v>
      </c>
      <c r="I392" s="45">
        <f>I393</f>
        <v>4346</v>
      </c>
      <c r="J392" s="46">
        <f t="shared" si="68"/>
        <v>0</v>
      </c>
      <c r="K392" s="45"/>
      <c r="L392" s="46">
        <f t="shared" si="68"/>
        <v>0</v>
      </c>
      <c r="M392" s="45">
        <f t="shared" si="68"/>
        <v>4496</v>
      </c>
      <c r="N392" s="45">
        <f t="shared" si="68"/>
        <v>-150</v>
      </c>
      <c r="O392" s="45">
        <f t="shared" si="68"/>
        <v>4346</v>
      </c>
    </row>
    <row r="393" spans="1:15" ht="31.5" x14ac:dyDescent="0.2">
      <c r="A393" s="40"/>
      <c r="B393" s="41" t="s">
        <v>112</v>
      </c>
      <c r="C393" s="42" t="s">
        <v>51</v>
      </c>
      <c r="D393" s="43" t="s">
        <v>430</v>
      </c>
      <c r="E393" s="43" t="s">
        <v>434</v>
      </c>
      <c r="F393" s="44" t="s">
        <v>113</v>
      </c>
      <c r="G393" s="45">
        <v>4496</v>
      </c>
      <c r="H393" s="38">
        <v>-150</v>
      </c>
      <c r="I393" s="45">
        <f>4496+H393</f>
        <v>4346</v>
      </c>
      <c r="J393" s="47">
        <v>0</v>
      </c>
      <c r="K393" s="38"/>
      <c r="L393" s="47">
        <v>0</v>
      </c>
      <c r="M393" s="45">
        <v>4496</v>
      </c>
      <c r="N393" s="45">
        <f>SUM(H393)</f>
        <v>-150</v>
      </c>
      <c r="O393" s="45">
        <f>4496+N393</f>
        <v>4346</v>
      </c>
    </row>
    <row r="394" spans="1:15" ht="15.75" x14ac:dyDescent="0.2">
      <c r="A394" s="33" t="s">
        <v>435</v>
      </c>
      <c r="B394" s="34" t="s">
        <v>436</v>
      </c>
      <c r="C394" s="35" t="s">
        <v>51</v>
      </c>
      <c r="D394" s="36" t="s">
        <v>437</v>
      </c>
      <c r="E394" s="36" t="s">
        <v>11</v>
      </c>
      <c r="F394" s="37" t="s">
        <v>11</v>
      </c>
      <c r="G394" s="38">
        <f t="shared" ref="G394:O398" si="69">G395</f>
        <v>2930.2</v>
      </c>
      <c r="H394" s="45">
        <f t="shared" si="69"/>
        <v>0</v>
      </c>
      <c r="I394" s="38">
        <f t="shared" si="69"/>
        <v>2930.2</v>
      </c>
      <c r="J394" s="39">
        <f t="shared" si="69"/>
        <v>3074.2</v>
      </c>
      <c r="K394" s="45">
        <f>K395</f>
        <v>0</v>
      </c>
      <c r="L394" s="39">
        <f t="shared" si="69"/>
        <v>3074.2</v>
      </c>
      <c r="M394" s="38">
        <f t="shared" si="69"/>
        <v>6004.4</v>
      </c>
      <c r="N394" s="38">
        <f t="shared" si="69"/>
        <v>0</v>
      </c>
      <c r="O394" s="38">
        <f t="shared" si="69"/>
        <v>6004.4</v>
      </c>
    </row>
    <row r="395" spans="1:15" ht="31.5" x14ac:dyDescent="0.2">
      <c r="A395" s="40"/>
      <c r="B395" s="41" t="s">
        <v>245</v>
      </c>
      <c r="C395" s="42" t="s">
        <v>51</v>
      </c>
      <c r="D395" s="43" t="s">
        <v>437</v>
      </c>
      <c r="E395" s="43" t="s">
        <v>246</v>
      </c>
      <c r="F395" s="44" t="s">
        <v>11</v>
      </c>
      <c r="G395" s="45">
        <f t="shared" si="69"/>
        <v>2930.2</v>
      </c>
      <c r="H395" s="45">
        <f t="shared" si="69"/>
        <v>0</v>
      </c>
      <c r="I395" s="45">
        <f t="shared" si="69"/>
        <v>2930.2</v>
      </c>
      <c r="J395" s="46">
        <f t="shared" si="69"/>
        <v>3074.2</v>
      </c>
      <c r="K395" s="45">
        <f>K396</f>
        <v>0</v>
      </c>
      <c r="L395" s="46">
        <f t="shared" si="69"/>
        <v>3074.2</v>
      </c>
      <c r="M395" s="45">
        <f t="shared" si="69"/>
        <v>6004.4</v>
      </c>
      <c r="N395" s="45">
        <f t="shared" si="69"/>
        <v>0</v>
      </c>
      <c r="O395" s="45">
        <f t="shared" si="69"/>
        <v>6004.4</v>
      </c>
    </row>
    <row r="396" spans="1:15" ht="31.5" x14ac:dyDescent="0.2">
      <c r="A396" s="40"/>
      <c r="B396" s="41" t="s">
        <v>438</v>
      </c>
      <c r="C396" s="42" t="s">
        <v>51</v>
      </c>
      <c r="D396" s="43" t="s">
        <v>437</v>
      </c>
      <c r="E396" s="43" t="s">
        <v>439</v>
      </c>
      <c r="F396" s="44" t="s">
        <v>11</v>
      </c>
      <c r="G396" s="45">
        <f t="shared" si="69"/>
        <v>2930.2</v>
      </c>
      <c r="H396" s="45">
        <f t="shared" si="69"/>
        <v>0</v>
      </c>
      <c r="I396" s="45">
        <f t="shared" si="69"/>
        <v>2930.2</v>
      </c>
      <c r="J396" s="46">
        <f t="shared" si="69"/>
        <v>3074.2</v>
      </c>
      <c r="K396" s="45">
        <f>K397</f>
        <v>0</v>
      </c>
      <c r="L396" s="46">
        <f t="shared" si="69"/>
        <v>3074.2</v>
      </c>
      <c r="M396" s="45">
        <f t="shared" si="69"/>
        <v>6004.4</v>
      </c>
      <c r="N396" s="45">
        <f t="shared" si="69"/>
        <v>0</v>
      </c>
      <c r="O396" s="45">
        <f t="shared" si="69"/>
        <v>6004.4</v>
      </c>
    </row>
    <row r="397" spans="1:15" ht="31.5" x14ac:dyDescent="0.2">
      <c r="A397" s="40"/>
      <c r="B397" s="41" t="s">
        <v>440</v>
      </c>
      <c r="C397" s="42" t="s">
        <v>51</v>
      </c>
      <c r="D397" s="43" t="s">
        <v>437</v>
      </c>
      <c r="E397" s="43" t="s">
        <v>441</v>
      </c>
      <c r="F397" s="44" t="s">
        <v>11</v>
      </c>
      <c r="G397" s="45">
        <f t="shared" si="69"/>
        <v>2930.2</v>
      </c>
      <c r="H397" s="45">
        <f t="shared" si="69"/>
        <v>0</v>
      </c>
      <c r="I397" s="45">
        <f t="shared" si="69"/>
        <v>2930.2</v>
      </c>
      <c r="J397" s="46">
        <f t="shared" si="69"/>
        <v>3074.2</v>
      </c>
      <c r="K397" s="45">
        <f>K398</f>
        <v>0</v>
      </c>
      <c r="L397" s="46">
        <f t="shared" si="69"/>
        <v>3074.2</v>
      </c>
      <c r="M397" s="45">
        <f t="shared" si="69"/>
        <v>6004.4</v>
      </c>
      <c r="N397" s="45">
        <f t="shared" si="69"/>
        <v>0</v>
      </c>
      <c r="O397" s="45">
        <f t="shared" si="69"/>
        <v>6004.4</v>
      </c>
    </row>
    <row r="398" spans="1:15" ht="31.5" x14ac:dyDescent="0.2">
      <c r="A398" s="40"/>
      <c r="B398" s="41" t="s">
        <v>442</v>
      </c>
      <c r="C398" s="42" t="s">
        <v>51</v>
      </c>
      <c r="D398" s="43" t="s">
        <v>437</v>
      </c>
      <c r="E398" s="43" t="s">
        <v>443</v>
      </c>
      <c r="F398" s="44" t="s">
        <v>11</v>
      </c>
      <c r="G398" s="45">
        <f>G399</f>
        <v>2930.2</v>
      </c>
      <c r="H398" s="45"/>
      <c r="I398" s="45">
        <f>I399</f>
        <v>2930.2</v>
      </c>
      <c r="J398" s="46">
        <f t="shared" si="69"/>
        <v>3074.2</v>
      </c>
      <c r="K398" s="45"/>
      <c r="L398" s="46">
        <f t="shared" si="69"/>
        <v>3074.2</v>
      </c>
      <c r="M398" s="45">
        <f t="shared" si="69"/>
        <v>6004.4</v>
      </c>
      <c r="N398" s="45">
        <f t="shared" si="69"/>
        <v>0</v>
      </c>
      <c r="O398" s="45">
        <f t="shared" si="69"/>
        <v>6004.4</v>
      </c>
    </row>
    <row r="399" spans="1:15" ht="31.5" x14ac:dyDescent="0.2">
      <c r="A399" s="40"/>
      <c r="B399" s="41" t="s">
        <v>112</v>
      </c>
      <c r="C399" s="42" t="s">
        <v>51</v>
      </c>
      <c r="D399" s="43" t="s">
        <v>437</v>
      </c>
      <c r="E399" s="43" t="s">
        <v>443</v>
      </c>
      <c r="F399" s="44" t="s">
        <v>113</v>
      </c>
      <c r="G399" s="45">
        <v>2930.2</v>
      </c>
      <c r="H399" s="38"/>
      <c r="I399" s="45">
        <v>2930.2</v>
      </c>
      <c r="J399" s="47">
        <v>3074.2</v>
      </c>
      <c r="K399" s="38"/>
      <c r="L399" s="47">
        <v>3074.2</v>
      </c>
      <c r="M399" s="45">
        <f>2930.2+J399</f>
        <v>6004.4</v>
      </c>
      <c r="N399" s="45"/>
      <c r="O399" s="45">
        <f>2930.2+L399</f>
        <v>6004.4</v>
      </c>
    </row>
    <row r="400" spans="1:15" ht="15.75" x14ac:dyDescent="0.2">
      <c r="A400" s="33" t="s">
        <v>444</v>
      </c>
      <c r="B400" s="34" t="s">
        <v>445</v>
      </c>
      <c r="C400" s="35" t="s">
        <v>51</v>
      </c>
      <c r="D400" s="36" t="s">
        <v>446</v>
      </c>
      <c r="E400" s="36" t="s">
        <v>11</v>
      </c>
      <c r="F400" s="37" t="s">
        <v>11</v>
      </c>
      <c r="G400" s="38">
        <f t="shared" ref="G400:O404" si="70">G401</f>
        <v>120</v>
      </c>
      <c r="H400" s="45">
        <f t="shared" si="70"/>
        <v>0</v>
      </c>
      <c r="I400" s="38">
        <f t="shared" si="70"/>
        <v>120</v>
      </c>
      <c r="J400" s="39">
        <f t="shared" si="70"/>
        <v>0</v>
      </c>
      <c r="K400" s="45">
        <f>K401</f>
        <v>0</v>
      </c>
      <c r="L400" s="39">
        <f t="shared" si="70"/>
        <v>0</v>
      </c>
      <c r="M400" s="38">
        <f t="shared" si="70"/>
        <v>120</v>
      </c>
      <c r="N400" s="38">
        <f t="shared" si="70"/>
        <v>0</v>
      </c>
      <c r="O400" s="38">
        <f t="shared" si="70"/>
        <v>120</v>
      </c>
    </row>
    <row r="401" spans="1:15" ht="31.5" x14ac:dyDescent="0.2">
      <c r="A401" s="40"/>
      <c r="B401" s="41" t="s">
        <v>87</v>
      </c>
      <c r="C401" s="42" t="s">
        <v>51</v>
      </c>
      <c r="D401" s="43" t="s">
        <v>446</v>
      </c>
      <c r="E401" s="43" t="s">
        <v>88</v>
      </c>
      <c r="F401" s="44" t="s">
        <v>11</v>
      </c>
      <c r="G401" s="45">
        <f t="shared" si="70"/>
        <v>120</v>
      </c>
      <c r="H401" s="45">
        <f t="shared" si="70"/>
        <v>0</v>
      </c>
      <c r="I401" s="45">
        <f t="shared" si="70"/>
        <v>120</v>
      </c>
      <c r="J401" s="46">
        <f t="shared" si="70"/>
        <v>0</v>
      </c>
      <c r="K401" s="45">
        <f>K402</f>
        <v>0</v>
      </c>
      <c r="L401" s="46">
        <f t="shared" si="70"/>
        <v>0</v>
      </c>
      <c r="M401" s="45">
        <f t="shared" si="70"/>
        <v>120</v>
      </c>
      <c r="N401" s="45">
        <f t="shared" si="70"/>
        <v>0</v>
      </c>
      <c r="O401" s="45">
        <f t="shared" si="70"/>
        <v>120</v>
      </c>
    </row>
    <row r="402" spans="1:15" ht="47.25" x14ac:dyDescent="0.2">
      <c r="A402" s="40"/>
      <c r="B402" s="41" t="s">
        <v>89</v>
      </c>
      <c r="C402" s="42" t="s">
        <v>51</v>
      </c>
      <c r="D402" s="43" t="s">
        <v>446</v>
      </c>
      <c r="E402" s="43" t="s">
        <v>90</v>
      </c>
      <c r="F402" s="44" t="s">
        <v>11</v>
      </c>
      <c r="G402" s="45">
        <f t="shared" si="70"/>
        <v>120</v>
      </c>
      <c r="H402" s="45">
        <f t="shared" si="70"/>
        <v>0</v>
      </c>
      <c r="I402" s="45">
        <f t="shared" si="70"/>
        <v>120</v>
      </c>
      <c r="J402" s="46">
        <f t="shared" si="70"/>
        <v>0</v>
      </c>
      <c r="K402" s="45">
        <f>K403</f>
        <v>0</v>
      </c>
      <c r="L402" s="46">
        <f t="shared" si="70"/>
        <v>0</v>
      </c>
      <c r="M402" s="45">
        <f t="shared" si="70"/>
        <v>120</v>
      </c>
      <c r="N402" s="45">
        <f t="shared" si="70"/>
        <v>0</v>
      </c>
      <c r="O402" s="45">
        <f t="shared" si="70"/>
        <v>120</v>
      </c>
    </row>
    <row r="403" spans="1:15" ht="78.75" x14ac:dyDescent="0.2">
      <c r="A403" s="40"/>
      <c r="B403" s="41" t="s">
        <v>91</v>
      </c>
      <c r="C403" s="42" t="s">
        <v>51</v>
      </c>
      <c r="D403" s="43" t="s">
        <v>446</v>
      </c>
      <c r="E403" s="43" t="s">
        <v>92</v>
      </c>
      <c r="F403" s="44" t="s">
        <v>11</v>
      </c>
      <c r="G403" s="45">
        <f t="shared" si="70"/>
        <v>120</v>
      </c>
      <c r="H403" s="45">
        <f t="shared" si="70"/>
        <v>0</v>
      </c>
      <c r="I403" s="45">
        <f t="shared" si="70"/>
        <v>120</v>
      </c>
      <c r="J403" s="46">
        <f t="shared" si="70"/>
        <v>0</v>
      </c>
      <c r="K403" s="45">
        <f>K404</f>
        <v>0</v>
      </c>
      <c r="L403" s="46">
        <f t="shared" si="70"/>
        <v>0</v>
      </c>
      <c r="M403" s="45">
        <f t="shared" si="70"/>
        <v>120</v>
      </c>
      <c r="N403" s="45">
        <f t="shared" si="70"/>
        <v>0</v>
      </c>
      <c r="O403" s="45">
        <f t="shared" si="70"/>
        <v>120</v>
      </c>
    </row>
    <row r="404" spans="1:15" ht="47.25" x14ac:dyDescent="0.2">
      <c r="A404" s="40"/>
      <c r="B404" s="41" t="s">
        <v>93</v>
      </c>
      <c r="C404" s="42" t="s">
        <v>51</v>
      </c>
      <c r="D404" s="43" t="s">
        <v>446</v>
      </c>
      <c r="E404" s="43" t="s">
        <v>94</v>
      </c>
      <c r="F404" s="44" t="s">
        <v>11</v>
      </c>
      <c r="G404" s="45">
        <f>G405</f>
        <v>120</v>
      </c>
      <c r="H404" s="45"/>
      <c r="I404" s="45">
        <f>I405</f>
        <v>120</v>
      </c>
      <c r="J404" s="46">
        <f t="shared" si="70"/>
        <v>0</v>
      </c>
      <c r="K404" s="45"/>
      <c r="L404" s="46">
        <f t="shared" si="70"/>
        <v>0</v>
      </c>
      <c r="M404" s="45">
        <f t="shared" si="70"/>
        <v>120</v>
      </c>
      <c r="N404" s="45">
        <f t="shared" si="70"/>
        <v>0</v>
      </c>
      <c r="O404" s="45">
        <f t="shared" si="70"/>
        <v>120</v>
      </c>
    </row>
    <row r="405" spans="1:15" ht="33.6" customHeight="1" x14ac:dyDescent="0.2">
      <c r="A405" s="40"/>
      <c r="B405" s="41" t="s">
        <v>95</v>
      </c>
      <c r="C405" s="42" t="s">
        <v>51</v>
      </c>
      <c r="D405" s="43" t="s">
        <v>446</v>
      </c>
      <c r="E405" s="43" t="s">
        <v>94</v>
      </c>
      <c r="F405" s="44" t="s">
        <v>96</v>
      </c>
      <c r="G405" s="45">
        <v>120</v>
      </c>
      <c r="H405" s="25"/>
      <c r="I405" s="45">
        <v>120</v>
      </c>
      <c r="J405" s="47">
        <v>0</v>
      </c>
      <c r="K405" s="25"/>
      <c r="L405" s="47">
        <v>0</v>
      </c>
      <c r="M405" s="45">
        <v>120</v>
      </c>
      <c r="N405" s="45"/>
      <c r="O405" s="45">
        <v>120</v>
      </c>
    </row>
    <row r="406" spans="1:15" ht="15.75" x14ac:dyDescent="0.2">
      <c r="A406" s="20" t="s">
        <v>447</v>
      </c>
      <c r="B406" s="21" t="s">
        <v>448</v>
      </c>
      <c r="C406" s="22" t="s">
        <v>51</v>
      </c>
      <c r="D406" s="23" t="s">
        <v>449</v>
      </c>
      <c r="E406" s="23" t="s">
        <v>11</v>
      </c>
      <c r="F406" s="24" t="s">
        <v>11</v>
      </c>
      <c r="G406" s="25">
        <f>G407</f>
        <v>1863.8</v>
      </c>
      <c r="H406" s="38">
        <f>H407+H412</f>
        <v>0</v>
      </c>
      <c r="I406" s="25">
        <f>I407</f>
        <v>1863.8</v>
      </c>
      <c r="J406" s="26">
        <f>J407</f>
        <v>0</v>
      </c>
      <c r="K406" s="38">
        <f>K407+K412</f>
        <v>0</v>
      </c>
      <c r="L406" s="26">
        <f>L407</f>
        <v>0</v>
      </c>
      <c r="M406" s="25">
        <f>M407</f>
        <v>1863.8</v>
      </c>
      <c r="N406" s="25">
        <f>N407</f>
        <v>0</v>
      </c>
      <c r="O406" s="25">
        <f>O407</f>
        <v>1863.8</v>
      </c>
    </row>
    <row r="407" spans="1:15" ht="15.75" x14ac:dyDescent="0.2">
      <c r="A407" s="33" t="s">
        <v>450</v>
      </c>
      <c r="B407" s="34" t="s">
        <v>451</v>
      </c>
      <c r="C407" s="35" t="s">
        <v>51</v>
      </c>
      <c r="D407" s="36" t="s">
        <v>452</v>
      </c>
      <c r="E407" s="36" t="s">
        <v>11</v>
      </c>
      <c r="F407" s="37" t="s">
        <v>11</v>
      </c>
      <c r="G407" s="38">
        <f>G408+G413</f>
        <v>1863.8</v>
      </c>
      <c r="H407" s="45">
        <f t="shared" ref="G407:O409" si="71">H408</f>
        <v>0</v>
      </c>
      <c r="I407" s="38">
        <f>I408+I413</f>
        <v>1863.8</v>
      </c>
      <c r="J407" s="39">
        <f>J408+J413</f>
        <v>0</v>
      </c>
      <c r="K407" s="45">
        <f t="shared" si="71"/>
        <v>0</v>
      </c>
      <c r="L407" s="39">
        <f>L408+L413</f>
        <v>0</v>
      </c>
      <c r="M407" s="38">
        <f>M408+M413</f>
        <v>1863.8</v>
      </c>
      <c r="N407" s="38">
        <f>N408+N413</f>
        <v>0</v>
      </c>
      <c r="O407" s="38">
        <f>O408+O413</f>
        <v>1863.8</v>
      </c>
    </row>
    <row r="408" spans="1:15" ht="31.5" x14ac:dyDescent="0.2">
      <c r="A408" s="40"/>
      <c r="B408" s="41" t="s">
        <v>453</v>
      </c>
      <c r="C408" s="42" t="s">
        <v>51</v>
      </c>
      <c r="D408" s="43" t="s">
        <v>452</v>
      </c>
      <c r="E408" s="43" t="s">
        <v>454</v>
      </c>
      <c r="F408" s="44" t="s">
        <v>11</v>
      </c>
      <c r="G408" s="45">
        <f t="shared" si="71"/>
        <v>1813.8</v>
      </c>
      <c r="H408" s="45">
        <f t="shared" si="71"/>
        <v>0</v>
      </c>
      <c r="I408" s="45">
        <f t="shared" si="71"/>
        <v>1813.8</v>
      </c>
      <c r="J408" s="46">
        <f t="shared" si="71"/>
        <v>0</v>
      </c>
      <c r="K408" s="45">
        <f t="shared" si="71"/>
        <v>0</v>
      </c>
      <c r="L408" s="46">
        <f t="shared" si="71"/>
        <v>0</v>
      </c>
      <c r="M408" s="45">
        <f t="shared" si="71"/>
        <v>1813.8</v>
      </c>
      <c r="N408" s="45">
        <f t="shared" si="71"/>
        <v>0</v>
      </c>
      <c r="O408" s="45">
        <f t="shared" si="71"/>
        <v>1813.8</v>
      </c>
    </row>
    <row r="409" spans="1:15" ht="63" x14ac:dyDescent="0.2">
      <c r="A409" s="40"/>
      <c r="B409" s="41" t="s">
        <v>455</v>
      </c>
      <c r="C409" s="42" t="s">
        <v>51</v>
      </c>
      <c r="D409" s="43" t="s">
        <v>452</v>
      </c>
      <c r="E409" s="43" t="s">
        <v>456</v>
      </c>
      <c r="F409" s="44" t="s">
        <v>11</v>
      </c>
      <c r="G409" s="45">
        <f t="shared" si="71"/>
        <v>1813.8</v>
      </c>
      <c r="H409" s="45">
        <f>H410+H411</f>
        <v>0</v>
      </c>
      <c r="I409" s="45">
        <f t="shared" si="71"/>
        <v>1813.8</v>
      </c>
      <c r="J409" s="46">
        <f t="shared" si="71"/>
        <v>0</v>
      </c>
      <c r="K409" s="45">
        <f>K410+K411</f>
        <v>0</v>
      </c>
      <c r="L409" s="46">
        <f t="shared" si="71"/>
        <v>0</v>
      </c>
      <c r="M409" s="45">
        <f t="shared" si="71"/>
        <v>1813.8</v>
      </c>
      <c r="N409" s="45">
        <f t="shared" si="71"/>
        <v>0</v>
      </c>
      <c r="O409" s="45">
        <f t="shared" si="71"/>
        <v>1813.8</v>
      </c>
    </row>
    <row r="410" spans="1:15" ht="47.25" x14ac:dyDescent="0.2">
      <c r="A410" s="40"/>
      <c r="B410" s="41" t="s">
        <v>457</v>
      </c>
      <c r="C410" s="42" t="s">
        <v>51</v>
      </c>
      <c r="D410" s="43" t="s">
        <v>452</v>
      </c>
      <c r="E410" s="43" t="s">
        <v>458</v>
      </c>
      <c r="F410" s="44" t="s">
        <v>11</v>
      </c>
      <c r="G410" s="45">
        <f>G411+G412</f>
        <v>1813.8</v>
      </c>
      <c r="H410" s="45"/>
      <c r="I410" s="45">
        <f>I411+I412</f>
        <v>1813.8</v>
      </c>
      <c r="J410" s="46">
        <f>J411+J412</f>
        <v>0</v>
      </c>
      <c r="K410" s="45"/>
      <c r="L410" s="46">
        <f>L411+L412</f>
        <v>0</v>
      </c>
      <c r="M410" s="45">
        <f>M411+M412</f>
        <v>1813.8</v>
      </c>
      <c r="N410" s="45">
        <f>N411+N412</f>
        <v>0</v>
      </c>
      <c r="O410" s="45">
        <f>O411+O412</f>
        <v>1813.8</v>
      </c>
    </row>
    <row r="411" spans="1:15" ht="31.5" x14ac:dyDescent="0.2">
      <c r="A411" s="40"/>
      <c r="B411" s="41" t="s">
        <v>40</v>
      </c>
      <c r="C411" s="42" t="s">
        <v>51</v>
      </c>
      <c r="D411" s="43" t="s">
        <v>452</v>
      </c>
      <c r="E411" s="43" t="s">
        <v>458</v>
      </c>
      <c r="F411" s="44" t="s">
        <v>41</v>
      </c>
      <c r="G411" s="45">
        <v>300</v>
      </c>
      <c r="H411" s="45"/>
      <c r="I411" s="45">
        <v>300</v>
      </c>
      <c r="J411" s="47">
        <v>0</v>
      </c>
      <c r="K411" s="45"/>
      <c r="L411" s="47">
        <v>0</v>
      </c>
      <c r="M411" s="45">
        <v>300</v>
      </c>
      <c r="N411" s="45"/>
      <c r="O411" s="45">
        <v>300</v>
      </c>
    </row>
    <row r="412" spans="1:15" ht="31.5" x14ac:dyDescent="0.2">
      <c r="A412" s="40"/>
      <c r="B412" s="41" t="s">
        <v>112</v>
      </c>
      <c r="C412" s="42" t="s">
        <v>51</v>
      </c>
      <c r="D412" s="43" t="s">
        <v>452</v>
      </c>
      <c r="E412" s="43" t="s">
        <v>458</v>
      </c>
      <c r="F412" s="44" t="s">
        <v>113</v>
      </c>
      <c r="G412" s="45">
        <v>1513.8</v>
      </c>
      <c r="H412" s="45"/>
      <c r="I412" s="45">
        <v>1513.8</v>
      </c>
      <c r="J412" s="47">
        <v>0</v>
      </c>
      <c r="K412" s="45"/>
      <c r="L412" s="47">
        <v>0</v>
      </c>
      <c r="M412" s="45">
        <v>1513.8</v>
      </c>
      <c r="N412" s="45"/>
      <c r="O412" s="45">
        <v>1513.8</v>
      </c>
    </row>
    <row r="413" spans="1:15" ht="15.75" x14ac:dyDescent="0.2">
      <c r="A413" s="40"/>
      <c r="B413" s="41" t="s">
        <v>459</v>
      </c>
      <c r="C413" s="42" t="s">
        <v>51</v>
      </c>
      <c r="D413" s="43" t="s">
        <v>452</v>
      </c>
      <c r="E413" s="43" t="s">
        <v>460</v>
      </c>
      <c r="F413" s="44" t="s">
        <v>11</v>
      </c>
      <c r="G413" s="45">
        <f t="shared" ref="G413:O415" si="72">G414</f>
        <v>50</v>
      </c>
      <c r="H413" s="45">
        <f t="shared" si="72"/>
        <v>0</v>
      </c>
      <c r="I413" s="45">
        <f t="shared" si="72"/>
        <v>50</v>
      </c>
      <c r="J413" s="46">
        <f t="shared" si="72"/>
        <v>0</v>
      </c>
      <c r="K413" s="45">
        <f>K414</f>
        <v>0</v>
      </c>
      <c r="L413" s="46">
        <f t="shared" si="72"/>
        <v>0</v>
      </c>
      <c r="M413" s="45">
        <f t="shared" si="72"/>
        <v>50</v>
      </c>
      <c r="N413" s="45">
        <f t="shared" si="72"/>
        <v>0</v>
      </c>
      <c r="O413" s="45">
        <f t="shared" si="72"/>
        <v>50</v>
      </c>
    </row>
    <row r="414" spans="1:15" ht="63" x14ac:dyDescent="0.2">
      <c r="A414" s="40"/>
      <c r="B414" s="41" t="s">
        <v>461</v>
      </c>
      <c r="C414" s="42" t="s">
        <v>51</v>
      </c>
      <c r="D414" s="43" t="s">
        <v>452</v>
      </c>
      <c r="E414" s="43" t="s">
        <v>462</v>
      </c>
      <c r="F414" s="44" t="s">
        <v>11</v>
      </c>
      <c r="G414" s="45">
        <f t="shared" si="72"/>
        <v>50</v>
      </c>
      <c r="H414" s="45">
        <f t="shared" si="72"/>
        <v>0</v>
      </c>
      <c r="I414" s="45">
        <f t="shared" si="72"/>
        <v>50</v>
      </c>
      <c r="J414" s="46">
        <f t="shared" si="72"/>
        <v>0</v>
      </c>
      <c r="K414" s="45">
        <f>K415</f>
        <v>0</v>
      </c>
      <c r="L414" s="46">
        <f t="shared" si="72"/>
        <v>0</v>
      </c>
      <c r="M414" s="45">
        <f t="shared" si="72"/>
        <v>50</v>
      </c>
      <c r="N414" s="45">
        <f t="shared" si="72"/>
        <v>0</v>
      </c>
      <c r="O414" s="45">
        <f t="shared" si="72"/>
        <v>50</v>
      </c>
    </row>
    <row r="415" spans="1:15" ht="31.5" x14ac:dyDescent="0.2">
      <c r="A415" s="40"/>
      <c r="B415" s="41" t="s">
        <v>463</v>
      </c>
      <c r="C415" s="42" t="s">
        <v>51</v>
      </c>
      <c r="D415" s="43" t="s">
        <v>452</v>
      </c>
      <c r="E415" s="43" t="s">
        <v>464</v>
      </c>
      <c r="F415" s="44" t="s">
        <v>11</v>
      </c>
      <c r="G415" s="45">
        <f>G416</f>
        <v>50</v>
      </c>
      <c r="H415" s="45"/>
      <c r="I415" s="45">
        <f>I416</f>
        <v>50</v>
      </c>
      <c r="J415" s="46">
        <f t="shared" si="72"/>
        <v>0</v>
      </c>
      <c r="K415" s="45"/>
      <c r="L415" s="46">
        <f t="shared" si="72"/>
        <v>0</v>
      </c>
      <c r="M415" s="45">
        <f t="shared" si="72"/>
        <v>50</v>
      </c>
      <c r="N415" s="45">
        <f t="shared" si="72"/>
        <v>0</v>
      </c>
      <c r="O415" s="45">
        <f t="shared" si="72"/>
        <v>50</v>
      </c>
    </row>
    <row r="416" spans="1:15" ht="31.5" x14ac:dyDescent="0.2">
      <c r="A416" s="40"/>
      <c r="B416" s="41" t="s">
        <v>40</v>
      </c>
      <c r="C416" s="42" t="s">
        <v>51</v>
      </c>
      <c r="D416" s="43" t="s">
        <v>452</v>
      </c>
      <c r="E416" s="43" t="s">
        <v>464</v>
      </c>
      <c r="F416" s="44" t="s">
        <v>41</v>
      </c>
      <c r="G416" s="45">
        <v>50</v>
      </c>
      <c r="H416" s="25"/>
      <c r="I416" s="45">
        <v>50</v>
      </c>
      <c r="J416" s="47"/>
      <c r="K416" s="25">
        <f t="shared" ref="G416:O422" si="73">K417</f>
        <v>0</v>
      </c>
      <c r="L416" s="47"/>
      <c r="M416" s="45">
        <v>50</v>
      </c>
      <c r="N416" s="45"/>
      <c r="O416" s="45">
        <v>50</v>
      </c>
    </row>
    <row r="417" spans="1:16" ht="31.5" x14ac:dyDescent="0.2">
      <c r="A417" s="20" t="s">
        <v>465</v>
      </c>
      <c r="B417" s="21" t="s">
        <v>466</v>
      </c>
      <c r="C417" s="22" t="s">
        <v>51</v>
      </c>
      <c r="D417" s="23" t="s">
        <v>467</v>
      </c>
      <c r="E417" s="23" t="s">
        <v>11</v>
      </c>
      <c r="F417" s="24" t="s">
        <v>11</v>
      </c>
      <c r="G417" s="25">
        <f t="shared" si="73"/>
        <v>10.5</v>
      </c>
      <c r="H417" s="38">
        <f t="shared" si="73"/>
        <v>0</v>
      </c>
      <c r="I417" s="25">
        <f t="shared" si="73"/>
        <v>10.5</v>
      </c>
      <c r="J417" s="26">
        <f t="shared" si="73"/>
        <v>0</v>
      </c>
      <c r="K417" s="38">
        <f t="shared" si="73"/>
        <v>0</v>
      </c>
      <c r="L417" s="26">
        <f t="shared" si="73"/>
        <v>0</v>
      </c>
      <c r="M417" s="25">
        <f t="shared" si="73"/>
        <v>10.5</v>
      </c>
      <c r="N417" s="25">
        <f t="shared" si="73"/>
        <v>0</v>
      </c>
      <c r="O417" s="76">
        <f t="shared" si="73"/>
        <v>10.5</v>
      </c>
    </row>
    <row r="418" spans="1:16" ht="31.5" x14ac:dyDescent="0.2">
      <c r="A418" s="33" t="s">
        <v>468</v>
      </c>
      <c r="B418" s="34" t="s">
        <v>469</v>
      </c>
      <c r="C418" s="35" t="s">
        <v>51</v>
      </c>
      <c r="D418" s="36" t="s">
        <v>470</v>
      </c>
      <c r="E418" s="36" t="s">
        <v>11</v>
      </c>
      <c r="F418" s="37" t="s">
        <v>11</v>
      </c>
      <c r="G418" s="38">
        <f t="shared" si="73"/>
        <v>10.5</v>
      </c>
      <c r="H418" s="45">
        <f t="shared" si="73"/>
        <v>0</v>
      </c>
      <c r="I418" s="38">
        <f t="shared" si="73"/>
        <v>10.5</v>
      </c>
      <c r="J418" s="39">
        <f t="shared" si="73"/>
        <v>0</v>
      </c>
      <c r="K418" s="45">
        <f t="shared" si="73"/>
        <v>0</v>
      </c>
      <c r="L418" s="39">
        <f t="shared" si="73"/>
        <v>0</v>
      </c>
      <c r="M418" s="38">
        <f t="shared" si="73"/>
        <v>10.5</v>
      </c>
      <c r="N418" s="38">
        <f t="shared" si="73"/>
        <v>0</v>
      </c>
      <c r="O418" s="38">
        <f t="shared" si="73"/>
        <v>10.5</v>
      </c>
    </row>
    <row r="419" spans="1:16" ht="31.5" x14ac:dyDescent="0.2">
      <c r="A419" s="40"/>
      <c r="B419" s="41" t="s">
        <v>128</v>
      </c>
      <c r="C419" s="42" t="s">
        <v>51</v>
      </c>
      <c r="D419" s="43" t="s">
        <v>470</v>
      </c>
      <c r="E419" s="43" t="s">
        <v>129</v>
      </c>
      <c r="F419" s="44" t="s">
        <v>11</v>
      </c>
      <c r="G419" s="45">
        <f t="shared" si="73"/>
        <v>10.5</v>
      </c>
      <c r="H419" s="45">
        <f t="shared" si="73"/>
        <v>0</v>
      </c>
      <c r="I419" s="45">
        <f t="shared" si="73"/>
        <v>10.5</v>
      </c>
      <c r="J419" s="46">
        <f t="shared" si="73"/>
        <v>0</v>
      </c>
      <c r="K419" s="45">
        <f t="shared" si="73"/>
        <v>0</v>
      </c>
      <c r="L419" s="46">
        <f t="shared" si="73"/>
        <v>0</v>
      </c>
      <c r="M419" s="45">
        <f t="shared" si="73"/>
        <v>10.5</v>
      </c>
      <c r="N419" s="45">
        <f t="shared" si="73"/>
        <v>0</v>
      </c>
      <c r="O419" s="45">
        <f t="shared" si="73"/>
        <v>10.5</v>
      </c>
    </row>
    <row r="420" spans="1:16" ht="15.75" x14ac:dyDescent="0.2">
      <c r="A420" s="40"/>
      <c r="B420" s="41" t="s">
        <v>141</v>
      </c>
      <c r="C420" s="42" t="s">
        <v>51</v>
      </c>
      <c r="D420" s="43" t="s">
        <v>470</v>
      </c>
      <c r="E420" s="43" t="s">
        <v>142</v>
      </c>
      <c r="F420" s="44" t="s">
        <v>11</v>
      </c>
      <c r="G420" s="45">
        <f t="shared" si="73"/>
        <v>10.5</v>
      </c>
      <c r="H420" s="45">
        <f t="shared" si="73"/>
        <v>0</v>
      </c>
      <c r="I420" s="45">
        <f t="shared" si="73"/>
        <v>10.5</v>
      </c>
      <c r="J420" s="46">
        <f t="shared" si="73"/>
        <v>0</v>
      </c>
      <c r="K420" s="45">
        <f t="shared" si="73"/>
        <v>0</v>
      </c>
      <c r="L420" s="46">
        <f t="shared" si="73"/>
        <v>0</v>
      </c>
      <c r="M420" s="45">
        <f t="shared" si="73"/>
        <v>10.5</v>
      </c>
      <c r="N420" s="45">
        <f t="shared" si="73"/>
        <v>0</v>
      </c>
      <c r="O420" s="45">
        <f t="shared" si="73"/>
        <v>10.5</v>
      </c>
    </row>
    <row r="421" spans="1:16" ht="47.25" x14ac:dyDescent="0.2">
      <c r="A421" s="40"/>
      <c r="B421" s="41" t="s">
        <v>143</v>
      </c>
      <c r="C421" s="42" t="s">
        <v>51</v>
      </c>
      <c r="D421" s="43" t="s">
        <v>470</v>
      </c>
      <c r="E421" s="43" t="s">
        <v>144</v>
      </c>
      <c r="F421" s="44" t="s">
        <v>11</v>
      </c>
      <c r="G421" s="45">
        <f t="shared" si="73"/>
        <v>10.5</v>
      </c>
      <c r="H421" s="45">
        <f>SUM(H422)</f>
        <v>0</v>
      </c>
      <c r="I421" s="45">
        <f t="shared" si="73"/>
        <v>10.5</v>
      </c>
      <c r="J421" s="46">
        <f t="shared" si="73"/>
        <v>0</v>
      </c>
      <c r="K421" s="45">
        <f t="shared" si="73"/>
        <v>0</v>
      </c>
      <c r="L421" s="46">
        <f t="shared" si="73"/>
        <v>0</v>
      </c>
      <c r="M421" s="45">
        <f t="shared" si="73"/>
        <v>10.5</v>
      </c>
      <c r="N421" s="45">
        <f t="shared" si="73"/>
        <v>0</v>
      </c>
      <c r="O421" s="45">
        <f t="shared" si="73"/>
        <v>10.5</v>
      </c>
    </row>
    <row r="422" spans="1:16" ht="15.75" x14ac:dyDescent="0.2">
      <c r="A422" s="40"/>
      <c r="B422" s="41" t="s">
        <v>471</v>
      </c>
      <c r="C422" s="42" t="s">
        <v>51</v>
      </c>
      <c r="D422" s="43" t="s">
        <v>470</v>
      </c>
      <c r="E422" s="43" t="s">
        <v>472</v>
      </c>
      <c r="F422" s="44" t="s">
        <v>11</v>
      </c>
      <c r="G422" s="45">
        <f t="shared" si="73"/>
        <v>10.5</v>
      </c>
      <c r="H422" s="45">
        <f t="shared" si="73"/>
        <v>0</v>
      </c>
      <c r="I422" s="45">
        <f t="shared" si="73"/>
        <v>10.5</v>
      </c>
      <c r="J422" s="46">
        <f t="shared" si="73"/>
        <v>0</v>
      </c>
      <c r="K422" s="48"/>
      <c r="L422" s="46">
        <f t="shared" si="73"/>
        <v>0</v>
      </c>
      <c r="M422" s="45">
        <f t="shared" si="73"/>
        <v>10.5</v>
      </c>
      <c r="N422" s="45">
        <f t="shared" si="73"/>
        <v>0</v>
      </c>
      <c r="O422" s="45">
        <f t="shared" si="73"/>
        <v>10.5</v>
      </c>
    </row>
    <row r="423" spans="1:16" ht="31.5" x14ac:dyDescent="0.2">
      <c r="A423" s="40"/>
      <c r="B423" s="41" t="s">
        <v>473</v>
      </c>
      <c r="C423" s="42" t="s">
        <v>51</v>
      </c>
      <c r="D423" s="43" t="s">
        <v>470</v>
      </c>
      <c r="E423" s="43" t="s">
        <v>472</v>
      </c>
      <c r="F423" s="44" t="s">
        <v>474</v>
      </c>
      <c r="G423" s="48">
        <v>10.5</v>
      </c>
      <c r="H423" s="25"/>
      <c r="I423" s="48">
        <v>10.5</v>
      </c>
      <c r="J423" s="47">
        <v>0</v>
      </c>
      <c r="K423" s="25"/>
      <c r="L423" s="47">
        <v>0</v>
      </c>
      <c r="M423" s="48">
        <f>SUM(G423)</f>
        <v>10.5</v>
      </c>
      <c r="N423" s="48">
        <f>SUM(H423)</f>
        <v>0</v>
      </c>
      <c r="O423" s="48">
        <f>SUM(I423)</f>
        <v>10.5</v>
      </c>
    </row>
    <row r="424" spans="1:16" ht="31.5" x14ac:dyDescent="0.2">
      <c r="A424" s="20" t="s">
        <v>475</v>
      </c>
      <c r="B424" s="21" t="s">
        <v>476</v>
      </c>
      <c r="C424" s="22" t="s">
        <v>477</v>
      </c>
      <c r="D424" s="23" t="s">
        <v>11</v>
      </c>
      <c r="E424" s="23" t="s">
        <v>11</v>
      </c>
      <c r="F424" s="24" t="s">
        <v>11</v>
      </c>
      <c r="G424" s="25">
        <f>G425</f>
        <v>138099.9</v>
      </c>
      <c r="H424" s="25">
        <f>H425+H451+H457</f>
        <v>1230</v>
      </c>
      <c r="I424" s="25">
        <f>I425</f>
        <v>139329.9</v>
      </c>
      <c r="J424" s="26">
        <f>J425</f>
        <v>5408.7</v>
      </c>
      <c r="K424" s="38">
        <f>K425+K451+K459</f>
        <v>16215.4</v>
      </c>
      <c r="L424" s="26">
        <f>L425</f>
        <v>21624.1</v>
      </c>
      <c r="M424" s="25">
        <f>M425</f>
        <v>143508.6</v>
      </c>
      <c r="N424" s="25">
        <f>N425</f>
        <v>17445.399999999998</v>
      </c>
      <c r="O424" s="76">
        <f>O425</f>
        <v>160953.99999999997</v>
      </c>
      <c r="P424" s="18"/>
    </row>
    <row r="425" spans="1:16" ht="15.75" x14ac:dyDescent="0.2">
      <c r="A425" s="20" t="s">
        <v>478</v>
      </c>
      <c r="B425" s="21" t="s">
        <v>479</v>
      </c>
      <c r="C425" s="22" t="s">
        <v>477</v>
      </c>
      <c r="D425" s="23" t="s">
        <v>480</v>
      </c>
      <c r="E425" s="23" t="s">
        <v>11</v>
      </c>
      <c r="F425" s="24" t="s">
        <v>11</v>
      </c>
      <c r="G425" s="25">
        <f>G426+G452+G460</f>
        <v>138099.9</v>
      </c>
      <c r="H425" s="38">
        <f>H426+H460</f>
        <v>1230</v>
      </c>
      <c r="I425" s="25">
        <f>I426+I452+I460</f>
        <v>139329.9</v>
      </c>
      <c r="J425" s="26">
        <f>J426+J452+J460</f>
        <v>5408.7</v>
      </c>
      <c r="K425" s="38">
        <f>K426+K452+K460</f>
        <v>16215.4</v>
      </c>
      <c r="L425" s="26">
        <f>L426+L452+L460</f>
        <v>21624.1</v>
      </c>
      <c r="M425" s="25">
        <f>M426+M452+M460</f>
        <v>143508.6</v>
      </c>
      <c r="N425" s="25">
        <f>N426+N452+N460</f>
        <v>17445.399999999998</v>
      </c>
      <c r="O425" s="25">
        <f>O426+O452+O460</f>
        <v>160953.99999999997</v>
      </c>
      <c r="P425" s="17"/>
    </row>
    <row r="426" spans="1:16" ht="15.75" x14ac:dyDescent="0.2">
      <c r="A426" s="33" t="s">
        <v>481</v>
      </c>
      <c r="B426" s="34" t="s">
        <v>482</v>
      </c>
      <c r="C426" s="35" t="s">
        <v>477</v>
      </c>
      <c r="D426" s="36" t="s">
        <v>483</v>
      </c>
      <c r="E426" s="36" t="s">
        <v>11</v>
      </c>
      <c r="F426" s="37" t="s">
        <v>11</v>
      </c>
      <c r="G426" s="38">
        <f>G427</f>
        <v>110456.5</v>
      </c>
      <c r="H426" s="45">
        <f>H427+H435</f>
        <v>0</v>
      </c>
      <c r="I426" s="38">
        <f>I427</f>
        <v>110456.5</v>
      </c>
      <c r="J426" s="39">
        <f>J427</f>
        <v>5408.7</v>
      </c>
      <c r="K426" s="45">
        <f>K427+K435</f>
        <v>15541.599999999999</v>
      </c>
      <c r="L426" s="39">
        <f>L427</f>
        <v>20950.3</v>
      </c>
      <c r="M426" s="38">
        <f>M427</f>
        <v>115865.2</v>
      </c>
      <c r="N426" s="38">
        <f>N427</f>
        <v>15541.599999999999</v>
      </c>
      <c r="O426" s="38">
        <f>O427</f>
        <v>131406.79999999999</v>
      </c>
      <c r="P426" s="15"/>
    </row>
    <row r="427" spans="1:16" ht="31.5" x14ac:dyDescent="0.2">
      <c r="A427" s="40"/>
      <c r="B427" s="41" t="s">
        <v>484</v>
      </c>
      <c r="C427" s="42" t="s">
        <v>477</v>
      </c>
      <c r="D427" s="43" t="s">
        <v>483</v>
      </c>
      <c r="E427" s="43" t="s">
        <v>485</v>
      </c>
      <c r="F427" s="44" t="s">
        <v>11</v>
      </c>
      <c r="G427" s="45">
        <f>G428+G436</f>
        <v>110456.5</v>
      </c>
      <c r="H427" s="45">
        <f>H428+H443+H438+H445</f>
        <v>0</v>
      </c>
      <c r="I427" s="45">
        <f>I428+I436</f>
        <v>110456.5</v>
      </c>
      <c r="J427" s="46">
        <f>J428+J436</f>
        <v>5408.7</v>
      </c>
      <c r="K427" s="45">
        <f>K428+K436</f>
        <v>15541.599999999999</v>
      </c>
      <c r="L427" s="46">
        <f>L428+L436</f>
        <v>20950.3</v>
      </c>
      <c r="M427" s="45">
        <f>M428+M436</f>
        <v>115865.2</v>
      </c>
      <c r="N427" s="45">
        <f>N428+N443+N438+N445</f>
        <v>15541.599999999999</v>
      </c>
      <c r="O427" s="45">
        <f>O428+O436</f>
        <v>131406.79999999999</v>
      </c>
      <c r="P427" s="16"/>
    </row>
    <row r="428" spans="1:16" ht="15.75" x14ac:dyDescent="0.2">
      <c r="A428" s="40"/>
      <c r="B428" s="41" t="s">
        <v>486</v>
      </c>
      <c r="C428" s="42" t="s">
        <v>477</v>
      </c>
      <c r="D428" s="43" t="s">
        <v>483</v>
      </c>
      <c r="E428" s="43" t="s">
        <v>487</v>
      </c>
      <c r="F428" s="44" t="s">
        <v>11</v>
      </c>
      <c r="G428" s="45">
        <f>G429</f>
        <v>6334.3</v>
      </c>
      <c r="H428" s="45">
        <f>H429+H433</f>
        <v>0</v>
      </c>
      <c r="I428" s="45">
        <f>I429</f>
        <v>6334.3</v>
      </c>
      <c r="J428" s="46">
        <f>J429</f>
        <v>0</v>
      </c>
      <c r="K428" s="45">
        <f>K429+K431+K433</f>
        <v>0</v>
      </c>
      <c r="L428" s="46">
        <f>L429</f>
        <v>0</v>
      </c>
      <c r="M428" s="45">
        <f>M429</f>
        <v>6334.3</v>
      </c>
      <c r="N428" s="45">
        <f>N429</f>
        <v>0</v>
      </c>
      <c r="O428" s="45">
        <f>O429</f>
        <v>6334.3</v>
      </c>
    </row>
    <row r="429" spans="1:16" ht="15.75" x14ac:dyDescent="0.2">
      <c r="A429" s="40"/>
      <c r="B429" s="41" t="s">
        <v>488</v>
      </c>
      <c r="C429" s="42" t="s">
        <v>477</v>
      </c>
      <c r="D429" s="43" t="s">
        <v>483</v>
      </c>
      <c r="E429" s="43" t="s">
        <v>489</v>
      </c>
      <c r="F429" s="44" t="s">
        <v>11</v>
      </c>
      <c r="G429" s="45">
        <f>G430+G432+G434</f>
        <v>6334.3</v>
      </c>
      <c r="H429" s="45">
        <f>H430</f>
        <v>0</v>
      </c>
      <c r="I429" s="45">
        <f>I430+I432+I434</f>
        <v>6334.3</v>
      </c>
      <c r="J429" s="46">
        <f>J430+J432+J434</f>
        <v>0</v>
      </c>
      <c r="K429" s="45">
        <f>K430</f>
        <v>0</v>
      </c>
      <c r="L429" s="46">
        <f>L430+L432+L434</f>
        <v>0</v>
      </c>
      <c r="M429" s="45">
        <f>M430+M432+M434</f>
        <v>6334.3</v>
      </c>
      <c r="N429" s="45">
        <f>N430+N432+N434</f>
        <v>0</v>
      </c>
      <c r="O429" s="45">
        <f>O430+O432+O434</f>
        <v>6334.3</v>
      </c>
    </row>
    <row r="430" spans="1:16" ht="15.75" x14ac:dyDescent="0.2">
      <c r="A430" s="40"/>
      <c r="B430" s="41" t="s">
        <v>490</v>
      </c>
      <c r="C430" s="42" t="s">
        <v>477</v>
      </c>
      <c r="D430" s="43" t="s">
        <v>483</v>
      </c>
      <c r="E430" s="43" t="s">
        <v>491</v>
      </c>
      <c r="F430" s="44" t="s">
        <v>11</v>
      </c>
      <c r="G430" s="45">
        <f>G431</f>
        <v>6034.3</v>
      </c>
      <c r="H430" s="45">
        <f>H431</f>
        <v>0</v>
      </c>
      <c r="I430" s="45">
        <f>I431</f>
        <v>6034.3</v>
      </c>
      <c r="J430" s="46">
        <f>J431</f>
        <v>0</v>
      </c>
      <c r="K430" s="45"/>
      <c r="L430" s="46">
        <f>L431</f>
        <v>0</v>
      </c>
      <c r="M430" s="45">
        <f>M431</f>
        <v>6034.3</v>
      </c>
      <c r="N430" s="45">
        <f>N431</f>
        <v>0</v>
      </c>
      <c r="O430" s="45">
        <f>O431</f>
        <v>6034.3</v>
      </c>
    </row>
    <row r="431" spans="1:16" ht="31.5" x14ac:dyDescent="0.2">
      <c r="A431" s="40"/>
      <c r="B431" s="41" t="s">
        <v>40</v>
      </c>
      <c r="C431" s="42" t="s">
        <v>477</v>
      </c>
      <c r="D431" s="43" t="s">
        <v>483</v>
      </c>
      <c r="E431" s="43" t="s">
        <v>491</v>
      </c>
      <c r="F431" s="44" t="s">
        <v>41</v>
      </c>
      <c r="G431" s="45">
        <v>6034.3</v>
      </c>
      <c r="H431" s="45"/>
      <c r="I431" s="45">
        <f>SUM(G431+H431)</f>
        <v>6034.3</v>
      </c>
      <c r="J431" s="47">
        <v>0</v>
      </c>
      <c r="K431" s="45"/>
      <c r="L431" s="47">
        <v>0</v>
      </c>
      <c r="M431" s="45">
        <f>SUM(G431)</f>
        <v>6034.3</v>
      </c>
      <c r="N431" s="45">
        <f>SUM(H431)</f>
        <v>0</v>
      </c>
      <c r="O431" s="45">
        <f>SUM(M431+N431)</f>
        <v>6034.3</v>
      </c>
    </row>
    <row r="432" spans="1:16" ht="15.75" x14ac:dyDescent="0.2">
      <c r="A432" s="40"/>
      <c r="B432" s="41" t="s">
        <v>492</v>
      </c>
      <c r="C432" s="42" t="s">
        <v>477</v>
      </c>
      <c r="D432" s="43" t="s">
        <v>483</v>
      </c>
      <c r="E432" s="43" t="s">
        <v>493</v>
      </c>
      <c r="F432" s="44" t="s">
        <v>11</v>
      </c>
      <c r="G432" s="45">
        <f>G433</f>
        <v>300</v>
      </c>
      <c r="H432" s="45"/>
      <c r="I432" s="45">
        <f>I433</f>
        <v>300</v>
      </c>
      <c r="J432" s="46">
        <f>J433</f>
        <v>0</v>
      </c>
      <c r="K432" s="45"/>
      <c r="L432" s="46">
        <f>L433</f>
        <v>0</v>
      </c>
      <c r="M432" s="45">
        <f>M433</f>
        <v>300</v>
      </c>
      <c r="N432" s="45">
        <f>N433</f>
        <v>0</v>
      </c>
      <c r="O432" s="45">
        <f>O433</f>
        <v>300</v>
      </c>
    </row>
    <row r="433" spans="1:16" ht="26.25" customHeight="1" x14ac:dyDescent="0.2">
      <c r="A433" s="40"/>
      <c r="B433" s="41" t="s">
        <v>40</v>
      </c>
      <c r="C433" s="42" t="s">
        <v>477</v>
      </c>
      <c r="D433" s="43" t="s">
        <v>483</v>
      </c>
      <c r="E433" s="43" t="s">
        <v>493</v>
      </c>
      <c r="F433" s="44" t="s">
        <v>41</v>
      </c>
      <c r="G433" s="45">
        <f>300000/1000</f>
        <v>300</v>
      </c>
      <c r="H433" s="45"/>
      <c r="I433" s="45">
        <f>300000/1000</f>
        <v>300</v>
      </c>
      <c r="J433" s="47">
        <v>0</v>
      </c>
      <c r="K433" s="45"/>
      <c r="L433" s="47">
        <v>0</v>
      </c>
      <c r="M433" s="45">
        <f>300000/1000</f>
        <v>300</v>
      </c>
      <c r="N433" s="45"/>
      <c r="O433" s="45">
        <f>300000/1000</f>
        <v>300</v>
      </c>
    </row>
    <row r="434" spans="1:16" ht="15.75" hidden="1" x14ac:dyDescent="0.2">
      <c r="A434" s="40"/>
      <c r="B434" s="41" t="s">
        <v>378</v>
      </c>
      <c r="C434" s="42" t="s">
        <v>477</v>
      </c>
      <c r="D434" s="43" t="s">
        <v>483</v>
      </c>
      <c r="E434" s="43" t="s">
        <v>494</v>
      </c>
      <c r="F434" s="44" t="s">
        <v>11</v>
      </c>
      <c r="G434" s="45">
        <f>G435</f>
        <v>0</v>
      </c>
      <c r="H434" s="45"/>
      <c r="I434" s="45">
        <f>I435</f>
        <v>0</v>
      </c>
      <c r="J434" s="46">
        <f>J435</f>
        <v>0</v>
      </c>
      <c r="K434" s="45"/>
      <c r="L434" s="46">
        <f>L435</f>
        <v>0</v>
      </c>
      <c r="M434" s="45">
        <f>M435</f>
        <v>0</v>
      </c>
      <c r="N434" s="45">
        <f>N435</f>
        <v>0</v>
      </c>
      <c r="O434" s="45">
        <f>O435</f>
        <v>0</v>
      </c>
    </row>
    <row r="435" spans="1:16" ht="31.5" hidden="1" x14ac:dyDescent="0.2">
      <c r="A435" s="40"/>
      <c r="B435" s="41" t="s">
        <v>40</v>
      </c>
      <c r="C435" s="42" t="s">
        <v>477</v>
      </c>
      <c r="D435" s="43" t="s">
        <v>483</v>
      </c>
      <c r="E435" s="43" t="s">
        <v>494</v>
      </c>
      <c r="F435" s="44" t="s">
        <v>41</v>
      </c>
      <c r="G435" s="45"/>
      <c r="H435" s="45"/>
      <c r="I435" s="45"/>
      <c r="J435" s="47">
        <v>0</v>
      </c>
      <c r="K435" s="45"/>
      <c r="L435" s="47">
        <v>0</v>
      </c>
      <c r="M435" s="45"/>
      <c r="N435" s="45"/>
      <c r="O435" s="45"/>
    </row>
    <row r="436" spans="1:16" ht="47.25" x14ac:dyDescent="0.2">
      <c r="A436" s="40"/>
      <c r="B436" s="41" t="s">
        <v>495</v>
      </c>
      <c r="C436" s="42" t="s">
        <v>477</v>
      </c>
      <c r="D436" s="43" t="s">
        <v>483</v>
      </c>
      <c r="E436" s="43" t="s">
        <v>496</v>
      </c>
      <c r="F436" s="44" t="s">
        <v>11</v>
      </c>
      <c r="G436" s="45">
        <f>G437+G449</f>
        <v>104122.2</v>
      </c>
      <c r="H436" s="45">
        <f>H437+H442+H446+H449+H443</f>
        <v>0</v>
      </c>
      <c r="I436" s="45">
        <f>I437+I449</f>
        <v>104122.2</v>
      </c>
      <c r="J436" s="46">
        <f>J437+J449</f>
        <v>5408.7</v>
      </c>
      <c r="K436" s="45">
        <f>K437+K442+K446+K449</f>
        <v>15541.599999999999</v>
      </c>
      <c r="L436" s="45">
        <f>L437+L442+L446+L449</f>
        <v>20950.3</v>
      </c>
      <c r="M436" s="45">
        <f>M437+M449</f>
        <v>109530.9</v>
      </c>
      <c r="N436" s="45">
        <f>N437</f>
        <v>15541.599999999999</v>
      </c>
      <c r="O436" s="80">
        <f>O437+O449</f>
        <v>125072.49999999999</v>
      </c>
      <c r="P436" s="16"/>
    </row>
    <row r="437" spans="1:16" ht="47.25" x14ac:dyDescent="0.2">
      <c r="A437" s="40"/>
      <c r="B437" s="41" t="s">
        <v>497</v>
      </c>
      <c r="C437" s="42" t="s">
        <v>477</v>
      </c>
      <c r="D437" s="43" t="s">
        <v>483</v>
      </c>
      <c r="E437" s="43" t="s">
        <v>498</v>
      </c>
      <c r="F437" s="44" t="s">
        <v>11</v>
      </c>
      <c r="G437" s="45">
        <f>G438+G445+G447+G443</f>
        <v>103867.8</v>
      </c>
      <c r="H437" s="45">
        <f>SUM(H438)</f>
        <v>0</v>
      </c>
      <c r="I437" s="45">
        <f>I438+I445+I447+I443</f>
        <v>103867.8</v>
      </c>
      <c r="J437" s="46">
        <f>J438+J445+J447+J443</f>
        <v>3846.2</v>
      </c>
      <c r="K437" s="45">
        <f>K438+K440+K443</f>
        <v>15541.599999999999</v>
      </c>
      <c r="L437" s="45">
        <f>L438+L440+L443+J437</f>
        <v>19387.8</v>
      </c>
      <c r="M437" s="45">
        <f>M438+M445+M447+M443</f>
        <v>107714</v>
      </c>
      <c r="N437" s="45">
        <f>SUM(N438)</f>
        <v>15541.599999999999</v>
      </c>
      <c r="O437" s="45">
        <f>O438+O445+O447+O443</f>
        <v>123255.59999999999</v>
      </c>
      <c r="P437" s="16"/>
    </row>
    <row r="438" spans="1:16" ht="31.5" x14ac:dyDescent="0.2">
      <c r="A438" s="40"/>
      <c r="B438" s="41" t="s">
        <v>134</v>
      </c>
      <c r="C438" s="42" t="s">
        <v>477</v>
      </c>
      <c r="D438" s="43" t="s">
        <v>483</v>
      </c>
      <c r="E438" s="43" t="s">
        <v>499</v>
      </c>
      <c r="F438" s="44" t="s">
        <v>11</v>
      </c>
      <c r="G438" s="45">
        <f>G439+G440+G441+G442</f>
        <v>99978.700000000012</v>
      </c>
      <c r="H438" s="45">
        <f>SUM(H440)+H441</f>
        <v>0</v>
      </c>
      <c r="I438" s="45">
        <f>I439+I440+I441+I442</f>
        <v>99978.700000000012</v>
      </c>
      <c r="J438" s="46">
        <f>J439+J440+J441+J442</f>
        <v>0</v>
      </c>
      <c r="K438" s="45">
        <f>2349.2+K441</f>
        <v>15541.599999999999</v>
      </c>
      <c r="L438" s="46">
        <f>L439+L440+L441+L442</f>
        <v>15541.599999999999</v>
      </c>
      <c r="M438" s="45">
        <f>M439+M440+M441+M442</f>
        <v>99978.700000000012</v>
      </c>
      <c r="N438" s="45">
        <f>N439+N440+N442+N441</f>
        <v>15541.599999999999</v>
      </c>
      <c r="O438" s="45">
        <f>O439+O440+O441+O442</f>
        <v>115520.3</v>
      </c>
    </row>
    <row r="439" spans="1:16" ht="78.75" x14ac:dyDescent="0.2">
      <c r="A439" s="40"/>
      <c r="B439" s="41" t="s">
        <v>61</v>
      </c>
      <c r="C439" s="42" t="s">
        <v>477</v>
      </c>
      <c r="D439" s="43" t="s">
        <v>483</v>
      </c>
      <c r="E439" s="43" t="s">
        <v>499</v>
      </c>
      <c r="F439" s="44" t="s">
        <v>62</v>
      </c>
      <c r="G439" s="45">
        <f>16503800/1000</f>
        <v>16503.8</v>
      </c>
      <c r="H439" s="45"/>
      <c r="I439" s="45">
        <f>16503800/1000</f>
        <v>16503.8</v>
      </c>
      <c r="J439" s="47">
        <v>0</v>
      </c>
      <c r="K439" s="45">
        <v>2349.1999999999998</v>
      </c>
      <c r="L439" s="45">
        <v>2349.1999999999998</v>
      </c>
      <c r="M439" s="45">
        <f>16503800/1000</f>
        <v>16503.8</v>
      </c>
      <c r="N439" s="45">
        <f>SUM(K439)</f>
        <v>2349.1999999999998</v>
      </c>
      <c r="O439" s="45">
        <f>16503800/1000+N439</f>
        <v>18853</v>
      </c>
    </row>
    <row r="440" spans="1:16" ht="31.5" x14ac:dyDescent="0.2">
      <c r="A440" s="40"/>
      <c r="B440" s="41" t="s">
        <v>40</v>
      </c>
      <c r="C440" s="42" t="s">
        <v>477</v>
      </c>
      <c r="D440" s="43" t="s">
        <v>483</v>
      </c>
      <c r="E440" s="43" t="s">
        <v>499</v>
      </c>
      <c r="F440" s="44" t="s">
        <v>41</v>
      </c>
      <c r="G440" s="45">
        <v>6317.8</v>
      </c>
      <c r="H440" s="48"/>
      <c r="I440" s="45">
        <f>SUM(G440)</f>
        <v>6317.8</v>
      </c>
      <c r="J440" s="47">
        <v>0</v>
      </c>
      <c r="K440" s="48"/>
      <c r="L440" s="47">
        <v>0</v>
      </c>
      <c r="M440" s="45">
        <f>SUM(G440)</f>
        <v>6317.8</v>
      </c>
      <c r="N440" s="45">
        <f>SUM(H440)</f>
        <v>0</v>
      </c>
      <c r="O440" s="45">
        <f>SUM(I440)</f>
        <v>6317.8</v>
      </c>
    </row>
    <row r="441" spans="1:16" ht="39" customHeight="1" x14ac:dyDescent="0.2">
      <c r="A441" s="40"/>
      <c r="B441" s="41" t="s">
        <v>95</v>
      </c>
      <c r="C441" s="42" t="s">
        <v>477</v>
      </c>
      <c r="D441" s="43" t="s">
        <v>483</v>
      </c>
      <c r="E441" s="43" t="s">
        <v>499</v>
      </c>
      <c r="F441" s="44" t="s">
        <v>96</v>
      </c>
      <c r="G441" s="48">
        <f>75925300/1000+1213.2</f>
        <v>77138.5</v>
      </c>
      <c r="H441" s="45"/>
      <c r="I441" s="48">
        <f>75925300/1000+1213.2+H441</f>
        <v>77138.5</v>
      </c>
      <c r="J441" s="47">
        <v>0</v>
      </c>
      <c r="K441" s="45">
        <v>13192.4</v>
      </c>
      <c r="L441" s="45">
        <v>13192.4</v>
      </c>
      <c r="M441" s="48">
        <f>75925300/1000+1213.2</f>
        <v>77138.5</v>
      </c>
      <c r="N441" s="48">
        <f>SUM(K441)</f>
        <v>13192.4</v>
      </c>
      <c r="O441" s="48">
        <f>75925300/1000+1213.2+N441</f>
        <v>90330.9</v>
      </c>
    </row>
    <row r="442" spans="1:16" ht="15.75" x14ac:dyDescent="0.2">
      <c r="A442" s="40"/>
      <c r="B442" s="41" t="s">
        <v>338</v>
      </c>
      <c r="C442" s="42" t="s">
        <v>477</v>
      </c>
      <c r="D442" s="43" t="s">
        <v>483</v>
      </c>
      <c r="E442" s="43" t="s">
        <v>499</v>
      </c>
      <c r="F442" s="44" t="s">
        <v>71</v>
      </c>
      <c r="G442" s="45">
        <f>18600/1000</f>
        <v>18.600000000000001</v>
      </c>
      <c r="H442" s="45"/>
      <c r="I442" s="45">
        <f>18600/1000</f>
        <v>18.600000000000001</v>
      </c>
      <c r="J442" s="47">
        <v>0</v>
      </c>
      <c r="K442" s="45"/>
      <c r="L442" s="47">
        <v>0</v>
      </c>
      <c r="M442" s="45">
        <f>18600/1000</f>
        <v>18.600000000000001</v>
      </c>
      <c r="N442" s="45"/>
      <c r="O442" s="45">
        <f>18600/1000</f>
        <v>18.600000000000001</v>
      </c>
    </row>
    <row r="443" spans="1:16" ht="31.5" x14ac:dyDescent="0.2">
      <c r="A443" s="40"/>
      <c r="B443" s="41" t="s">
        <v>500</v>
      </c>
      <c r="C443" s="42">
        <v>993</v>
      </c>
      <c r="D443" s="43" t="s">
        <v>483</v>
      </c>
      <c r="E443" s="57" t="s">
        <v>501</v>
      </c>
      <c r="F443" s="44"/>
      <c r="G443" s="45">
        <f>SUM(F443)+G444</f>
        <v>1448.9</v>
      </c>
      <c r="H443" s="45">
        <f>SUM(H444)</f>
        <v>600</v>
      </c>
      <c r="I443" s="45">
        <f>SUM(G443)+H443</f>
        <v>2048.9</v>
      </c>
      <c r="J443" s="47">
        <f>SUM(J444)</f>
        <v>0</v>
      </c>
      <c r="K443" s="45">
        <f>SUM(K444)</f>
        <v>0</v>
      </c>
      <c r="L443" s="47">
        <f>SUM(J443)+K443</f>
        <v>0</v>
      </c>
      <c r="M443" s="45">
        <f>SUM(G443+J443)</f>
        <v>1448.9</v>
      </c>
      <c r="N443" s="45">
        <f>SUM(K443)+H443</f>
        <v>600</v>
      </c>
      <c r="O443" s="45">
        <f>SUM(I443)+L443</f>
        <v>2048.9</v>
      </c>
    </row>
    <row r="444" spans="1:16" ht="47.25" x14ac:dyDescent="0.2">
      <c r="A444" s="40"/>
      <c r="B444" s="41" t="s">
        <v>95</v>
      </c>
      <c r="C444" s="42">
        <v>993</v>
      </c>
      <c r="D444" s="43" t="s">
        <v>483</v>
      </c>
      <c r="E444" s="57" t="s">
        <v>501</v>
      </c>
      <c r="F444" s="44">
        <v>600</v>
      </c>
      <c r="G444" s="45">
        <v>1448.9</v>
      </c>
      <c r="H444" s="45">
        <v>600</v>
      </c>
      <c r="I444" s="45">
        <f>SUM(G444)+H444</f>
        <v>2048.9</v>
      </c>
      <c r="J444" s="47">
        <v>0</v>
      </c>
      <c r="K444" s="45"/>
      <c r="L444" s="47">
        <f>SUM(J444)+K444</f>
        <v>0</v>
      </c>
      <c r="M444" s="45">
        <f>SUM(G444+J444)</f>
        <v>1448.9</v>
      </c>
      <c r="N444" s="45">
        <f>SUM(K444)+H444</f>
        <v>600</v>
      </c>
      <c r="O444" s="45">
        <f>SUM(I444)+L444</f>
        <v>2048.9</v>
      </c>
    </row>
    <row r="445" spans="1:16" ht="47.25" x14ac:dyDescent="0.2">
      <c r="A445" s="40"/>
      <c r="B445" s="41" t="s">
        <v>283</v>
      </c>
      <c r="C445" s="42" t="s">
        <v>477</v>
      </c>
      <c r="D445" s="43" t="s">
        <v>483</v>
      </c>
      <c r="E445" s="43" t="s">
        <v>502</v>
      </c>
      <c r="F445" s="44" t="s">
        <v>11</v>
      </c>
      <c r="G445" s="45">
        <f>G446</f>
        <v>1814</v>
      </c>
      <c r="H445" s="45">
        <f>SUM(H446)</f>
        <v>-600</v>
      </c>
      <c r="I445" s="45">
        <f>SUM(G445)+H445</f>
        <v>1214</v>
      </c>
      <c r="J445" s="46">
        <f>J446</f>
        <v>0</v>
      </c>
      <c r="K445" s="45"/>
      <c r="L445" s="46">
        <f>L446</f>
        <v>0</v>
      </c>
      <c r="M445" s="45">
        <f>M446</f>
        <v>1814</v>
      </c>
      <c r="N445" s="45">
        <f>N446</f>
        <v>-600</v>
      </c>
      <c r="O445" s="45">
        <f>O446</f>
        <v>1214</v>
      </c>
    </row>
    <row r="446" spans="1:16" ht="36" customHeight="1" x14ac:dyDescent="0.2">
      <c r="A446" s="40"/>
      <c r="B446" s="41" t="s">
        <v>95</v>
      </c>
      <c r="C446" s="42" t="s">
        <v>477</v>
      </c>
      <c r="D446" s="43" t="s">
        <v>483</v>
      </c>
      <c r="E446" s="43" t="s">
        <v>502</v>
      </c>
      <c r="F446" s="44" t="s">
        <v>96</v>
      </c>
      <c r="G446" s="45">
        <v>1814</v>
      </c>
      <c r="H446" s="45">
        <v>-600</v>
      </c>
      <c r="I446" s="45">
        <f>SUM(G446)+H446</f>
        <v>1214</v>
      </c>
      <c r="J446" s="47"/>
      <c r="K446" s="45"/>
      <c r="L446" s="47"/>
      <c r="M446" s="45">
        <f>SUM(G446)</f>
        <v>1814</v>
      </c>
      <c r="N446" s="45">
        <f>SUM(H446)</f>
        <v>-600</v>
      </c>
      <c r="O446" s="45">
        <f>SUM(M446)+N446</f>
        <v>1214</v>
      </c>
    </row>
    <row r="447" spans="1:16" ht="31.5" x14ac:dyDescent="0.2">
      <c r="A447" s="40"/>
      <c r="B447" s="41" t="s">
        <v>503</v>
      </c>
      <c r="C447" s="42" t="s">
        <v>477</v>
      </c>
      <c r="D447" s="43" t="s">
        <v>483</v>
      </c>
      <c r="E447" s="43" t="s">
        <v>504</v>
      </c>
      <c r="F447" s="44" t="s">
        <v>11</v>
      </c>
      <c r="G447" s="45">
        <f>G448</f>
        <v>626.20000000000005</v>
      </c>
      <c r="H447" s="45"/>
      <c r="I447" s="45">
        <f>I448</f>
        <v>626.20000000000005</v>
      </c>
      <c r="J447" s="46">
        <f>J448</f>
        <v>3846.2</v>
      </c>
      <c r="K447" s="45"/>
      <c r="L447" s="46">
        <f>L448</f>
        <v>3846.2</v>
      </c>
      <c r="M447" s="45">
        <f>M448</f>
        <v>4472.3999999999996</v>
      </c>
      <c r="N447" s="45">
        <f>N448</f>
        <v>0</v>
      </c>
      <c r="O447" s="45">
        <f>O448</f>
        <v>4472.3999999999996</v>
      </c>
    </row>
    <row r="448" spans="1:16" ht="36" customHeight="1" x14ac:dyDescent="0.2">
      <c r="A448" s="40"/>
      <c r="B448" s="41" t="s">
        <v>95</v>
      </c>
      <c r="C448" s="42" t="s">
        <v>477</v>
      </c>
      <c r="D448" s="43" t="s">
        <v>483</v>
      </c>
      <c r="E448" s="43" t="s">
        <v>504</v>
      </c>
      <c r="F448" s="44" t="s">
        <v>96</v>
      </c>
      <c r="G448" s="45">
        <v>626.20000000000005</v>
      </c>
      <c r="H448" s="45"/>
      <c r="I448" s="45">
        <v>626.20000000000005</v>
      </c>
      <c r="J448" s="47">
        <v>3846.2</v>
      </c>
      <c r="K448" s="45"/>
      <c r="L448" s="47">
        <v>3846.2</v>
      </c>
      <c r="M448" s="45">
        <f>626.2+J448</f>
        <v>4472.3999999999996</v>
      </c>
      <c r="N448" s="45"/>
      <c r="O448" s="45">
        <f>626.2+L448</f>
        <v>4472.3999999999996</v>
      </c>
    </row>
    <row r="449" spans="1:15" ht="36" customHeight="1" x14ac:dyDescent="0.2">
      <c r="A449" s="40"/>
      <c r="B449" s="56" t="s">
        <v>505</v>
      </c>
      <c r="C449" s="42">
        <v>993</v>
      </c>
      <c r="D449" s="43" t="s">
        <v>483</v>
      </c>
      <c r="E449" s="43" t="s">
        <v>506</v>
      </c>
      <c r="F449" s="44"/>
      <c r="G449" s="45">
        <v>254.4</v>
      </c>
      <c r="H449" s="45"/>
      <c r="I449" s="45">
        <v>254.4</v>
      </c>
      <c r="J449" s="47">
        <v>1562.5</v>
      </c>
      <c r="K449" s="45"/>
      <c r="L449" s="47">
        <v>1562.5</v>
      </c>
      <c r="M449" s="45">
        <f>254.4+J449</f>
        <v>1816.9</v>
      </c>
      <c r="N449" s="45"/>
      <c r="O449" s="45">
        <f>254.4+L449</f>
        <v>1816.9</v>
      </c>
    </row>
    <row r="450" spans="1:15" ht="36" customHeight="1" x14ac:dyDescent="0.2">
      <c r="A450" s="40"/>
      <c r="B450" s="56" t="s">
        <v>507</v>
      </c>
      <c r="C450" s="42">
        <v>993</v>
      </c>
      <c r="D450" s="43" t="s">
        <v>483</v>
      </c>
      <c r="E450" s="43" t="s">
        <v>508</v>
      </c>
      <c r="F450" s="44"/>
      <c r="G450" s="45">
        <v>254.4</v>
      </c>
      <c r="H450" s="45"/>
      <c r="I450" s="45">
        <v>254.4</v>
      </c>
      <c r="J450" s="47">
        <v>1562.5</v>
      </c>
      <c r="K450" s="45"/>
      <c r="L450" s="47">
        <v>1562.5</v>
      </c>
      <c r="M450" s="45">
        <f>254.4+J450</f>
        <v>1816.9</v>
      </c>
      <c r="N450" s="45"/>
      <c r="O450" s="45">
        <f>254.4+L450</f>
        <v>1816.9</v>
      </c>
    </row>
    <row r="451" spans="1:15" ht="36" customHeight="1" x14ac:dyDescent="0.2">
      <c r="A451" s="40"/>
      <c r="B451" s="41" t="s">
        <v>95</v>
      </c>
      <c r="C451" s="42">
        <v>993</v>
      </c>
      <c r="D451" s="43" t="s">
        <v>483</v>
      </c>
      <c r="E451" s="43" t="s">
        <v>508</v>
      </c>
      <c r="F451" s="44">
        <v>600</v>
      </c>
      <c r="G451" s="45">
        <v>254.4</v>
      </c>
      <c r="H451" s="38"/>
      <c r="I451" s="45">
        <v>254.4</v>
      </c>
      <c r="J451" s="47">
        <v>1562.5</v>
      </c>
      <c r="K451" s="38"/>
      <c r="L451" s="47">
        <v>1562.5</v>
      </c>
      <c r="M451" s="45">
        <f>254.4+J451</f>
        <v>1816.9</v>
      </c>
      <c r="N451" s="45"/>
      <c r="O451" s="45">
        <f>254.4+L451</f>
        <v>1816.9</v>
      </c>
    </row>
    <row r="452" spans="1:15" ht="15.75" x14ac:dyDescent="0.2">
      <c r="A452" s="33" t="s">
        <v>509</v>
      </c>
      <c r="B452" s="34" t="s">
        <v>510</v>
      </c>
      <c r="C452" s="35" t="s">
        <v>477</v>
      </c>
      <c r="D452" s="36" t="s">
        <v>511</v>
      </c>
      <c r="E452" s="36" t="s">
        <v>11</v>
      </c>
      <c r="F452" s="37" t="s">
        <v>11</v>
      </c>
      <c r="G452" s="38">
        <f t="shared" ref="G452:O456" si="74">G453</f>
        <v>11335.7</v>
      </c>
      <c r="H452" s="45">
        <f t="shared" si="74"/>
        <v>0</v>
      </c>
      <c r="I452" s="38">
        <f t="shared" si="74"/>
        <v>11335.7</v>
      </c>
      <c r="J452" s="39">
        <f t="shared" si="74"/>
        <v>0</v>
      </c>
      <c r="K452" s="45">
        <f>K453</f>
        <v>266.2</v>
      </c>
      <c r="L452" s="39">
        <f t="shared" si="74"/>
        <v>266.2</v>
      </c>
      <c r="M452" s="38">
        <f t="shared" si="74"/>
        <v>11335.7</v>
      </c>
      <c r="N452" s="38">
        <f t="shared" si="74"/>
        <v>266.2</v>
      </c>
      <c r="O452" s="38">
        <f t="shared" si="74"/>
        <v>11601.900000000001</v>
      </c>
    </row>
    <row r="453" spans="1:15" ht="31.5" x14ac:dyDescent="0.2">
      <c r="A453" s="40"/>
      <c r="B453" s="41" t="s">
        <v>484</v>
      </c>
      <c r="C453" s="42" t="s">
        <v>477</v>
      </c>
      <c r="D453" s="43" t="s">
        <v>511</v>
      </c>
      <c r="E453" s="43" t="s">
        <v>485</v>
      </c>
      <c r="F453" s="44" t="s">
        <v>11</v>
      </c>
      <c r="G453" s="45">
        <f t="shared" si="74"/>
        <v>11335.7</v>
      </c>
      <c r="H453" s="45">
        <f t="shared" si="74"/>
        <v>0</v>
      </c>
      <c r="I453" s="45">
        <f t="shared" si="74"/>
        <v>11335.7</v>
      </c>
      <c r="J453" s="46">
        <f t="shared" si="74"/>
        <v>0</v>
      </c>
      <c r="K453" s="45">
        <f>K454</f>
        <v>266.2</v>
      </c>
      <c r="L453" s="46">
        <f t="shared" si="74"/>
        <v>266.2</v>
      </c>
      <c r="M453" s="45">
        <f t="shared" si="74"/>
        <v>11335.7</v>
      </c>
      <c r="N453" s="45">
        <f t="shared" si="74"/>
        <v>266.2</v>
      </c>
      <c r="O453" s="45">
        <f t="shared" si="74"/>
        <v>11601.900000000001</v>
      </c>
    </row>
    <row r="454" spans="1:15" ht="47.25" x14ac:dyDescent="0.2">
      <c r="A454" s="40"/>
      <c r="B454" s="41" t="s">
        <v>495</v>
      </c>
      <c r="C454" s="42" t="s">
        <v>477</v>
      </c>
      <c r="D454" s="43" t="s">
        <v>511</v>
      </c>
      <c r="E454" s="43" t="s">
        <v>496</v>
      </c>
      <c r="F454" s="44" t="s">
        <v>11</v>
      </c>
      <c r="G454" s="45">
        <f t="shared" si="74"/>
        <v>11335.7</v>
      </c>
      <c r="H454" s="45">
        <f t="shared" si="74"/>
        <v>0</v>
      </c>
      <c r="I454" s="45">
        <f t="shared" si="74"/>
        <v>11335.7</v>
      </c>
      <c r="J454" s="46">
        <f t="shared" si="74"/>
        <v>0</v>
      </c>
      <c r="K454" s="45">
        <f>K455</f>
        <v>266.2</v>
      </c>
      <c r="L454" s="46">
        <f t="shared" si="74"/>
        <v>266.2</v>
      </c>
      <c r="M454" s="45">
        <f t="shared" si="74"/>
        <v>11335.7</v>
      </c>
      <c r="N454" s="45">
        <f t="shared" si="74"/>
        <v>266.2</v>
      </c>
      <c r="O454" s="45">
        <f t="shared" si="74"/>
        <v>11601.900000000001</v>
      </c>
    </row>
    <row r="455" spans="1:15" ht="47.25" x14ac:dyDescent="0.2">
      <c r="A455" s="40"/>
      <c r="B455" s="41" t="s">
        <v>497</v>
      </c>
      <c r="C455" s="42" t="s">
        <v>477</v>
      </c>
      <c r="D455" s="43" t="s">
        <v>511</v>
      </c>
      <c r="E455" s="43" t="s">
        <v>498</v>
      </c>
      <c r="F455" s="44" t="s">
        <v>11</v>
      </c>
      <c r="G455" s="45">
        <f>G456+G458</f>
        <v>11335.7</v>
      </c>
      <c r="H455" s="45">
        <f>SUM(H456)</f>
        <v>0</v>
      </c>
      <c r="I455" s="45">
        <f>I456+I458</f>
        <v>11335.7</v>
      </c>
      <c r="J455" s="46">
        <f t="shared" si="74"/>
        <v>0</v>
      </c>
      <c r="K455" s="45">
        <f>K456</f>
        <v>266.2</v>
      </c>
      <c r="L455" s="46">
        <f t="shared" si="74"/>
        <v>266.2</v>
      </c>
      <c r="M455" s="45">
        <f>M456+M458</f>
        <v>11335.7</v>
      </c>
      <c r="N455" s="45">
        <f>SUM(K455)</f>
        <v>266.2</v>
      </c>
      <c r="O455" s="45">
        <f>O456+O458</f>
        <v>11601.900000000001</v>
      </c>
    </row>
    <row r="456" spans="1:15" ht="31.5" x14ac:dyDescent="0.2">
      <c r="A456" s="40"/>
      <c r="B456" s="41" t="s">
        <v>134</v>
      </c>
      <c r="C456" s="42" t="s">
        <v>477</v>
      </c>
      <c r="D456" s="43" t="s">
        <v>511</v>
      </c>
      <c r="E456" s="43" t="s">
        <v>499</v>
      </c>
      <c r="F456" s="44" t="s">
        <v>11</v>
      </c>
      <c r="G456" s="45">
        <f>G457</f>
        <v>10735.7</v>
      </c>
      <c r="H456" s="38"/>
      <c r="I456" s="45">
        <f>I457</f>
        <v>10735.7</v>
      </c>
      <c r="J456" s="46">
        <f t="shared" si="74"/>
        <v>0</v>
      </c>
      <c r="K456" s="38">
        <v>266.2</v>
      </c>
      <c r="L456" s="46">
        <f t="shared" si="74"/>
        <v>266.2</v>
      </c>
      <c r="M456" s="45">
        <f t="shared" si="74"/>
        <v>10735.7</v>
      </c>
      <c r="N456" s="45">
        <f t="shared" si="74"/>
        <v>266.2</v>
      </c>
      <c r="O456" s="45">
        <f t="shared" si="74"/>
        <v>11001.900000000001</v>
      </c>
    </row>
    <row r="457" spans="1:15" ht="36.6" customHeight="1" x14ac:dyDescent="0.2">
      <c r="A457" s="40"/>
      <c r="B457" s="41" t="s">
        <v>95</v>
      </c>
      <c r="C457" s="42" t="s">
        <v>477</v>
      </c>
      <c r="D457" s="43" t="s">
        <v>511</v>
      </c>
      <c r="E457" s="43" t="s">
        <v>499</v>
      </c>
      <c r="F457" s="44" t="s">
        <v>96</v>
      </c>
      <c r="G457" s="45">
        <f>10735700/1000</f>
        <v>10735.7</v>
      </c>
      <c r="H457" s="38"/>
      <c r="I457" s="45">
        <f>10735700/1000+H457</f>
        <v>10735.7</v>
      </c>
      <c r="J457" s="47">
        <v>0</v>
      </c>
      <c r="K457" s="38">
        <v>266.2</v>
      </c>
      <c r="L457" s="47">
        <f>SUM(K457)</f>
        <v>266.2</v>
      </c>
      <c r="M457" s="45">
        <f>10735700/1000</f>
        <v>10735.7</v>
      </c>
      <c r="N457" s="45">
        <f>SUM(K457)</f>
        <v>266.2</v>
      </c>
      <c r="O457" s="45">
        <f>10735700/1000+N457</f>
        <v>11001.900000000001</v>
      </c>
    </row>
    <row r="458" spans="1:15" ht="36.6" customHeight="1" x14ac:dyDescent="0.2">
      <c r="A458" s="40"/>
      <c r="B458" s="41" t="s">
        <v>283</v>
      </c>
      <c r="C458" s="42">
        <v>993</v>
      </c>
      <c r="D458" s="43" t="s">
        <v>511</v>
      </c>
      <c r="E458" s="43" t="s">
        <v>502</v>
      </c>
      <c r="F458" s="44"/>
      <c r="G458" s="45">
        <f>SUM(G459)</f>
        <v>600</v>
      </c>
      <c r="H458" s="38"/>
      <c r="I458" s="45">
        <f>SUM(G458)</f>
        <v>600</v>
      </c>
      <c r="J458" s="47"/>
      <c r="K458" s="38"/>
      <c r="L458" s="47"/>
      <c r="M458" s="45">
        <f t="shared" ref="M458:O459" si="75">SUM(G458)</f>
        <v>600</v>
      </c>
      <c r="N458" s="45">
        <f t="shared" si="75"/>
        <v>0</v>
      </c>
      <c r="O458" s="45">
        <f t="shared" si="75"/>
        <v>600</v>
      </c>
    </row>
    <row r="459" spans="1:15" ht="36.6" customHeight="1" x14ac:dyDescent="0.2">
      <c r="A459" s="40"/>
      <c r="B459" s="41" t="s">
        <v>95</v>
      </c>
      <c r="C459" s="42">
        <v>993</v>
      </c>
      <c r="D459" s="43" t="s">
        <v>511</v>
      </c>
      <c r="E459" s="43" t="s">
        <v>502</v>
      </c>
      <c r="F459" s="44">
        <v>600</v>
      </c>
      <c r="G459" s="45">
        <v>600</v>
      </c>
      <c r="H459" s="38"/>
      <c r="I459" s="45">
        <f>SUM(G459)</f>
        <v>600</v>
      </c>
      <c r="J459" s="47"/>
      <c r="K459" s="38"/>
      <c r="L459" s="47"/>
      <c r="M459" s="45">
        <f t="shared" si="75"/>
        <v>600</v>
      </c>
      <c r="N459" s="45">
        <f t="shared" si="75"/>
        <v>0</v>
      </c>
      <c r="O459" s="45">
        <f t="shared" si="75"/>
        <v>600</v>
      </c>
    </row>
    <row r="460" spans="1:15" ht="31.5" x14ac:dyDescent="0.2">
      <c r="A460" s="33" t="s">
        <v>512</v>
      </c>
      <c r="B460" s="34" t="s">
        <v>513</v>
      </c>
      <c r="C460" s="35" t="s">
        <v>477</v>
      </c>
      <c r="D460" s="36" t="s">
        <v>514</v>
      </c>
      <c r="E460" s="36" t="s">
        <v>11</v>
      </c>
      <c r="F460" s="37" t="s">
        <v>11</v>
      </c>
      <c r="G460" s="38">
        <f>G461</f>
        <v>16307.699999999999</v>
      </c>
      <c r="H460" s="45">
        <f>H461+H471</f>
        <v>1230</v>
      </c>
      <c r="I460" s="38">
        <f>I461</f>
        <v>17537.699999999997</v>
      </c>
      <c r="J460" s="39">
        <f>J461</f>
        <v>0</v>
      </c>
      <c r="K460" s="45">
        <f>K461+K471</f>
        <v>407.6</v>
      </c>
      <c r="L460" s="39">
        <f>L461</f>
        <v>407.6</v>
      </c>
      <c r="M460" s="38">
        <f>M461</f>
        <v>16307.699999999999</v>
      </c>
      <c r="N460" s="38">
        <f>N461</f>
        <v>1637.6000000000001</v>
      </c>
      <c r="O460" s="38">
        <f>O461</f>
        <v>17945.3</v>
      </c>
    </row>
    <row r="461" spans="1:15" ht="31.5" x14ac:dyDescent="0.2">
      <c r="A461" s="40"/>
      <c r="B461" s="41" t="s">
        <v>484</v>
      </c>
      <c r="C461" s="42" t="s">
        <v>477</v>
      </c>
      <c r="D461" s="43" t="s">
        <v>514</v>
      </c>
      <c r="E461" s="43" t="s">
        <v>485</v>
      </c>
      <c r="F461" s="44" t="s">
        <v>11</v>
      </c>
      <c r="G461" s="45">
        <f>G462+G472</f>
        <v>16307.699999999999</v>
      </c>
      <c r="H461" s="45">
        <f>H462+H466+H472</f>
        <v>1230</v>
      </c>
      <c r="I461" s="45">
        <f>I462+I472</f>
        <v>17537.699999999997</v>
      </c>
      <c r="J461" s="46">
        <f>J462+J472</f>
        <v>0</v>
      </c>
      <c r="K461" s="45">
        <f>K462+K466</f>
        <v>407.6</v>
      </c>
      <c r="L461" s="46">
        <f>L462+L472</f>
        <v>407.6</v>
      </c>
      <c r="M461" s="45">
        <f>M462+M472</f>
        <v>16307.699999999999</v>
      </c>
      <c r="N461" s="45">
        <f>N462+N472</f>
        <v>1637.6000000000001</v>
      </c>
      <c r="O461" s="45">
        <f>O462+O472</f>
        <v>17945.3</v>
      </c>
    </row>
    <row r="462" spans="1:15" ht="47.25" x14ac:dyDescent="0.2">
      <c r="A462" s="40"/>
      <c r="B462" s="41" t="s">
        <v>495</v>
      </c>
      <c r="C462" s="42" t="s">
        <v>477</v>
      </c>
      <c r="D462" s="43" t="s">
        <v>514</v>
      </c>
      <c r="E462" s="43" t="s">
        <v>496</v>
      </c>
      <c r="F462" s="44" t="s">
        <v>11</v>
      </c>
      <c r="G462" s="45">
        <f>G463+G467</f>
        <v>14441.8</v>
      </c>
      <c r="H462" s="45">
        <f>H463+H467</f>
        <v>1005.3</v>
      </c>
      <c r="I462" s="45">
        <f>I463+I467</f>
        <v>15447.099999999999</v>
      </c>
      <c r="J462" s="46">
        <f>J463+J467</f>
        <v>0</v>
      </c>
      <c r="K462" s="45">
        <f>K463</f>
        <v>407.6</v>
      </c>
      <c r="L462" s="46">
        <f>L463+L467</f>
        <v>407.6</v>
      </c>
      <c r="M462" s="45">
        <f>M463+M467</f>
        <v>14441.8</v>
      </c>
      <c r="N462" s="45">
        <f>N463+N467</f>
        <v>1412.9</v>
      </c>
      <c r="O462" s="45">
        <f>O463+O467</f>
        <v>15854.7</v>
      </c>
    </row>
    <row r="463" spans="1:15" ht="47.25" x14ac:dyDescent="0.2">
      <c r="A463" s="40"/>
      <c r="B463" s="41" t="s">
        <v>497</v>
      </c>
      <c r="C463" s="42" t="s">
        <v>477</v>
      </c>
      <c r="D463" s="43" t="s">
        <v>514</v>
      </c>
      <c r="E463" s="43" t="s">
        <v>498</v>
      </c>
      <c r="F463" s="44" t="s">
        <v>11</v>
      </c>
      <c r="G463" s="45">
        <f>G464</f>
        <v>4730.5999999999995</v>
      </c>
      <c r="H463" s="45">
        <f>H464+H465</f>
        <v>0</v>
      </c>
      <c r="I463" s="45">
        <f>I464</f>
        <v>4730.5999999999995</v>
      </c>
      <c r="J463" s="46">
        <f>J464</f>
        <v>0</v>
      </c>
      <c r="K463" s="45">
        <v>407.6</v>
      </c>
      <c r="L463" s="46">
        <f>L464</f>
        <v>407.6</v>
      </c>
      <c r="M463" s="45">
        <f>M464</f>
        <v>4730.5999999999995</v>
      </c>
      <c r="N463" s="45">
        <f>N464</f>
        <v>407.6</v>
      </c>
      <c r="O463" s="45">
        <f>O464</f>
        <v>5138.2</v>
      </c>
    </row>
    <row r="464" spans="1:15" ht="31.5" x14ac:dyDescent="0.2">
      <c r="A464" s="40"/>
      <c r="B464" s="41" t="s">
        <v>134</v>
      </c>
      <c r="C464" s="42" t="s">
        <v>477</v>
      </c>
      <c r="D464" s="43" t="s">
        <v>514</v>
      </c>
      <c r="E464" s="43" t="s">
        <v>499</v>
      </c>
      <c r="F464" s="44" t="s">
        <v>11</v>
      </c>
      <c r="G464" s="45">
        <f>G465+G466</f>
        <v>4730.5999999999995</v>
      </c>
      <c r="H464" s="45"/>
      <c r="I464" s="45">
        <f>I465+I466</f>
        <v>4730.5999999999995</v>
      </c>
      <c r="J464" s="46">
        <f>J465+J466</f>
        <v>0</v>
      </c>
      <c r="K464" s="45">
        <v>407.6</v>
      </c>
      <c r="L464" s="46">
        <f>L465+L466</f>
        <v>407.6</v>
      </c>
      <c r="M464" s="45">
        <f>M465+M466</f>
        <v>4730.5999999999995</v>
      </c>
      <c r="N464" s="45">
        <f>N465+N466</f>
        <v>407.6</v>
      </c>
      <c r="O464" s="45">
        <f>O465+O466</f>
        <v>5138.2</v>
      </c>
    </row>
    <row r="465" spans="1:16" ht="78.75" x14ac:dyDescent="0.2">
      <c r="A465" s="40"/>
      <c r="B465" s="41" t="s">
        <v>61</v>
      </c>
      <c r="C465" s="42" t="s">
        <v>477</v>
      </c>
      <c r="D465" s="43" t="s">
        <v>514</v>
      </c>
      <c r="E465" s="43" t="s">
        <v>499</v>
      </c>
      <c r="F465" s="44" t="s">
        <v>62</v>
      </c>
      <c r="G465" s="45">
        <f>3786600/1000+351.1</f>
        <v>4137.7</v>
      </c>
      <c r="H465" s="45"/>
      <c r="I465" s="45">
        <f>3786600/1000+351.1+H465</f>
        <v>4137.7</v>
      </c>
      <c r="J465" s="47"/>
      <c r="K465" s="45">
        <v>407.6</v>
      </c>
      <c r="L465" s="47">
        <f>SUM(K465)</f>
        <v>407.6</v>
      </c>
      <c r="M465" s="45">
        <f>3786600/1000+351.1</f>
        <v>4137.7</v>
      </c>
      <c r="N465" s="45">
        <f>SUM(K465)</f>
        <v>407.6</v>
      </c>
      <c r="O465" s="45">
        <f>3786600/1000+351.1+N465</f>
        <v>4545.3</v>
      </c>
    </row>
    <row r="466" spans="1:16" ht="31.5" x14ac:dyDescent="0.2">
      <c r="A466" s="40"/>
      <c r="B466" s="41" t="s">
        <v>40</v>
      </c>
      <c r="C466" s="42" t="s">
        <v>477</v>
      </c>
      <c r="D466" s="43" t="s">
        <v>514</v>
      </c>
      <c r="E466" s="43" t="s">
        <v>499</v>
      </c>
      <c r="F466" s="44" t="s">
        <v>41</v>
      </c>
      <c r="G466" s="45">
        <v>592.9</v>
      </c>
      <c r="H466" s="45"/>
      <c r="I466" s="45">
        <f>SUM(G466+H466)</f>
        <v>592.9</v>
      </c>
      <c r="J466" s="47"/>
      <c r="K466" s="45"/>
      <c r="L466" s="47"/>
      <c r="M466" s="45">
        <f>SUM(G466)</f>
        <v>592.9</v>
      </c>
      <c r="N466" s="45">
        <f>SUM(H466)</f>
        <v>0</v>
      </c>
      <c r="O466" s="45">
        <f>SUM(M466+N466)</f>
        <v>592.9</v>
      </c>
    </row>
    <row r="467" spans="1:16" ht="47.25" x14ac:dyDescent="0.2">
      <c r="A467" s="40"/>
      <c r="B467" s="41" t="s">
        <v>515</v>
      </c>
      <c r="C467" s="42" t="s">
        <v>477</v>
      </c>
      <c r="D467" s="43" t="s">
        <v>514</v>
      </c>
      <c r="E467" s="43" t="s">
        <v>516</v>
      </c>
      <c r="F467" s="44" t="s">
        <v>11</v>
      </c>
      <c r="G467" s="45">
        <f>G468</f>
        <v>9711.2000000000007</v>
      </c>
      <c r="H467" s="45">
        <f>H468</f>
        <v>1005.3</v>
      </c>
      <c r="I467" s="45">
        <f>I468</f>
        <v>10716.5</v>
      </c>
      <c r="J467" s="46">
        <f>J468</f>
        <v>0</v>
      </c>
      <c r="K467" s="45">
        <f>K468+K469+K470</f>
        <v>0</v>
      </c>
      <c r="L467" s="46">
        <f>L468</f>
        <v>0</v>
      </c>
      <c r="M467" s="45">
        <f>M468</f>
        <v>9711.2000000000007</v>
      </c>
      <c r="N467" s="45">
        <f>N468</f>
        <v>1005.3</v>
      </c>
      <c r="O467" s="45">
        <f>O468</f>
        <v>10716.5</v>
      </c>
    </row>
    <row r="468" spans="1:16" ht="31.5" x14ac:dyDescent="0.2">
      <c r="A468" s="40"/>
      <c r="B468" s="41" t="s">
        <v>134</v>
      </c>
      <c r="C468" s="42" t="s">
        <v>477</v>
      </c>
      <c r="D468" s="43" t="s">
        <v>514</v>
      </c>
      <c r="E468" s="43" t="s">
        <v>517</v>
      </c>
      <c r="F468" s="44" t="s">
        <v>11</v>
      </c>
      <c r="G468" s="45">
        <f>G469+G470+G471</f>
        <v>9711.2000000000007</v>
      </c>
      <c r="H468" s="45">
        <f>SUM(H469+H470)</f>
        <v>1005.3</v>
      </c>
      <c r="I468" s="45">
        <f>I469+I470+I471</f>
        <v>10716.5</v>
      </c>
      <c r="J468" s="46">
        <f>J469+J470+J471</f>
        <v>0</v>
      </c>
      <c r="K468" s="45"/>
      <c r="L468" s="46">
        <f>L469+L470+L471</f>
        <v>0</v>
      </c>
      <c r="M468" s="45">
        <f>M469+M470+M471</f>
        <v>9711.2000000000007</v>
      </c>
      <c r="N468" s="45">
        <f>N469+N470+N471</f>
        <v>1005.3</v>
      </c>
      <c r="O468" s="45">
        <f>O469+O470+O471</f>
        <v>10716.5</v>
      </c>
    </row>
    <row r="469" spans="1:16" ht="78.75" x14ac:dyDescent="0.2">
      <c r="A469" s="40"/>
      <c r="B469" s="41" t="s">
        <v>61</v>
      </c>
      <c r="C469" s="42" t="s">
        <v>477</v>
      </c>
      <c r="D469" s="43" t="s">
        <v>514</v>
      </c>
      <c r="E469" s="43" t="s">
        <v>517</v>
      </c>
      <c r="F469" s="44" t="s">
        <v>62</v>
      </c>
      <c r="G469" s="45">
        <v>8283.2000000000007</v>
      </c>
      <c r="H469" s="45">
        <v>1005.3</v>
      </c>
      <c r="I469" s="45">
        <f>SUM(G469)+H469</f>
        <v>9288.5</v>
      </c>
      <c r="J469" s="47">
        <v>0</v>
      </c>
      <c r="K469" s="45"/>
      <c r="L469" s="47">
        <v>0</v>
      </c>
      <c r="M469" s="45">
        <f t="shared" ref="M469:O470" si="76">SUM(G469)</f>
        <v>8283.2000000000007</v>
      </c>
      <c r="N469" s="45">
        <f t="shared" si="76"/>
        <v>1005.3</v>
      </c>
      <c r="O469" s="45">
        <f t="shared" si="76"/>
        <v>9288.5</v>
      </c>
    </row>
    <row r="470" spans="1:16" ht="31.5" x14ac:dyDescent="0.2">
      <c r="A470" s="40"/>
      <c r="B470" s="41" t="s">
        <v>40</v>
      </c>
      <c r="C470" s="42" t="s">
        <v>477</v>
      </c>
      <c r="D470" s="43" t="s">
        <v>514</v>
      </c>
      <c r="E470" s="43" t="s">
        <v>517</v>
      </c>
      <c r="F470" s="44" t="s">
        <v>41</v>
      </c>
      <c r="G470" s="45">
        <v>1426.9</v>
      </c>
      <c r="H470" s="45"/>
      <c r="I470" s="45">
        <f>SUM(G470)</f>
        <v>1426.9</v>
      </c>
      <c r="J470" s="47">
        <v>0</v>
      </c>
      <c r="K470" s="45"/>
      <c r="L470" s="47">
        <v>0</v>
      </c>
      <c r="M470" s="45">
        <f t="shared" si="76"/>
        <v>1426.9</v>
      </c>
      <c r="N470" s="45">
        <f t="shared" si="76"/>
        <v>0</v>
      </c>
      <c r="O470" s="45">
        <f t="shared" si="76"/>
        <v>1426.9</v>
      </c>
    </row>
    <row r="471" spans="1:16" ht="15.75" x14ac:dyDescent="0.2">
      <c r="A471" s="40"/>
      <c r="B471" s="41" t="s">
        <v>70</v>
      </c>
      <c r="C471" s="42" t="s">
        <v>477</v>
      </c>
      <c r="D471" s="43" t="s">
        <v>514</v>
      </c>
      <c r="E471" s="43" t="s">
        <v>517</v>
      </c>
      <c r="F471" s="44" t="s">
        <v>71</v>
      </c>
      <c r="G471" s="45">
        <f>1100/1000</f>
        <v>1.1000000000000001</v>
      </c>
      <c r="H471" s="45"/>
      <c r="I471" s="45">
        <f>1100/1000</f>
        <v>1.1000000000000001</v>
      </c>
      <c r="J471" s="47">
        <v>0</v>
      </c>
      <c r="K471" s="45"/>
      <c r="L471" s="47">
        <v>0</v>
      </c>
      <c r="M471" s="45">
        <f>1100/1000</f>
        <v>1.1000000000000001</v>
      </c>
      <c r="N471" s="45"/>
      <c r="O471" s="45">
        <f>1100/1000</f>
        <v>1.1000000000000001</v>
      </c>
    </row>
    <row r="472" spans="1:16" ht="31.5" x14ac:dyDescent="0.2">
      <c r="A472" s="40"/>
      <c r="B472" s="41" t="s">
        <v>518</v>
      </c>
      <c r="C472" s="42" t="s">
        <v>477</v>
      </c>
      <c r="D472" s="43" t="s">
        <v>514</v>
      </c>
      <c r="E472" s="43" t="s">
        <v>519</v>
      </c>
      <c r="F472" s="44" t="s">
        <v>11</v>
      </c>
      <c r="G472" s="45">
        <f t="shared" ref="G472:O473" si="77">G473</f>
        <v>1865.9</v>
      </c>
      <c r="H472" s="45">
        <f t="shared" si="77"/>
        <v>224.7</v>
      </c>
      <c r="I472" s="45">
        <f t="shared" si="77"/>
        <v>2090.6</v>
      </c>
      <c r="J472" s="46">
        <f t="shared" si="77"/>
        <v>0</v>
      </c>
      <c r="K472" s="45">
        <f t="shared" si="77"/>
        <v>0</v>
      </c>
      <c r="L472" s="46">
        <f t="shared" si="77"/>
        <v>0</v>
      </c>
      <c r="M472" s="45">
        <f t="shared" si="77"/>
        <v>1865.9</v>
      </c>
      <c r="N472" s="45">
        <f t="shared" si="77"/>
        <v>224.7</v>
      </c>
      <c r="O472" s="45">
        <f t="shared" si="77"/>
        <v>2090.6</v>
      </c>
    </row>
    <row r="473" spans="1:16" ht="31.5" x14ac:dyDescent="0.2">
      <c r="A473" s="40"/>
      <c r="B473" s="41" t="s">
        <v>520</v>
      </c>
      <c r="C473" s="42" t="s">
        <v>477</v>
      </c>
      <c r="D473" s="43" t="s">
        <v>514</v>
      </c>
      <c r="E473" s="43" t="s">
        <v>521</v>
      </c>
      <c r="F473" s="44" t="s">
        <v>11</v>
      </c>
      <c r="G473" s="45">
        <f t="shared" si="77"/>
        <v>1865.9</v>
      </c>
      <c r="H473" s="45">
        <f>H474</f>
        <v>224.7</v>
      </c>
      <c r="I473" s="45">
        <f t="shared" si="77"/>
        <v>2090.6</v>
      </c>
      <c r="J473" s="46">
        <f t="shared" si="77"/>
        <v>0</v>
      </c>
      <c r="K473" s="45">
        <f>K474+K475</f>
        <v>0</v>
      </c>
      <c r="L473" s="46">
        <f t="shared" si="77"/>
        <v>0</v>
      </c>
      <c r="M473" s="45">
        <f t="shared" si="77"/>
        <v>1865.9</v>
      </c>
      <c r="N473" s="45">
        <f>SUM(H473)</f>
        <v>224.7</v>
      </c>
      <c r="O473" s="45">
        <f t="shared" si="77"/>
        <v>2090.6</v>
      </c>
    </row>
    <row r="474" spans="1:16" ht="31.5" x14ac:dyDescent="0.2">
      <c r="A474" s="40"/>
      <c r="B474" s="41" t="s">
        <v>38</v>
      </c>
      <c r="C474" s="42" t="s">
        <v>477</v>
      </c>
      <c r="D474" s="43" t="s">
        <v>514</v>
      </c>
      <c r="E474" s="43" t="s">
        <v>522</v>
      </c>
      <c r="F474" s="44" t="s">
        <v>11</v>
      </c>
      <c r="G474" s="45">
        <f>G475+G476</f>
        <v>1865.9</v>
      </c>
      <c r="H474" s="45">
        <v>224.7</v>
      </c>
      <c r="I474" s="45">
        <f>I475+I476+I477</f>
        <v>2090.6</v>
      </c>
      <c r="J474" s="46">
        <f>J475+J476</f>
        <v>0</v>
      </c>
      <c r="K474" s="45"/>
      <c r="L474" s="46">
        <f>L475+L476</f>
        <v>0</v>
      </c>
      <c r="M474" s="45">
        <f>M475+M476</f>
        <v>1865.9</v>
      </c>
      <c r="N474" s="45"/>
      <c r="O474" s="45">
        <f>O475+O476+O477</f>
        <v>2090.6</v>
      </c>
    </row>
    <row r="475" spans="1:16" ht="78.75" x14ac:dyDescent="0.2">
      <c r="A475" s="40"/>
      <c r="B475" s="41" t="s">
        <v>61</v>
      </c>
      <c r="C475" s="42" t="s">
        <v>477</v>
      </c>
      <c r="D475" s="43" t="s">
        <v>514</v>
      </c>
      <c r="E475" s="43" t="s">
        <v>522</v>
      </c>
      <c r="F475" s="44" t="s">
        <v>62</v>
      </c>
      <c r="G475" s="45">
        <f>1855900/1000</f>
        <v>1855.9</v>
      </c>
      <c r="H475" s="45">
        <v>224.7</v>
      </c>
      <c r="I475" s="45">
        <f>1855900/1000+H475</f>
        <v>2080.6</v>
      </c>
      <c r="J475" s="47">
        <v>0</v>
      </c>
      <c r="K475" s="45"/>
      <c r="L475" s="47">
        <v>0</v>
      </c>
      <c r="M475" s="45">
        <f>1855900/1000</f>
        <v>1855.9</v>
      </c>
      <c r="N475" s="45">
        <f>SUM(H475)</f>
        <v>224.7</v>
      </c>
      <c r="O475" s="45">
        <f>1855900/1000+N475</f>
        <v>2080.6</v>
      </c>
    </row>
    <row r="476" spans="1:16" ht="31.5" x14ac:dyDescent="0.2">
      <c r="A476" s="40"/>
      <c r="B476" s="41" t="s">
        <v>40</v>
      </c>
      <c r="C476" s="42" t="s">
        <v>477</v>
      </c>
      <c r="D476" s="43" t="s">
        <v>514</v>
      </c>
      <c r="E476" s="43" t="s">
        <v>522</v>
      </c>
      <c r="F476" s="44" t="s">
        <v>41</v>
      </c>
      <c r="G476" s="45">
        <f>10000/1000</f>
        <v>10</v>
      </c>
      <c r="H476" s="25">
        <v>-0.5</v>
      </c>
      <c r="I476" s="45">
        <f>10000/1000+H476</f>
        <v>9.5</v>
      </c>
      <c r="J476" s="47">
        <v>0</v>
      </c>
      <c r="K476" s="25"/>
      <c r="L476" s="47">
        <v>0</v>
      </c>
      <c r="M476" s="45">
        <f>10000/1000</f>
        <v>10</v>
      </c>
      <c r="N476" s="45">
        <f>SUM(H476)</f>
        <v>-0.5</v>
      </c>
      <c r="O476" s="45">
        <f>10000/1000+N476</f>
        <v>9.5</v>
      </c>
    </row>
    <row r="477" spans="1:16" ht="15.75" x14ac:dyDescent="0.2">
      <c r="A477" s="40"/>
      <c r="B477" s="41" t="s">
        <v>70</v>
      </c>
      <c r="C477" s="42" t="s">
        <v>477</v>
      </c>
      <c r="D477" s="43" t="s">
        <v>514</v>
      </c>
      <c r="E477" s="43" t="s">
        <v>522</v>
      </c>
      <c r="F477" s="44">
        <v>800</v>
      </c>
      <c r="G477" s="45"/>
      <c r="H477" s="25">
        <v>0.5</v>
      </c>
      <c r="I477" s="45">
        <f>SUM(H477)</f>
        <v>0.5</v>
      </c>
      <c r="J477" s="47"/>
      <c r="K477" s="25"/>
      <c r="L477" s="47"/>
      <c r="M477" s="45"/>
      <c r="N477" s="45">
        <f>SUM(H477)</f>
        <v>0.5</v>
      </c>
      <c r="O477" s="45">
        <f>SUM(N477)</f>
        <v>0.5</v>
      </c>
    </row>
    <row r="478" spans="1:16" ht="47.25" x14ac:dyDescent="0.2">
      <c r="A478" s="20" t="s">
        <v>523</v>
      </c>
      <c r="B478" s="21" t="s">
        <v>524</v>
      </c>
      <c r="C478" s="22" t="s">
        <v>525</v>
      </c>
      <c r="D478" s="23" t="s">
        <v>11</v>
      </c>
      <c r="E478" s="23" t="s">
        <v>11</v>
      </c>
      <c r="F478" s="24" t="s">
        <v>11</v>
      </c>
      <c r="G478" s="25">
        <f>G479+G491</f>
        <v>14762.900000000001</v>
      </c>
      <c r="H478" s="25">
        <f>H479+H491</f>
        <v>1725.2000000000003</v>
      </c>
      <c r="I478" s="25">
        <f>I479+I491</f>
        <v>16488.099999999999</v>
      </c>
      <c r="J478" s="26">
        <f>J479+J491</f>
        <v>0</v>
      </c>
      <c r="K478" s="25">
        <f>K479</f>
        <v>0</v>
      </c>
      <c r="L478" s="26">
        <f>L479+L491</f>
        <v>0</v>
      </c>
      <c r="M478" s="25">
        <f>M479+M491</f>
        <v>14762.900000000001</v>
      </c>
      <c r="N478" s="25">
        <f>N479+N491</f>
        <v>1725.2000000000003</v>
      </c>
      <c r="O478" s="25">
        <f>O479+O491</f>
        <v>16488.099999999999</v>
      </c>
      <c r="P478" s="19"/>
    </row>
    <row r="479" spans="1:16" ht="15.75" x14ac:dyDescent="0.2">
      <c r="A479" s="20" t="s">
        <v>526</v>
      </c>
      <c r="B479" s="21" t="s">
        <v>30</v>
      </c>
      <c r="C479" s="22" t="s">
        <v>525</v>
      </c>
      <c r="D479" s="23" t="s">
        <v>31</v>
      </c>
      <c r="E479" s="23" t="s">
        <v>11</v>
      </c>
      <c r="F479" s="24" t="s">
        <v>11</v>
      </c>
      <c r="G479" s="25">
        <f t="shared" ref="G479:I481" si="78">G480</f>
        <v>4418.8</v>
      </c>
      <c r="H479" s="38">
        <f t="shared" si="78"/>
        <v>432.80000000000007</v>
      </c>
      <c r="I479" s="25">
        <f t="shared" si="78"/>
        <v>4851.6000000000004</v>
      </c>
      <c r="J479" s="26">
        <f t="shared" ref="J479:O481" si="79">J480</f>
        <v>0</v>
      </c>
      <c r="K479" s="38">
        <f>K480</f>
        <v>0</v>
      </c>
      <c r="L479" s="26">
        <f t="shared" si="79"/>
        <v>0</v>
      </c>
      <c r="M479" s="25">
        <f t="shared" si="79"/>
        <v>4418.8</v>
      </c>
      <c r="N479" s="25">
        <f t="shared" si="79"/>
        <v>432.80000000000007</v>
      </c>
      <c r="O479" s="25">
        <f t="shared" si="79"/>
        <v>4851.6000000000004</v>
      </c>
    </row>
    <row r="480" spans="1:16" ht="15.75" x14ac:dyDescent="0.2">
      <c r="A480" s="33" t="s">
        <v>527</v>
      </c>
      <c r="B480" s="34" t="s">
        <v>85</v>
      </c>
      <c r="C480" s="35" t="s">
        <v>525</v>
      </c>
      <c r="D480" s="36" t="s">
        <v>86</v>
      </c>
      <c r="E480" s="36" t="s">
        <v>11</v>
      </c>
      <c r="F480" s="37" t="s">
        <v>11</v>
      </c>
      <c r="G480" s="38">
        <f t="shared" si="78"/>
        <v>4418.8</v>
      </c>
      <c r="H480" s="45">
        <f t="shared" si="78"/>
        <v>432.80000000000007</v>
      </c>
      <c r="I480" s="38">
        <f t="shared" si="78"/>
        <v>4851.6000000000004</v>
      </c>
      <c r="J480" s="39">
        <f t="shared" si="79"/>
        <v>0</v>
      </c>
      <c r="K480" s="45">
        <f>K481</f>
        <v>0</v>
      </c>
      <c r="L480" s="39">
        <f t="shared" si="79"/>
        <v>0</v>
      </c>
      <c r="M480" s="38">
        <f t="shared" si="79"/>
        <v>4418.8</v>
      </c>
      <c r="N480" s="38">
        <f t="shared" si="79"/>
        <v>432.80000000000007</v>
      </c>
      <c r="O480" s="38">
        <f t="shared" si="79"/>
        <v>4851.6000000000004</v>
      </c>
    </row>
    <row r="481" spans="1:15" ht="31.5" x14ac:dyDescent="0.2">
      <c r="A481" s="40"/>
      <c r="B481" s="41" t="s">
        <v>128</v>
      </c>
      <c r="C481" s="42" t="s">
        <v>525</v>
      </c>
      <c r="D481" s="43" t="s">
        <v>86</v>
      </c>
      <c r="E481" s="43" t="s">
        <v>129</v>
      </c>
      <c r="F481" s="44" t="s">
        <v>11</v>
      </c>
      <c r="G481" s="45">
        <f t="shared" si="78"/>
        <v>4418.8</v>
      </c>
      <c r="H481" s="45">
        <f t="shared" si="78"/>
        <v>432.80000000000007</v>
      </c>
      <c r="I481" s="45">
        <f t="shared" si="78"/>
        <v>4851.6000000000004</v>
      </c>
      <c r="J481" s="46">
        <f t="shared" si="79"/>
        <v>0</v>
      </c>
      <c r="K481" s="45">
        <f>K482+K486</f>
        <v>0</v>
      </c>
      <c r="L481" s="46">
        <f t="shared" si="79"/>
        <v>0</v>
      </c>
      <c r="M481" s="45">
        <f t="shared" si="79"/>
        <v>4418.8</v>
      </c>
      <c r="N481" s="45">
        <f t="shared" si="79"/>
        <v>432.80000000000007</v>
      </c>
      <c r="O481" s="45">
        <f t="shared" si="79"/>
        <v>4851.6000000000004</v>
      </c>
    </row>
    <row r="482" spans="1:15" ht="31.5" x14ac:dyDescent="0.2">
      <c r="A482" s="40"/>
      <c r="B482" s="41" t="s">
        <v>528</v>
      </c>
      <c r="C482" s="42" t="s">
        <v>525</v>
      </c>
      <c r="D482" s="43" t="s">
        <v>86</v>
      </c>
      <c r="E482" s="43" t="s">
        <v>529</v>
      </c>
      <c r="F482" s="44" t="s">
        <v>11</v>
      </c>
      <c r="G482" s="45">
        <f>G483+G487</f>
        <v>4418.8</v>
      </c>
      <c r="H482" s="45">
        <f>H483+H487</f>
        <v>432.80000000000007</v>
      </c>
      <c r="I482" s="45">
        <f>I483+I487</f>
        <v>4851.6000000000004</v>
      </c>
      <c r="J482" s="46">
        <f>J483+J487</f>
        <v>0</v>
      </c>
      <c r="K482" s="45">
        <f>K483</f>
        <v>0</v>
      </c>
      <c r="L482" s="46">
        <f>L483+L487</f>
        <v>0</v>
      </c>
      <c r="M482" s="45">
        <f>M483+M487</f>
        <v>4418.8</v>
      </c>
      <c r="N482" s="45">
        <f>N483+N487</f>
        <v>432.80000000000007</v>
      </c>
      <c r="O482" s="45">
        <f>O483+O487</f>
        <v>4851.6000000000004</v>
      </c>
    </row>
    <row r="483" spans="1:15" ht="47.25" x14ac:dyDescent="0.2">
      <c r="A483" s="40"/>
      <c r="B483" s="41" t="s">
        <v>530</v>
      </c>
      <c r="C483" s="42" t="s">
        <v>525</v>
      </c>
      <c r="D483" s="43" t="s">
        <v>86</v>
      </c>
      <c r="E483" s="43" t="s">
        <v>531</v>
      </c>
      <c r="F483" s="44" t="s">
        <v>11</v>
      </c>
      <c r="G483" s="45">
        <f>G484</f>
        <v>3503.8</v>
      </c>
      <c r="H483" s="45">
        <f>H484</f>
        <v>280.40000000000003</v>
      </c>
      <c r="I483" s="45">
        <f>I484</f>
        <v>3784.2000000000003</v>
      </c>
      <c r="J483" s="46">
        <f>J484</f>
        <v>0</v>
      </c>
      <c r="K483" s="45"/>
      <c r="L483" s="46">
        <f>L484</f>
        <v>0</v>
      </c>
      <c r="M483" s="45">
        <f>M484</f>
        <v>3503.8</v>
      </c>
      <c r="N483" s="45">
        <f>N484</f>
        <v>280.40000000000003</v>
      </c>
      <c r="O483" s="45">
        <f>O484</f>
        <v>3784.2000000000003</v>
      </c>
    </row>
    <row r="484" spans="1:15" ht="31.5" x14ac:dyDescent="0.2">
      <c r="A484" s="40"/>
      <c r="B484" s="41" t="s">
        <v>38</v>
      </c>
      <c r="C484" s="42" t="s">
        <v>525</v>
      </c>
      <c r="D484" s="43" t="s">
        <v>86</v>
      </c>
      <c r="E484" s="43" t="s">
        <v>532</v>
      </c>
      <c r="F484" s="44" t="s">
        <v>11</v>
      </c>
      <c r="G484" s="45">
        <f>G485+G486</f>
        <v>3503.8</v>
      </c>
      <c r="H484" s="45">
        <f>SUM(H485)+H486</f>
        <v>280.40000000000003</v>
      </c>
      <c r="I484" s="45">
        <f>I485+I486</f>
        <v>3784.2000000000003</v>
      </c>
      <c r="J484" s="46">
        <f>J485+J486</f>
        <v>0</v>
      </c>
      <c r="K484" s="45"/>
      <c r="L484" s="46">
        <f>L485+L486</f>
        <v>0</v>
      </c>
      <c r="M484" s="45">
        <f>M485+M486</f>
        <v>3503.8</v>
      </c>
      <c r="N484" s="45">
        <f>N485+N486</f>
        <v>280.40000000000003</v>
      </c>
      <c r="O484" s="45">
        <f>O485+O486</f>
        <v>3784.2000000000003</v>
      </c>
    </row>
    <row r="485" spans="1:15" ht="78.75" x14ac:dyDescent="0.2">
      <c r="A485" s="40"/>
      <c r="B485" s="41" t="s">
        <v>61</v>
      </c>
      <c r="C485" s="42" t="s">
        <v>525</v>
      </c>
      <c r="D485" s="43" t="s">
        <v>86</v>
      </c>
      <c r="E485" s="43" t="s">
        <v>532</v>
      </c>
      <c r="F485" s="44" t="s">
        <v>62</v>
      </c>
      <c r="G485" s="45">
        <v>3493.8</v>
      </c>
      <c r="H485" s="45">
        <v>272.8</v>
      </c>
      <c r="I485" s="45">
        <f>SUM(G485)+H485</f>
        <v>3766.6000000000004</v>
      </c>
      <c r="J485" s="47">
        <v>0</v>
      </c>
      <c r="K485" s="45"/>
      <c r="L485" s="47">
        <v>0</v>
      </c>
      <c r="M485" s="45">
        <f>SUM(G485)</f>
        <v>3493.8</v>
      </c>
      <c r="N485" s="45">
        <f>SUM(H485)</f>
        <v>272.8</v>
      </c>
      <c r="O485" s="45">
        <f>SUM(I485)</f>
        <v>3766.6000000000004</v>
      </c>
    </row>
    <row r="486" spans="1:15" ht="31.5" x14ac:dyDescent="0.2">
      <c r="A486" s="40"/>
      <c r="B486" s="41" t="s">
        <v>40</v>
      </c>
      <c r="C486" s="42" t="s">
        <v>525</v>
      </c>
      <c r="D486" s="43" t="s">
        <v>86</v>
      </c>
      <c r="E486" s="43" t="s">
        <v>532</v>
      </c>
      <c r="F486" s="44" t="s">
        <v>41</v>
      </c>
      <c r="G486" s="45">
        <v>10</v>
      </c>
      <c r="H486" s="45">
        <v>7.6</v>
      </c>
      <c r="I486" s="45">
        <f>10+H486</f>
        <v>17.600000000000001</v>
      </c>
      <c r="J486" s="47">
        <v>0</v>
      </c>
      <c r="K486" s="45">
        <f>K487</f>
        <v>0</v>
      </c>
      <c r="L486" s="47">
        <v>0</v>
      </c>
      <c r="M486" s="45">
        <v>10</v>
      </c>
      <c r="N486" s="45">
        <f>SUM(H486)</f>
        <v>7.6</v>
      </c>
      <c r="O486" s="45">
        <f>10+N486</f>
        <v>17.600000000000001</v>
      </c>
    </row>
    <row r="487" spans="1:15" ht="47.25" x14ac:dyDescent="0.2">
      <c r="A487" s="40"/>
      <c r="B487" s="41" t="s">
        <v>533</v>
      </c>
      <c r="C487" s="42" t="s">
        <v>525</v>
      </c>
      <c r="D487" s="43" t="s">
        <v>86</v>
      </c>
      <c r="E487" s="43" t="s">
        <v>534</v>
      </c>
      <c r="F487" s="44" t="s">
        <v>11</v>
      </c>
      <c r="G487" s="45">
        <f>G488</f>
        <v>915</v>
      </c>
      <c r="H487" s="45">
        <f>SUM(H488)</f>
        <v>152.4</v>
      </c>
      <c r="I487" s="45">
        <f>I488</f>
        <v>1067.4000000000001</v>
      </c>
      <c r="J487" s="46">
        <f>J488</f>
        <v>0</v>
      </c>
      <c r="K487" s="45">
        <f>K488+K489</f>
        <v>0</v>
      </c>
      <c r="L487" s="46">
        <f>L488</f>
        <v>0</v>
      </c>
      <c r="M487" s="45">
        <f>M488</f>
        <v>915</v>
      </c>
      <c r="N487" s="45">
        <f>N488</f>
        <v>152.4</v>
      </c>
      <c r="O487" s="45">
        <f>O488</f>
        <v>1067.4000000000001</v>
      </c>
    </row>
    <row r="488" spans="1:15" ht="47.25" x14ac:dyDescent="0.2">
      <c r="A488" s="40"/>
      <c r="B488" s="41" t="s">
        <v>535</v>
      </c>
      <c r="C488" s="42" t="s">
        <v>525</v>
      </c>
      <c r="D488" s="43" t="s">
        <v>86</v>
      </c>
      <c r="E488" s="43" t="s">
        <v>536</v>
      </c>
      <c r="F488" s="44" t="s">
        <v>11</v>
      </c>
      <c r="G488" s="45">
        <f>G489+G490</f>
        <v>915</v>
      </c>
      <c r="H488" s="45">
        <f>H489+H490</f>
        <v>152.4</v>
      </c>
      <c r="I488" s="45">
        <f>I489+I490</f>
        <v>1067.4000000000001</v>
      </c>
      <c r="J488" s="46">
        <f>J489+J490</f>
        <v>0</v>
      </c>
      <c r="K488" s="45"/>
      <c r="L488" s="46">
        <f>L489+L490</f>
        <v>0</v>
      </c>
      <c r="M488" s="45">
        <f>M489+M490</f>
        <v>915</v>
      </c>
      <c r="N488" s="45">
        <f>N489+N490</f>
        <v>152.4</v>
      </c>
      <c r="O488" s="45">
        <f>O489+O490</f>
        <v>1067.4000000000001</v>
      </c>
    </row>
    <row r="489" spans="1:15" ht="31.5" x14ac:dyDescent="0.2">
      <c r="A489" s="40"/>
      <c r="B489" s="41" t="s">
        <v>40</v>
      </c>
      <c r="C489" s="42" t="s">
        <v>525</v>
      </c>
      <c r="D489" s="43" t="s">
        <v>86</v>
      </c>
      <c r="E489" s="43" t="s">
        <v>536</v>
      </c>
      <c r="F489" s="44" t="s">
        <v>41</v>
      </c>
      <c r="G489" s="45">
        <f>900000/1000</f>
        <v>900</v>
      </c>
      <c r="H489" s="45">
        <f>160+7.4</f>
        <v>167.4</v>
      </c>
      <c r="I489" s="45">
        <f>900000/1000+H489</f>
        <v>1067.4000000000001</v>
      </c>
      <c r="J489" s="47">
        <v>0</v>
      </c>
      <c r="K489" s="45"/>
      <c r="L489" s="47">
        <v>0</v>
      </c>
      <c r="M489" s="45">
        <f>900000/1000</f>
        <v>900</v>
      </c>
      <c r="N489" s="45">
        <f>SUM(H489)</f>
        <v>167.4</v>
      </c>
      <c r="O489" s="45">
        <f>900000/1000+N489</f>
        <v>1067.4000000000001</v>
      </c>
    </row>
    <row r="490" spans="1:15" ht="15.75" x14ac:dyDescent="0.2">
      <c r="A490" s="40"/>
      <c r="B490" s="41" t="s">
        <v>70</v>
      </c>
      <c r="C490" s="42" t="s">
        <v>525</v>
      </c>
      <c r="D490" s="43" t="s">
        <v>86</v>
      </c>
      <c r="E490" s="43" t="s">
        <v>536</v>
      </c>
      <c r="F490" s="44" t="s">
        <v>71</v>
      </c>
      <c r="G490" s="45">
        <f>15000/1000</f>
        <v>15</v>
      </c>
      <c r="H490" s="25">
        <v>-15</v>
      </c>
      <c r="I490" s="45">
        <f>15000/1000+H490</f>
        <v>0</v>
      </c>
      <c r="J490" s="47">
        <v>0</v>
      </c>
      <c r="K490" s="25">
        <f t="shared" ref="G490:O496" si="80">K491</f>
        <v>0</v>
      </c>
      <c r="L490" s="47">
        <v>0</v>
      </c>
      <c r="M490" s="45">
        <f>15000/1000</f>
        <v>15</v>
      </c>
      <c r="N490" s="45">
        <f>SUM(H490)</f>
        <v>-15</v>
      </c>
      <c r="O490" s="45">
        <f>15000/1000+N490</f>
        <v>0</v>
      </c>
    </row>
    <row r="491" spans="1:15" ht="15.75" x14ac:dyDescent="0.2">
      <c r="A491" s="20" t="s">
        <v>537</v>
      </c>
      <c r="B491" s="21" t="s">
        <v>213</v>
      </c>
      <c r="C491" s="22" t="s">
        <v>525</v>
      </c>
      <c r="D491" s="23" t="s">
        <v>214</v>
      </c>
      <c r="E491" s="23" t="s">
        <v>11</v>
      </c>
      <c r="F491" s="24" t="s">
        <v>11</v>
      </c>
      <c r="G491" s="25">
        <f t="shared" si="80"/>
        <v>10344.1</v>
      </c>
      <c r="H491" s="38">
        <f t="shared" si="80"/>
        <v>1292.4000000000001</v>
      </c>
      <c r="I491" s="25">
        <f t="shared" si="80"/>
        <v>11636.5</v>
      </c>
      <c r="J491" s="26">
        <f t="shared" si="80"/>
        <v>0</v>
      </c>
      <c r="K491" s="38">
        <f t="shared" si="80"/>
        <v>0</v>
      </c>
      <c r="L491" s="26">
        <f t="shared" si="80"/>
        <v>0</v>
      </c>
      <c r="M491" s="25">
        <f t="shared" si="80"/>
        <v>10344.1</v>
      </c>
      <c r="N491" s="25">
        <f t="shared" si="80"/>
        <v>1292.4000000000001</v>
      </c>
      <c r="O491" s="25">
        <f t="shared" si="80"/>
        <v>11636.5</v>
      </c>
    </row>
    <row r="492" spans="1:15" ht="26.45" customHeight="1" x14ac:dyDescent="0.2">
      <c r="A492" s="33" t="s">
        <v>538</v>
      </c>
      <c r="B492" s="34" t="s">
        <v>261</v>
      </c>
      <c r="C492" s="35" t="s">
        <v>525</v>
      </c>
      <c r="D492" s="36" t="s">
        <v>262</v>
      </c>
      <c r="E492" s="36" t="s">
        <v>11</v>
      </c>
      <c r="F492" s="37" t="s">
        <v>11</v>
      </c>
      <c r="G492" s="38">
        <f t="shared" si="80"/>
        <v>10344.1</v>
      </c>
      <c r="H492" s="45">
        <f t="shared" si="80"/>
        <v>1292.4000000000001</v>
      </c>
      <c r="I492" s="38">
        <f t="shared" si="80"/>
        <v>11636.5</v>
      </c>
      <c r="J492" s="39">
        <f t="shared" si="80"/>
        <v>0</v>
      </c>
      <c r="K492" s="45">
        <f t="shared" si="80"/>
        <v>0</v>
      </c>
      <c r="L492" s="39">
        <f t="shared" si="80"/>
        <v>0</v>
      </c>
      <c r="M492" s="38">
        <f t="shared" si="80"/>
        <v>10344.1</v>
      </c>
      <c r="N492" s="38">
        <f t="shared" si="80"/>
        <v>1292.4000000000001</v>
      </c>
      <c r="O492" s="38">
        <f t="shared" si="80"/>
        <v>11636.5</v>
      </c>
    </row>
    <row r="493" spans="1:15" ht="31.5" x14ac:dyDescent="0.2">
      <c r="A493" s="40"/>
      <c r="B493" s="41" t="s">
        <v>128</v>
      </c>
      <c r="C493" s="42" t="s">
        <v>525</v>
      </c>
      <c r="D493" s="43" t="s">
        <v>262</v>
      </c>
      <c r="E493" s="43" t="s">
        <v>129</v>
      </c>
      <c r="F493" s="44" t="s">
        <v>11</v>
      </c>
      <c r="G493" s="45">
        <f t="shared" si="80"/>
        <v>10344.1</v>
      </c>
      <c r="H493" s="45">
        <f t="shared" si="80"/>
        <v>1292.4000000000001</v>
      </c>
      <c r="I493" s="45">
        <f t="shared" si="80"/>
        <v>11636.5</v>
      </c>
      <c r="J493" s="46">
        <f t="shared" si="80"/>
        <v>0</v>
      </c>
      <c r="K493" s="45">
        <f t="shared" si="80"/>
        <v>0</v>
      </c>
      <c r="L493" s="46">
        <f t="shared" si="80"/>
        <v>0</v>
      </c>
      <c r="M493" s="45">
        <f t="shared" si="80"/>
        <v>10344.1</v>
      </c>
      <c r="N493" s="45">
        <f t="shared" si="80"/>
        <v>1292.4000000000001</v>
      </c>
      <c r="O493" s="45">
        <f t="shared" si="80"/>
        <v>11636.5</v>
      </c>
    </row>
    <row r="494" spans="1:15" ht="31.5" x14ac:dyDescent="0.2">
      <c r="A494" s="40"/>
      <c r="B494" s="41" t="s">
        <v>528</v>
      </c>
      <c r="C494" s="42" t="s">
        <v>525</v>
      </c>
      <c r="D494" s="43" t="s">
        <v>262</v>
      </c>
      <c r="E494" s="43" t="s">
        <v>529</v>
      </c>
      <c r="F494" s="44" t="s">
        <v>11</v>
      </c>
      <c r="G494" s="45">
        <f t="shared" si="80"/>
        <v>10344.1</v>
      </c>
      <c r="H494" s="45">
        <f t="shared" si="80"/>
        <v>1292.4000000000001</v>
      </c>
      <c r="I494" s="45">
        <f t="shared" si="80"/>
        <v>11636.5</v>
      </c>
      <c r="J494" s="46">
        <f t="shared" si="80"/>
        <v>0</v>
      </c>
      <c r="K494" s="45">
        <f t="shared" si="80"/>
        <v>0</v>
      </c>
      <c r="L494" s="46">
        <f t="shared" si="80"/>
        <v>0</v>
      </c>
      <c r="M494" s="45">
        <f t="shared" si="80"/>
        <v>10344.1</v>
      </c>
      <c r="N494" s="45">
        <f t="shared" si="80"/>
        <v>1292.4000000000001</v>
      </c>
      <c r="O494" s="45">
        <f t="shared" si="80"/>
        <v>11636.5</v>
      </c>
    </row>
    <row r="495" spans="1:15" ht="47.25" x14ac:dyDescent="0.2">
      <c r="A495" s="40"/>
      <c r="B495" s="41" t="s">
        <v>539</v>
      </c>
      <c r="C495" s="42" t="s">
        <v>525</v>
      </c>
      <c r="D495" s="43" t="s">
        <v>262</v>
      </c>
      <c r="E495" s="43" t="s">
        <v>540</v>
      </c>
      <c r="F495" s="44" t="s">
        <v>11</v>
      </c>
      <c r="G495" s="45">
        <f t="shared" si="80"/>
        <v>10344.1</v>
      </c>
      <c r="H495" s="45">
        <f t="shared" si="80"/>
        <v>1292.4000000000001</v>
      </c>
      <c r="I495" s="45">
        <f t="shared" si="80"/>
        <v>11636.5</v>
      </c>
      <c r="J495" s="46">
        <f t="shared" si="80"/>
        <v>0</v>
      </c>
      <c r="K495" s="45">
        <f t="shared" si="80"/>
        <v>0</v>
      </c>
      <c r="L495" s="46">
        <f t="shared" si="80"/>
        <v>0</v>
      </c>
      <c r="M495" s="45">
        <f t="shared" si="80"/>
        <v>10344.1</v>
      </c>
      <c r="N495" s="45">
        <f t="shared" si="80"/>
        <v>1292.4000000000001</v>
      </c>
      <c r="O495" s="45">
        <f t="shared" si="80"/>
        <v>11636.5</v>
      </c>
    </row>
    <row r="496" spans="1:15" ht="32.25" thickBot="1" x14ac:dyDescent="0.25">
      <c r="A496" s="40"/>
      <c r="B496" s="41" t="s">
        <v>134</v>
      </c>
      <c r="C496" s="42" t="s">
        <v>525</v>
      </c>
      <c r="D496" s="43" t="s">
        <v>262</v>
      </c>
      <c r="E496" s="43" t="s">
        <v>541</v>
      </c>
      <c r="F496" s="44" t="s">
        <v>11</v>
      </c>
      <c r="G496" s="45">
        <f t="shared" si="80"/>
        <v>10344.1</v>
      </c>
      <c r="H496" s="54">
        <f>SUM(H497)</f>
        <v>1292.4000000000001</v>
      </c>
      <c r="I496" s="45">
        <f t="shared" si="80"/>
        <v>11636.5</v>
      </c>
      <c r="J496" s="46">
        <f t="shared" si="80"/>
        <v>0</v>
      </c>
      <c r="K496" s="54"/>
      <c r="L496" s="46">
        <f t="shared" si="80"/>
        <v>0</v>
      </c>
      <c r="M496" s="45">
        <f t="shared" si="80"/>
        <v>10344.1</v>
      </c>
      <c r="N496" s="45">
        <f t="shared" si="80"/>
        <v>1292.4000000000001</v>
      </c>
      <c r="O496" s="45">
        <f t="shared" si="80"/>
        <v>11636.5</v>
      </c>
    </row>
    <row r="497" spans="1:15" ht="48" thickBot="1" x14ac:dyDescent="0.25">
      <c r="A497" s="49"/>
      <c r="B497" s="50" t="s">
        <v>95</v>
      </c>
      <c r="C497" s="51" t="s">
        <v>525</v>
      </c>
      <c r="D497" s="52" t="s">
        <v>262</v>
      </c>
      <c r="E497" s="52" t="s">
        <v>541</v>
      </c>
      <c r="F497" s="53" t="s">
        <v>96</v>
      </c>
      <c r="G497" s="54">
        <v>10344.1</v>
      </c>
      <c r="H497" s="63">
        <v>1292.4000000000001</v>
      </c>
      <c r="I497" s="54">
        <f>10344.1+H497</f>
        <v>11636.5</v>
      </c>
      <c r="J497" s="55">
        <v>0</v>
      </c>
      <c r="K497" s="63"/>
      <c r="L497" s="55">
        <v>0</v>
      </c>
      <c r="M497" s="54">
        <v>10344.1</v>
      </c>
      <c r="N497" s="54">
        <f>SUM(H497)</f>
        <v>1292.4000000000001</v>
      </c>
      <c r="O497" s="54">
        <f>10344.1+N497</f>
        <v>11636.5</v>
      </c>
    </row>
    <row r="499" spans="1:15" x14ac:dyDescent="0.2">
      <c r="B499" s="302" t="s">
        <v>542</v>
      </c>
      <c r="C499" s="266"/>
      <c r="D499" s="266"/>
      <c r="E499" s="266"/>
      <c r="F499" s="266"/>
      <c r="G499" s="266"/>
      <c r="H499" s="266"/>
      <c r="I499" s="266"/>
      <c r="J499" s="266"/>
      <c r="K499" s="266"/>
      <c r="L499" s="266"/>
      <c r="M499" s="266"/>
      <c r="N499" s="266"/>
      <c r="O499" s="266"/>
    </row>
    <row r="500" spans="1:15" x14ac:dyDescent="0.2">
      <c r="B500" s="266"/>
      <c r="C500" s="266"/>
      <c r="D500" s="266"/>
      <c r="E500" s="266"/>
      <c r="F500" s="266"/>
      <c r="G500" s="266"/>
      <c r="H500" s="266"/>
      <c r="I500" s="266"/>
      <c r="J500" s="266"/>
      <c r="K500" s="266"/>
      <c r="L500" s="266"/>
      <c r="M500" s="266"/>
      <c r="N500" s="266"/>
      <c r="O500" s="266"/>
    </row>
    <row r="501" spans="1:15" x14ac:dyDescent="0.2">
      <c r="B501" s="266"/>
      <c r="C501" s="266"/>
      <c r="D501" s="266"/>
      <c r="E501" s="266"/>
      <c r="F501" s="266"/>
      <c r="G501" s="266"/>
      <c r="H501" s="266"/>
      <c r="I501" s="266"/>
      <c r="J501" s="266"/>
      <c r="K501" s="266"/>
      <c r="L501" s="266"/>
      <c r="M501" s="266"/>
      <c r="N501" s="266"/>
      <c r="O501" s="266"/>
    </row>
  </sheetData>
  <mergeCells count="21">
    <mergeCell ref="J6:O6"/>
    <mergeCell ref="J1:O1"/>
    <mergeCell ref="J2:O2"/>
    <mergeCell ref="J3:O3"/>
    <mergeCell ref="J4:O4"/>
    <mergeCell ref="J5:O5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C19:F19"/>
    <mergeCell ref="G19:O19"/>
    <mergeCell ref="B499:O501"/>
    <mergeCell ref="B15:G15"/>
    <mergeCell ref="B16:G16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81"/>
  <sheetViews>
    <sheetView topLeftCell="A298" zoomScale="60" zoomScaleNormal="60" workbookViewId="0">
      <selection activeCell="H273" sqref="H273"/>
    </sheetView>
  </sheetViews>
  <sheetFormatPr defaultRowHeight="12.75" x14ac:dyDescent="0.2"/>
  <cols>
    <col min="1" max="1" width="6.28515625" customWidth="1"/>
    <col min="2" max="2" width="53.5703125" customWidth="1"/>
    <col min="3" max="3" width="6.28515625" customWidth="1"/>
    <col min="4" max="4" width="7.7109375" customWidth="1"/>
    <col min="5" max="5" width="13.7109375" customWidth="1"/>
    <col min="6" max="6" width="8.7109375" customWidth="1"/>
    <col min="7" max="9" width="17.5703125" customWidth="1"/>
    <col min="10" max="14" width="18.28515625" customWidth="1"/>
    <col min="15" max="15" width="25.28515625" customWidth="1"/>
    <col min="16" max="16" width="18.28515625" customWidth="1"/>
  </cols>
  <sheetData>
    <row r="1" spans="1:15" ht="15" customHeight="1" x14ac:dyDescent="0.25">
      <c r="B1" s="5"/>
      <c r="C1" s="5"/>
      <c r="D1" s="5"/>
      <c r="E1" s="5"/>
      <c r="F1" s="5"/>
      <c r="G1" s="5"/>
      <c r="H1" s="5"/>
      <c r="I1" s="5"/>
      <c r="J1" s="279" t="s">
        <v>0</v>
      </c>
      <c r="K1" s="279"/>
      <c r="L1" s="279"/>
      <c r="M1" s="279"/>
      <c r="N1" s="279"/>
      <c r="O1" s="279"/>
    </row>
    <row r="2" spans="1:15" ht="15" customHeight="1" x14ac:dyDescent="0.25">
      <c r="B2" s="1"/>
      <c r="C2" s="1"/>
      <c r="D2" s="1"/>
      <c r="E2" s="1"/>
      <c r="F2" s="1"/>
      <c r="G2" s="1"/>
      <c r="H2" s="1"/>
      <c r="I2" s="1"/>
      <c r="J2" s="279" t="s">
        <v>1</v>
      </c>
      <c r="K2" s="279"/>
      <c r="L2" s="279"/>
      <c r="M2" s="279"/>
      <c r="N2" s="279"/>
      <c r="O2" s="279"/>
    </row>
    <row r="3" spans="1:15" ht="15" customHeight="1" x14ac:dyDescent="0.25">
      <c r="B3" s="1"/>
      <c r="C3" s="1"/>
      <c r="D3" s="1"/>
      <c r="E3" s="1"/>
      <c r="F3" s="1"/>
      <c r="G3" s="1"/>
      <c r="H3" s="1"/>
      <c r="I3" s="1"/>
      <c r="J3" s="279" t="s">
        <v>2</v>
      </c>
      <c r="K3" s="279"/>
      <c r="L3" s="279"/>
      <c r="M3" s="279"/>
      <c r="N3" s="279"/>
      <c r="O3" s="279"/>
    </row>
    <row r="4" spans="1:15" ht="15" customHeight="1" x14ac:dyDescent="0.25">
      <c r="B4" s="1"/>
      <c r="C4" s="1"/>
      <c r="D4" s="1"/>
      <c r="E4" s="1"/>
      <c r="F4" s="1"/>
      <c r="G4" s="1"/>
      <c r="H4" s="1"/>
      <c r="I4" s="1"/>
      <c r="J4" s="279" t="s">
        <v>3</v>
      </c>
      <c r="K4" s="279"/>
      <c r="L4" s="279"/>
      <c r="M4" s="279"/>
      <c r="N4" s="279"/>
      <c r="O4" s="279"/>
    </row>
    <row r="5" spans="1:15" ht="15" customHeight="1" x14ac:dyDescent="0.25">
      <c r="B5" s="1"/>
      <c r="C5" s="1"/>
      <c r="D5" s="1"/>
      <c r="E5" s="1"/>
      <c r="F5" s="1"/>
      <c r="G5" s="1"/>
      <c r="H5" s="1"/>
      <c r="I5" s="1"/>
      <c r="J5" s="279" t="s">
        <v>553</v>
      </c>
      <c r="K5" s="279"/>
      <c r="L5" s="279"/>
      <c r="M5" s="279"/>
      <c r="N5" s="279"/>
      <c r="O5" s="279"/>
    </row>
    <row r="6" spans="1:15" ht="15.6" customHeight="1" x14ac:dyDescent="0.25">
      <c r="B6" s="6"/>
      <c r="C6" s="6"/>
      <c r="D6" s="6"/>
      <c r="E6" s="6"/>
      <c r="F6" s="6"/>
      <c r="G6" s="6"/>
      <c r="H6" s="6"/>
      <c r="I6" s="6"/>
      <c r="J6" s="279"/>
      <c r="K6" s="279"/>
      <c r="L6" s="279"/>
      <c r="M6" s="279"/>
      <c r="N6" s="279"/>
      <c r="O6" s="279"/>
    </row>
    <row r="7" spans="1:15" ht="15" customHeight="1" x14ac:dyDescent="0.2">
      <c r="B7" s="6"/>
      <c r="C7" s="6"/>
      <c r="D7" s="6"/>
      <c r="E7" s="6"/>
      <c r="F7" s="6"/>
      <c r="G7" s="3"/>
      <c r="H7" s="3"/>
      <c r="I7" s="3"/>
    </row>
    <row r="8" spans="1:15" ht="15.6" customHeight="1" x14ac:dyDescent="0.3">
      <c r="A8" s="297" t="s">
        <v>5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1:15" ht="15.6" customHeight="1" x14ac:dyDescent="0.3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5" ht="15.6" customHeight="1" x14ac:dyDescent="0.3">
      <c r="A10" s="297" t="s">
        <v>7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1:15" ht="15.6" customHeight="1" x14ac:dyDescent="0.2">
      <c r="B11" s="6"/>
      <c r="C11" s="6"/>
      <c r="D11" s="6"/>
      <c r="E11" s="6"/>
      <c r="F11" s="6"/>
      <c r="G11" s="3"/>
      <c r="H11" s="3"/>
      <c r="I11" s="3"/>
    </row>
    <row r="12" spans="1:15" ht="18.600000000000001" customHeight="1" thickBot="1" x14ac:dyDescent="0.25">
      <c r="B12" s="6"/>
      <c r="C12" s="6"/>
      <c r="D12" s="7"/>
      <c r="E12" s="7"/>
      <c r="F12" s="7"/>
      <c r="G12" s="3"/>
      <c r="H12" s="3"/>
      <c r="I12" s="3"/>
      <c r="O12" s="8" t="s">
        <v>8</v>
      </c>
    </row>
    <row r="13" spans="1:15" ht="15" hidden="1" customHeight="1" x14ac:dyDescent="0.2">
      <c r="B13" s="82" t="s">
        <v>9</v>
      </c>
      <c r="C13" s="278"/>
      <c r="D13" s="278"/>
      <c r="E13" s="278"/>
      <c r="F13" s="278"/>
      <c r="G13" s="3"/>
      <c r="H13" s="3"/>
      <c r="I13" s="3"/>
    </row>
    <row r="14" spans="1:15" ht="6.6" hidden="1" customHeight="1" x14ac:dyDescent="0.2">
      <c r="B14" s="261" t="s">
        <v>10</v>
      </c>
      <c r="C14" s="261"/>
      <c r="D14" s="261"/>
      <c r="E14" s="261"/>
      <c r="F14" s="261"/>
      <c r="G14" s="3"/>
      <c r="H14" s="3"/>
      <c r="I14" s="3"/>
    </row>
    <row r="15" spans="1:15" ht="7.15" hidden="1" customHeight="1" thickBot="1" x14ac:dyDescent="0.25">
      <c r="B15" s="261" t="s">
        <v>11</v>
      </c>
      <c r="C15" s="261"/>
      <c r="D15" s="261"/>
      <c r="E15" s="261"/>
      <c r="F15" s="261"/>
      <c r="G15" s="261"/>
      <c r="H15" s="82"/>
      <c r="I15" s="82"/>
    </row>
    <row r="16" spans="1:15" ht="13.9" hidden="1" customHeight="1" thickBot="1" x14ac:dyDescent="0.25">
      <c r="B16" s="262" t="s">
        <v>11</v>
      </c>
      <c r="C16" s="262"/>
      <c r="D16" s="262"/>
      <c r="E16" s="262"/>
      <c r="F16" s="262"/>
      <c r="G16" s="262"/>
      <c r="H16" s="83"/>
      <c r="I16" s="83"/>
    </row>
    <row r="17" spans="1:16" ht="13.9" customHeight="1" x14ac:dyDescent="0.2">
      <c r="A17" s="289" t="s">
        <v>12</v>
      </c>
      <c r="B17" s="291" t="s">
        <v>13</v>
      </c>
      <c r="C17" s="291" t="s">
        <v>14</v>
      </c>
      <c r="D17" s="291"/>
      <c r="E17" s="291"/>
      <c r="F17" s="293"/>
      <c r="G17" s="294" t="s">
        <v>15</v>
      </c>
      <c r="H17" s="295"/>
      <c r="I17" s="295"/>
      <c r="J17" s="291"/>
      <c r="K17" s="293"/>
      <c r="L17" s="293"/>
      <c r="M17" s="293"/>
      <c r="N17" s="293"/>
      <c r="O17" s="296"/>
    </row>
    <row r="18" spans="1:16" ht="30" customHeight="1" x14ac:dyDescent="0.2">
      <c r="A18" s="290"/>
      <c r="B18" s="292"/>
      <c r="C18" s="81" t="s">
        <v>16</v>
      </c>
      <c r="D18" s="81" t="s">
        <v>17</v>
      </c>
      <c r="E18" s="81" t="s">
        <v>18</v>
      </c>
      <c r="F18" s="12" t="s">
        <v>19</v>
      </c>
      <c r="G18" s="13" t="s">
        <v>20</v>
      </c>
      <c r="H18" s="62" t="s">
        <v>21</v>
      </c>
      <c r="I18" s="62" t="s">
        <v>15</v>
      </c>
      <c r="J18" s="81" t="s">
        <v>22</v>
      </c>
      <c r="K18" s="62" t="s">
        <v>21</v>
      </c>
      <c r="L18" s="62" t="s">
        <v>15</v>
      </c>
      <c r="M18" s="13" t="s">
        <v>20</v>
      </c>
      <c r="N18" s="62" t="s">
        <v>21</v>
      </c>
      <c r="O18" s="9" t="s">
        <v>23</v>
      </c>
    </row>
    <row r="19" spans="1:16" ht="13.9" customHeight="1" thickBot="1" x14ac:dyDescent="0.25">
      <c r="A19" s="10" t="s">
        <v>24</v>
      </c>
      <c r="B19" s="11">
        <v>2</v>
      </c>
      <c r="C19" s="298">
        <v>3</v>
      </c>
      <c r="D19" s="299"/>
      <c r="E19" s="299"/>
      <c r="F19" s="299"/>
      <c r="G19" s="300">
        <v>4</v>
      </c>
      <c r="H19" s="299"/>
      <c r="I19" s="299"/>
      <c r="J19" s="299"/>
      <c r="K19" s="299"/>
      <c r="L19" s="299"/>
      <c r="M19" s="299"/>
      <c r="N19" s="299"/>
      <c r="O19" s="301"/>
    </row>
    <row r="20" spans="1:16" ht="20.45" customHeight="1" x14ac:dyDescent="0.2">
      <c r="A20" s="27"/>
      <c r="B20" s="28" t="s">
        <v>25</v>
      </c>
      <c r="C20" s="29"/>
      <c r="D20" s="29"/>
      <c r="E20" s="29"/>
      <c r="F20" s="30"/>
      <c r="G20" s="31">
        <f>G21+G33+G405+G458</f>
        <v>628942.69999999995</v>
      </c>
      <c r="H20" s="31">
        <f>H21+H33+H405+H458</f>
        <v>10915.999999999998</v>
      </c>
      <c r="I20" s="31">
        <f>I21+I33+I405+I458</f>
        <v>639922.99999999988</v>
      </c>
      <c r="J20" s="32">
        <f>J21+J33+J405+J458</f>
        <v>2501441.7000000007</v>
      </c>
      <c r="K20" s="25">
        <f>SUM(K33+K21+K405+K458)</f>
        <v>0</v>
      </c>
      <c r="L20" s="32">
        <f>L21+L33+L405+L458</f>
        <v>2501441.7000000007</v>
      </c>
      <c r="M20" s="31">
        <f>M21+M33+M405+M458</f>
        <v>3130384.3999999994</v>
      </c>
      <c r="N20" s="31">
        <f>N21+N33+N405+N458</f>
        <v>10980.3</v>
      </c>
      <c r="O20" s="31">
        <f>O21+O33+O405+O458</f>
        <v>3141364.6999999997</v>
      </c>
      <c r="P20" s="14"/>
    </row>
    <row r="21" spans="1:16" ht="31.5" x14ac:dyDescent="0.2">
      <c r="A21" s="20" t="s">
        <v>26</v>
      </c>
      <c r="B21" s="21" t="s">
        <v>27</v>
      </c>
      <c r="C21" s="22" t="s">
        <v>28</v>
      </c>
      <c r="D21" s="23" t="s">
        <v>11</v>
      </c>
      <c r="E21" s="23" t="s">
        <v>11</v>
      </c>
      <c r="F21" s="24" t="s">
        <v>11</v>
      </c>
      <c r="G21" s="25">
        <f>G22</f>
        <v>1395.6</v>
      </c>
      <c r="H21" s="25">
        <f>H22+H27</f>
        <v>0</v>
      </c>
      <c r="I21" s="25">
        <f>I22</f>
        <v>1395.6</v>
      </c>
      <c r="J21" s="26">
        <f>J22</f>
        <v>0</v>
      </c>
      <c r="K21" s="25">
        <f>K22+K27</f>
        <v>0</v>
      </c>
      <c r="L21" s="26">
        <f>L22</f>
        <v>0</v>
      </c>
      <c r="M21" s="25">
        <f>M22</f>
        <v>1395.6</v>
      </c>
      <c r="N21" s="25">
        <f>N22</f>
        <v>0</v>
      </c>
      <c r="O21" s="76">
        <f>O22</f>
        <v>1395.6</v>
      </c>
    </row>
    <row r="22" spans="1:16" ht="15.75" x14ac:dyDescent="0.2">
      <c r="A22" s="20" t="s">
        <v>29</v>
      </c>
      <c r="B22" s="21" t="s">
        <v>30</v>
      </c>
      <c r="C22" s="22" t="s">
        <v>28</v>
      </c>
      <c r="D22" s="23" t="s">
        <v>31</v>
      </c>
      <c r="E22" s="23" t="s">
        <v>11</v>
      </c>
      <c r="F22" s="24" t="s">
        <v>11</v>
      </c>
      <c r="G22" s="25">
        <f>G23+G28</f>
        <v>1395.6</v>
      </c>
      <c r="H22" s="38">
        <f>H23</f>
        <v>0</v>
      </c>
      <c r="I22" s="25">
        <f>I23+I28</f>
        <v>1395.6</v>
      </c>
      <c r="J22" s="26">
        <f>J23+J28</f>
        <v>0</v>
      </c>
      <c r="K22" s="38">
        <f>K23</f>
        <v>0</v>
      </c>
      <c r="L22" s="26">
        <f>L23+L28</f>
        <v>0</v>
      </c>
      <c r="M22" s="25">
        <f>M23+M28</f>
        <v>1395.6</v>
      </c>
      <c r="N22" s="25">
        <f>N23+N28</f>
        <v>0</v>
      </c>
      <c r="O22" s="25">
        <f>O23+O28</f>
        <v>1395.6</v>
      </c>
    </row>
    <row r="23" spans="1:16" ht="63" x14ac:dyDescent="0.2">
      <c r="A23" s="33" t="s">
        <v>32</v>
      </c>
      <c r="B23" s="34" t="s">
        <v>33</v>
      </c>
      <c r="C23" s="35" t="s">
        <v>28</v>
      </c>
      <c r="D23" s="36" t="s">
        <v>34</v>
      </c>
      <c r="E23" s="36" t="s">
        <v>11</v>
      </c>
      <c r="F23" s="37" t="s">
        <v>11</v>
      </c>
      <c r="G23" s="38">
        <f>G24</f>
        <v>8.1</v>
      </c>
      <c r="H23" s="45">
        <f>H24</f>
        <v>0</v>
      </c>
      <c r="I23" s="38">
        <f>I24</f>
        <v>8.1</v>
      </c>
      <c r="J23" s="39">
        <f t="shared" ref="J23:O26" si="0">J24</f>
        <v>0</v>
      </c>
      <c r="K23" s="45">
        <f>K24</f>
        <v>0</v>
      </c>
      <c r="L23" s="39">
        <f t="shared" si="0"/>
        <v>0</v>
      </c>
      <c r="M23" s="38">
        <f t="shared" si="0"/>
        <v>8.1</v>
      </c>
      <c r="N23" s="38">
        <f t="shared" si="0"/>
        <v>0</v>
      </c>
      <c r="O23" s="38">
        <f t="shared" si="0"/>
        <v>8.1</v>
      </c>
    </row>
    <row r="24" spans="1:16" ht="31.5" x14ac:dyDescent="0.2">
      <c r="A24" s="40"/>
      <c r="B24" s="41" t="s">
        <v>35</v>
      </c>
      <c r="C24" s="42" t="s">
        <v>28</v>
      </c>
      <c r="D24" s="43" t="s">
        <v>34</v>
      </c>
      <c r="E24" s="43" t="s">
        <v>36</v>
      </c>
      <c r="F24" s="44" t="s">
        <v>11</v>
      </c>
      <c r="G24" s="45">
        <f>G25</f>
        <v>8.1</v>
      </c>
      <c r="H24" s="45">
        <f>H25</f>
        <v>0</v>
      </c>
      <c r="I24" s="45">
        <f>I25</f>
        <v>8.1</v>
      </c>
      <c r="J24" s="46">
        <f t="shared" si="0"/>
        <v>0</v>
      </c>
      <c r="K24" s="45">
        <f>K25</f>
        <v>0</v>
      </c>
      <c r="L24" s="46">
        <f t="shared" si="0"/>
        <v>0</v>
      </c>
      <c r="M24" s="45">
        <f t="shared" si="0"/>
        <v>8.1</v>
      </c>
      <c r="N24" s="45">
        <f t="shared" si="0"/>
        <v>0</v>
      </c>
      <c r="O24" s="45">
        <f t="shared" si="0"/>
        <v>8.1</v>
      </c>
    </row>
    <row r="25" spans="1:16" ht="31.5" x14ac:dyDescent="0.2">
      <c r="A25" s="40"/>
      <c r="B25" s="41" t="s">
        <v>27</v>
      </c>
      <c r="C25" s="42" t="s">
        <v>28</v>
      </c>
      <c r="D25" s="43" t="s">
        <v>34</v>
      </c>
      <c r="E25" s="43" t="s">
        <v>37</v>
      </c>
      <c r="F25" s="44" t="s">
        <v>11</v>
      </c>
      <c r="G25" s="45">
        <f>G26</f>
        <v>8.1</v>
      </c>
      <c r="H25" s="45">
        <f>H26</f>
        <v>0</v>
      </c>
      <c r="I25" s="45">
        <f>I26</f>
        <v>8.1</v>
      </c>
      <c r="J25" s="46">
        <f t="shared" si="0"/>
        <v>0</v>
      </c>
      <c r="K25" s="45">
        <f>K26</f>
        <v>0</v>
      </c>
      <c r="L25" s="46">
        <f t="shared" si="0"/>
        <v>0</v>
      </c>
      <c r="M25" s="45">
        <f t="shared" si="0"/>
        <v>8.1</v>
      </c>
      <c r="N25" s="45">
        <f t="shared" si="0"/>
        <v>0</v>
      </c>
      <c r="O25" s="45">
        <f t="shared" si="0"/>
        <v>8.1</v>
      </c>
    </row>
    <row r="26" spans="1:16" ht="31.5" x14ac:dyDescent="0.2">
      <c r="A26" s="40"/>
      <c r="B26" s="41" t="s">
        <v>38</v>
      </c>
      <c r="C26" s="42" t="s">
        <v>28</v>
      </c>
      <c r="D26" s="43" t="s">
        <v>34</v>
      </c>
      <c r="E26" s="43" t="s">
        <v>39</v>
      </c>
      <c r="F26" s="44" t="s">
        <v>11</v>
      </c>
      <c r="G26" s="45">
        <f>G27</f>
        <v>8.1</v>
      </c>
      <c r="H26" s="45"/>
      <c r="I26" s="45">
        <f>I27</f>
        <v>8.1</v>
      </c>
      <c r="J26" s="46">
        <f t="shared" si="0"/>
        <v>0</v>
      </c>
      <c r="K26" s="45"/>
      <c r="L26" s="46">
        <f t="shared" si="0"/>
        <v>0</v>
      </c>
      <c r="M26" s="45">
        <f t="shared" si="0"/>
        <v>8.1</v>
      </c>
      <c r="N26" s="45">
        <f t="shared" si="0"/>
        <v>0</v>
      </c>
      <c r="O26" s="45">
        <f t="shared" si="0"/>
        <v>8.1</v>
      </c>
    </row>
    <row r="27" spans="1:16" ht="31.5" x14ac:dyDescent="0.2">
      <c r="A27" s="40"/>
      <c r="B27" s="41" t="s">
        <v>40</v>
      </c>
      <c r="C27" s="42" t="s">
        <v>28</v>
      </c>
      <c r="D27" s="43" t="s">
        <v>34</v>
      </c>
      <c r="E27" s="43" t="s">
        <v>39</v>
      </c>
      <c r="F27" s="44" t="s">
        <v>41</v>
      </c>
      <c r="G27" s="45">
        <f>8+0.1</f>
        <v>8.1</v>
      </c>
      <c r="H27" s="38"/>
      <c r="I27" s="45">
        <f>8+0.1</f>
        <v>8.1</v>
      </c>
      <c r="J27" s="47">
        <v>0</v>
      </c>
      <c r="K27" s="38"/>
      <c r="L27" s="47">
        <v>0</v>
      </c>
      <c r="M27" s="45">
        <f>8+0.1</f>
        <v>8.1</v>
      </c>
      <c r="N27" s="45"/>
      <c r="O27" s="45">
        <f>8+0.1</f>
        <v>8.1</v>
      </c>
    </row>
    <row r="28" spans="1:16" ht="47.25" x14ac:dyDescent="0.2">
      <c r="A28" s="33" t="s">
        <v>42</v>
      </c>
      <c r="B28" s="34" t="s">
        <v>43</v>
      </c>
      <c r="C28" s="35" t="s">
        <v>28</v>
      </c>
      <c r="D28" s="36" t="s">
        <v>44</v>
      </c>
      <c r="E28" s="36" t="s">
        <v>11</v>
      </c>
      <c r="F28" s="37" t="s">
        <v>11</v>
      </c>
      <c r="G28" s="38">
        <f t="shared" ref="G28:O31" si="1">G29</f>
        <v>1387.5</v>
      </c>
      <c r="H28" s="45">
        <f t="shared" si="1"/>
        <v>0</v>
      </c>
      <c r="I28" s="38">
        <f t="shared" si="1"/>
        <v>1387.5</v>
      </c>
      <c r="J28" s="39">
        <f t="shared" si="1"/>
        <v>0</v>
      </c>
      <c r="K28" s="45">
        <f>K29</f>
        <v>0</v>
      </c>
      <c r="L28" s="39">
        <f t="shared" si="1"/>
        <v>0</v>
      </c>
      <c r="M28" s="38">
        <f t="shared" si="1"/>
        <v>1387.5</v>
      </c>
      <c r="N28" s="38">
        <f t="shared" si="1"/>
        <v>0</v>
      </c>
      <c r="O28" s="38">
        <f t="shared" si="1"/>
        <v>1387.5</v>
      </c>
    </row>
    <row r="29" spans="1:16" ht="31.5" x14ac:dyDescent="0.2">
      <c r="A29" s="40"/>
      <c r="B29" s="41" t="s">
        <v>35</v>
      </c>
      <c r="C29" s="42" t="s">
        <v>28</v>
      </c>
      <c r="D29" s="43" t="s">
        <v>44</v>
      </c>
      <c r="E29" s="43" t="s">
        <v>36</v>
      </c>
      <c r="F29" s="44" t="s">
        <v>11</v>
      </c>
      <c r="G29" s="45">
        <f t="shared" si="1"/>
        <v>1387.5</v>
      </c>
      <c r="H29" s="45">
        <f t="shared" si="1"/>
        <v>0</v>
      </c>
      <c r="I29" s="45">
        <f t="shared" si="1"/>
        <v>1387.5</v>
      </c>
      <c r="J29" s="46">
        <f t="shared" si="1"/>
        <v>0</v>
      </c>
      <c r="K29" s="45">
        <f>K30</f>
        <v>0</v>
      </c>
      <c r="L29" s="46">
        <f t="shared" si="1"/>
        <v>0</v>
      </c>
      <c r="M29" s="45">
        <f t="shared" si="1"/>
        <v>1387.5</v>
      </c>
      <c r="N29" s="45">
        <f t="shared" si="1"/>
        <v>0</v>
      </c>
      <c r="O29" s="45">
        <f t="shared" si="1"/>
        <v>1387.5</v>
      </c>
    </row>
    <row r="30" spans="1:16" ht="31.5" x14ac:dyDescent="0.2">
      <c r="A30" s="40"/>
      <c r="B30" s="41" t="s">
        <v>27</v>
      </c>
      <c r="C30" s="42" t="s">
        <v>28</v>
      </c>
      <c r="D30" s="43" t="s">
        <v>44</v>
      </c>
      <c r="E30" s="43" t="s">
        <v>37</v>
      </c>
      <c r="F30" s="44" t="s">
        <v>11</v>
      </c>
      <c r="G30" s="45">
        <f t="shared" si="1"/>
        <v>1387.5</v>
      </c>
      <c r="H30" s="45">
        <f t="shared" si="1"/>
        <v>0</v>
      </c>
      <c r="I30" s="45">
        <f t="shared" si="1"/>
        <v>1387.5</v>
      </c>
      <c r="J30" s="46">
        <f t="shared" si="1"/>
        <v>0</v>
      </c>
      <c r="K30" s="45">
        <f>K31</f>
        <v>0</v>
      </c>
      <c r="L30" s="46">
        <f t="shared" si="1"/>
        <v>0</v>
      </c>
      <c r="M30" s="45">
        <f t="shared" si="1"/>
        <v>1387.5</v>
      </c>
      <c r="N30" s="45">
        <f t="shared" si="1"/>
        <v>0</v>
      </c>
      <c r="O30" s="45">
        <f t="shared" si="1"/>
        <v>1387.5</v>
      </c>
    </row>
    <row r="31" spans="1:16" ht="63" x14ac:dyDescent="0.2">
      <c r="A31" s="40"/>
      <c r="B31" s="41" t="s">
        <v>45</v>
      </c>
      <c r="C31" s="42" t="s">
        <v>28</v>
      </c>
      <c r="D31" s="43" t="s">
        <v>44</v>
      </c>
      <c r="E31" s="43" t="s">
        <v>46</v>
      </c>
      <c r="F31" s="44" t="s">
        <v>11</v>
      </c>
      <c r="G31" s="45">
        <f>G32</f>
        <v>1387.5</v>
      </c>
      <c r="H31" s="45"/>
      <c r="I31" s="45">
        <f>I32</f>
        <v>1387.5</v>
      </c>
      <c r="J31" s="46">
        <f t="shared" si="1"/>
        <v>0</v>
      </c>
      <c r="K31" s="45"/>
      <c r="L31" s="46">
        <f t="shared" si="1"/>
        <v>0</v>
      </c>
      <c r="M31" s="45">
        <f t="shared" si="1"/>
        <v>1387.5</v>
      </c>
      <c r="N31" s="45">
        <f t="shared" si="1"/>
        <v>0</v>
      </c>
      <c r="O31" s="45">
        <f t="shared" si="1"/>
        <v>1387.5</v>
      </c>
    </row>
    <row r="32" spans="1:16" ht="15.75" x14ac:dyDescent="0.2">
      <c r="A32" s="40"/>
      <c r="B32" s="41" t="s">
        <v>47</v>
      </c>
      <c r="C32" s="42" t="s">
        <v>28</v>
      </c>
      <c r="D32" s="43" t="s">
        <v>44</v>
      </c>
      <c r="E32" s="43" t="s">
        <v>46</v>
      </c>
      <c r="F32" s="44" t="s">
        <v>48</v>
      </c>
      <c r="G32" s="45">
        <f>1387.6-0.1</f>
        <v>1387.5</v>
      </c>
      <c r="H32" s="25"/>
      <c r="I32" s="45">
        <f>1387.6-0.1</f>
        <v>1387.5</v>
      </c>
      <c r="J32" s="47">
        <v>0</v>
      </c>
      <c r="K32" s="25"/>
      <c r="L32" s="47">
        <v>0</v>
      </c>
      <c r="M32" s="45">
        <f>1387.6-0.1</f>
        <v>1387.5</v>
      </c>
      <c r="N32" s="45"/>
      <c r="O32" s="45">
        <f>1387.6-0.1</f>
        <v>1387.5</v>
      </c>
    </row>
    <row r="33" spans="1:16" ht="31.5" x14ac:dyDescent="0.2">
      <c r="A33" s="20" t="s">
        <v>49</v>
      </c>
      <c r="B33" s="21" t="s">
        <v>50</v>
      </c>
      <c r="C33" s="22" t="s">
        <v>51</v>
      </c>
      <c r="D33" s="23" t="s">
        <v>11</v>
      </c>
      <c r="E33" s="23" t="s">
        <v>11</v>
      </c>
      <c r="F33" s="24" t="s">
        <v>11</v>
      </c>
      <c r="G33" s="25">
        <f>G34+G108+G160+G238+G340+G362+G387+G398</f>
        <v>474637.2</v>
      </c>
      <c r="H33" s="25">
        <f t="shared" ref="H33:O33" si="2">H34+H108+H160+H238+H340+H362+H387+H398</f>
        <v>11563.099999999999</v>
      </c>
      <c r="I33" s="25">
        <f t="shared" si="2"/>
        <v>485664.59999999992</v>
      </c>
      <c r="J33" s="25">
        <f t="shared" si="2"/>
        <v>2496033.0000000005</v>
      </c>
      <c r="K33" s="25">
        <f t="shared" si="2"/>
        <v>0</v>
      </c>
      <c r="L33" s="25">
        <f t="shared" si="2"/>
        <v>2496033.0000000005</v>
      </c>
      <c r="M33" s="25">
        <f t="shared" si="2"/>
        <v>2970670.1999999993</v>
      </c>
      <c r="N33" s="25">
        <f t="shared" si="2"/>
        <v>11027.4</v>
      </c>
      <c r="O33" s="76">
        <f t="shared" si="2"/>
        <v>2981697.5999999996</v>
      </c>
      <c r="P33" s="19"/>
    </row>
    <row r="34" spans="1:16" ht="15.75" x14ac:dyDescent="0.2">
      <c r="A34" s="20" t="s">
        <v>52</v>
      </c>
      <c r="B34" s="21" t="s">
        <v>30</v>
      </c>
      <c r="C34" s="22" t="s">
        <v>51</v>
      </c>
      <c r="D34" s="23" t="s">
        <v>31</v>
      </c>
      <c r="E34" s="23" t="s">
        <v>11</v>
      </c>
      <c r="F34" s="24" t="s">
        <v>11</v>
      </c>
      <c r="G34" s="25">
        <f>G35+G40+G54+G59</f>
        <v>91961.1</v>
      </c>
      <c r="H34" s="25">
        <f t="shared" ref="H34:O34" si="3">H35+H40+H54+H59</f>
        <v>1345.6</v>
      </c>
      <c r="I34" s="25">
        <f t="shared" si="3"/>
        <v>93306.699999999983</v>
      </c>
      <c r="J34" s="25">
        <f t="shared" si="3"/>
        <v>768.1</v>
      </c>
      <c r="K34" s="25">
        <f t="shared" si="3"/>
        <v>0</v>
      </c>
      <c r="L34" s="25">
        <f t="shared" si="3"/>
        <v>768.1</v>
      </c>
      <c r="M34" s="77">
        <f t="shared" si="3"/>
        <v>92729.2</v>
      </c>
      <c r="N34" s="25">
        <f t="shared" si="3"/>
        <v>1345.6</v>
      </c>
      <c r="O34" s="77">
        <f t="shared" si="3"/>
        <v>94074.799999999988</v>
      </c>
      <c r="P34" s="19"/>
    </row>
    <row r="35" spans="1:16" ht="47.25" x14ac:dyDescent="0.2">
      <c r="A35" s="33" t="s">
        <v>53</v>
      </c>
      <c r="B35" s="34" t="s">
        <v>54</v>
      </c>
      <c r="C35" s="35" t="s">
        <v>51</v>
      </c>
      <c r="D35" s="36" t="s">
        <v>55</v>
      </c>
      <c r="E35" s="36" t="s">
        <v>11</v>
      </c>
      <c r="F35" s="37" t="s">
        <v>11</v>
      </c>
      <c r="G35" s="38">
        <f t="shared" ref="G35:O38" si="4">G36</f>
        <v>2021.3</v>
      </c>
      <c r="H35" s="45">
        <f t="shared" si="4"/>
        <v>0</v>
      </c>
      <c r="I35" s="38">
        <f t="shared" si="4"/>
        <v>2021.3</v>
      </c>
      <c r="J35" s="39">
        <f t="shared" si="4"/>
        <v>0</v>
      </c>
      <c r="K35" s="45">
        <f>K36</f>
        <v>0</v>
      </c>
      <c r="L35" s="39">
        <f t="shared" si="4"/>
        <v>0</v>
      </c>
      <c r="M35" s="38">
        <f t="shared" si="4"/>
        <v>2021.3</v>
      </c>
      <c r="N35" s="38">
        <f t="shared" si="4"/>
        <v>0</v>
      </c>
      <c r="O35" s="78">
        <f t="shared" si="4"/>
        <v>2021.3</v>
      </c>
    </row>
    <row r="36" spans="1:16" ht="31.5" x14ac:dyDescent="0.2">
      <c r="A36" s="40"/>
      <c r="B36" s="41" t="s">
        <v>56</v>
      </c>
      <c r="C36" s="42" t="s">
        <v>51</v>
      </c>
      <c r="D36" s="43" t="s">
        <v>55</v>
      </c>
      <c r="E36" s="43" t="s">
        <v>57</v>
      </c>
      <c r="F36" s="44" t="s">
        <v>11</v>
      </c>
      <c r="G36" s="45">
        <f t="shared" si="4"/>
        <v>2021.3</v>
      </c>
      <c r="H36" s="45">
        <f t="shared" si="4"/>
        <v>0</v>
      </c>
      <c r="I36" s="45">
        <f t="shared" si="4"/>
        <v>2021.3</v>
      </c>
      <c r="J36" s="46">
        <f t="shared" si="4"/>
        <v>0</v>
      </c>
      <c r="K36" s="45">
        <f>K37</f>
        <v>0</v>
      </c>
      <c r="L36" s="46">
        <f t="shared" si="4"/>
        <v>0</v>
      </c>
      <c r="M36" s="45">
        <f t="shared" si="4"/>
        <v>2021.3</v>
      </c>
      <c r="N36" s="45">
        <f t="shared" si="4"/>
        <v>0</v>
      </c>
      <c r="O36" s="45">
        <f t="shared" si="4"/>
        <v>2021.3</v>
      </c>
    </row>
    <row r="37" spans="1:16" ht="31.5" x14ac:dyDescent="0.2">
      <c r="A37" s="40"/>
      <c r="B37" s="41" t="s">
        <v>58</v>
      </c>
      <c r="C37" s="42" t="s">
        <v>51</v>
      </c>
      <c r="D37" s="43" t="s">
        <v>55</v>
      </c>
      <c r="E37" s="43" t="s">
        <v>59</v>
      </c>
      <c r="F37" s="44" t="s">
        <v>11</v>
      </c>
      <c r="G37" s="45">
        <f t="shared" si="4"/>
        <v>2021.3</v>
      </c>
      <c r="H37" s="45">
        <f t="shared" si="4"/>
        <v>0</v>
      </c>
      <c r="I37" s="45">
        <f t="shared" si="4"/>
        <v>2021.3</v>
      </c>
      <c r="J37" s="46">
        <f t="shared" si="4"/>
        <v>0</v>
      </c>
      <c r="K37" s="45">
        <f>K38</f>
        <v>0</v>
      </c>
      <c r="L37" s="46">
        <f t="shared" si="4"/>
        <v>0</v>
      </c>
      <c r="M37" s="45">
        <f t="shared" si="4"/>
        <v>2021.3</v>
      </c>
      <c r="N37" s="45">
        <f t="shared" si="4"/>
        <v>0</v>
      </c>
      <c r="O37" s="45">
        <f t="shared" si="4"/>
        <v>2021.3</v>
      </c>
    </row>
    <row r="38" spans="1:16" ht="31.5" x14ac:dyDescent="0.2">
      <c r="A38" s="40"/>
      <c r="B38" s="41" t="s">
        <v>38</v>
      </c>
      <c r="C38" s="42" t="s">
        <v>51</v>
      </c>
      <c r="D38" s="43" t="s">
        <v>55</v>
      </c>
      <c r="E38" s="43" t="s">
        <v>60</v>
      </c>
      <c r="F38" s="44" t="s">
        <v>11</v>
      </c>
      <c r="G38" s="45">
        <f>G39</f>
        <v>2021.3</v>
      </c>
      <c r="H38" s="38"/>
      <c r="I38" s="45">
        <f>I39</f>
        <v>2021.3</v>
      </c>
      <c r="J38" s="46">
        <f t="shared" si="4"/>
        <v>0</v>
      </c>
      <c r="K38" s="45"/>
      <c r="L38" s="46">
        <f t="shared" si="4"/>
        <v>0</v>
      </c>
      <c r="M38" s="45">
        <f t="shared" si="4"/>
        <v>2021.3</v>
      </c>
      <c r="N38" s="45">
        <f t="shared" si="4"/>
        <v>0</v>
      </c>
      <c r="O38" s="45">
        <f t="shared" si="4"/>
        <v>2021.3</v>
      </c>
    </row>
    <row r="39" spans="1:16" ht="78.75" x14ac:dyDescent="0.2">
      <c r="A39" s="40"/>
      <c r="B39" s="41" t="s">
        <v>61</v>
      </c>
      <c r="C39" s="42" t="s">
        <v>51</v>
      </c>
      <c r="D39" s="43" t="s">
        <v>55</v>
      </c>
      <c r="E39" s="43" t="s">
        <v>60</v>
      </c>
      <c r="F39" s="44" t="s">
        <v>62</v>
      </c>
      <c r="G39" s="45">
        <v>2021.3</v>
      </c>
      <c r="H39" s="38"/>
      <c r="I39" s="45">
        <f>2021.3+H39</f>
        <v>2021.3</v>
      </c>
      <c r="J39" s="47">
        <v>0</v>
      </c>
      <c r="K39" s="38"/>
      <c r="L39" s="47">
        <v>0</v>
      </c>
      <c r="M39" s="45">
        <v>2021.3</v>
      </c>
      <c r="N39" s="45">
        <f>SUM(H39)</f>
        <v>0</v>
      </c>
      <c r="O39" s="45">
        <f>2021.3+N39</f>
        <v>2021.3</v>
      </c>
    </row>
    <row r="40" spans="1:16" ht="63" x14ac:dyDescent="0.2">
      <c r="A40" s="33" t="s">
        <v>63</v>
      </c>
      <c r="B40" s="34" t="s">
        <v>64</v>
      </c>
      <c r="C40" s="35" t="s">
        <v>51</v>
      </c>
      <c r="D40" s="36" t="s">
        <v>65</v>
      </c>
      <c r="E40" s="36" t="s">
        <v>11</v>
      </c>
      <c r="F40" s="37" t="s">
        <v>11</v>
      </c>
      <c r="G40" s="38">
        <f>G41</f>
        <v>30983.100000000002</v>
      </c>
      <c r="H40" s="45">
        <f>H41+H46</f>
        <v>647.1</v>
      </c>
      <c r="I40" s="38">
        <f>I41</f>
        <v>31630.2</v>
      </c>
      <c r="J40" s="39">
        <f>J41</f>
        <v>768.1</v>
      </c>
      <c r="K40" s="45">
        <f>K41+K46</f>
        <v>0</v>
      </c>
      <c r="L40" s="39">
        <f>L41</f>
        <v>768.1</v>
      </c>
      <c r="M40" s="38">
        <f>M41</f>
        <v>31751.200000000001</v>
      </c>
      <c r="N40" s="38">
        <f>N41</f>
        <v>647.1</v>
      </c>
      <c r="O40" s="78">
        <f>O41</f>
        <v>32398.3</v>
      </c>
    </row>
    <row r="41" spans="1:16" ht="31.5" x14ac:dyDescent="0.2">
      <c r="A41" s="40"/>
      <c r="B41" s="41" t="s">
        <v>66</v>
      </c>
      <c r="C41" s="42" t="s">
        <v>51</v>
      </c>
      <c r="D41" s="43" t="s">
        <v>65</v>
      </c>
      <c r="E41" s="43" t="s">
        <v>67</v>
      </c>
      <c r="F41" s="44" t="s">
        <v>11</v>
      </c>
      <c r="G41" s="45">
        <f>G42+G47</f>
        <v>30983.100000000002</v>
      </c>
      <c r="H41" s="45">
        <f>H42</f>
        <v>647.1</v>
      </c>
      <c r="I41" s="45">
        <f>I42+I47</f>
        <v>31630.2</v>
      </c>
      <c r="J41" s="46">
        <f>J42+J47</f>
        <v>768.1</v>
      </c>
      <c r="K41" s="45">
        <f>K42</f>
        <v>0</v>
      </c>
      <c r="L41" s="46">
        <f>L42+L47</f>
        <v>768.1</v>
      </c>
      <c r="M41" s="45">
        <f>M42+M47</f>
        <v>31751.200000000001</v>
      </c>
      <c r="N41" s="45">
        <f>N42+N47</f>
        <v>647.1</v>
      </c>
      <c r="O41" s="45">
        <f>O42+O47</f>
        <v>32398.3</v>
      </c>
    </row>
    <row r="42" spans="1:16" ht="31.5" x14ac:dyDescent="0.2">
      <c r="A42" s="40"/>
      <c r="B42" s="41" t="s">
        <v>50</v>
      </c>
      <c r="C42" s="42" t="s">
        <v>51</v>
      </c>
      <c r="D42" s="43" t="s">
        <v>65</v>
      </c>
      <c r="E42" s="43" t="s">
        <v>68</v>
      </c>
      <c r="F42" s="44" t="s">
        <v>11</v>
      </c>
      <c r="G42" s="45">
        <f>G43</f>
        <v>30983.100000000002</v>
      </c>
      <c r="H42" s="45">
        <f>H43</f>
        <v>647.1</v>
      </c>
      <c r="I42" s="45">
        <f>I43</f>
        <v>31630.2</v>
      </c>
      <c r="J42" s="46">
        <f>J43</f>
        <v>0</v>
      </c>
      <c r="K42" s="45">
        <f>K43+K44+K45</f>
        <v>0</v>
      </c>
      <c r="L42" s="46">
        <f>L43</f>
        <v>0</v>
      </c>
      <c r="M42" s="45">
        <f>M43</f>
        <v>30983.100000000002</v>
      </c>
      <c r="N42" s="45">
        <f>N43</f>
        <v>647.1</v>
      </c>
      <c r="O42" s="45">
        <f>O43</f>
        <v>31630.2</v>
      </c>
    </row>
    <row r="43" spans="1:16" ht="31.5" x14ac:dyDescent="0.2">
      <c r="A43" s="40"/>
      <c r="B43" s="41" t="s">
        <v>38</v>
      </c>
      <c r="C43" s="42" t="s">
        <v>51</v>
      </c>
      <c r="D43" s="43" t="s">
        <v>65</v>
      </c>
      <c r="E43" s="43" t="s">
        <v>69</v>
      </c>
      <c r="F43" s="44" t="s">
        <v>11</v>
      </c>
      <c r="G43" s="45">
        <f>G44+G45+G46</f>
        <v>30983.100000000002</v>
      </c>
      <c r="H43" s="45">
        <f>SUM(H44)</f>
        <v>647.1</v>
      </c>
      <c r="I43" s="45">
        <f>I44+I45+I46</f>
        <v>31630.2</v>
      </c>
      <c r="J43" s="46">
        <f>J44+J45+J46</f>
        <v>0</v>
      </c>
      <c r="K43" s="45"/>
      <c r="L43" s="46">
        <f>L44+L45+L46</f>
        <v>0</v>
      </c>
      <c r="M43" s="45">
        <f>M44+M45+M46</f>
        <v>30983.100000000002</v>
      </c>
      <c r="N43" s="45">
        <f>N44+N45+N46</f>
        <v>647.1</v>
      </c>
      <c r="O43" s="45">
        <f>O44+O45+O46</f>
        <v>31630.2</v>
      </c>
    </row>
    <row r="44" spans="1:16" ht="78.75" x14ac:dyDescent="0.2">
      <c r="A44" s="40"/>
      <c r="B44" s="41" t="s">
        <v>61</v>
      </c>
      <c r="C44" s="42" t="s">
        <v>51</v>
      </c>
      <c r="D44" s="43" t="s">
        <v>65</v>
      </c>
      <c r="E44" s="43" t="s">
        <v>69</v>
      </c>
      <c r="F44" s="44" t="s">
        <v>62</v>
      </c>
      <c r="G44" s="45">
        <v>30651.7</v>
      </c>
      <c r="H44" s="45">
        <v>647.1</v>
      </c>
      <c r="I44" s="45">
        <f>SUM(G44)+H44</f>
        <v>31298.799999999999</v>
      </c>
      <c r="J44" s="47">
        <v>0</v>
      </c>
      <c r="K44" s="45"/>
      <c r="L44" s="47">
        <v>0</v>
      </c>
      <c r="M44" s="45">
        <f>SUM(G44)</f>
        <v>30651.7</v>
      </c>
      <c r="N44" s="45">
        <f>SUM(H44)</f>
        <v>647.1</v>
      </c>
      <c r="O44" s="45">
        <f>SUM(N44)+M44</f>
        <v>31298.799999999999</v>
      </c>
    </row>
    <row r="45" spans="1:16" ht="31.5" x14ac:dyDescent="0.2">
      <c r="A45" s="40"/>
      <c r="B45" s="41" t="s">
        <v>40</v>
      </c>
      <c r="C45" s="42" t="s">
        <v>51</v>
      </c>
      <c r="D45" s="43" t="s">
        <v>65</v>
      </c>
      <c r="E45" s="43" t="s">
        <v>69</v>
      </c>
      <c r="F45" s="44" t="s">
        <v>41</v>
      </c>
      <c r="G45" s="45">
        <v>291.39999999999998</v>
      </c>
      <c r="H45" s="45"/>
      <c r="I45" s="45">
        <v>291.39999999999998</v>
      </c>
      <c r="J45" s="47">
        <v>0</v>
      </c>
      <c r="K45" s="45"/>
      <c r="L45" s="47">
        <v>0</v>
      </c>
      <c r="M45" s="45">
        <v>291.39999999999998</v>
      </c>
      <c r="N45" s="45"/>
      <c r="O45" s="45">
        <v>291.39999999999998</v>
      </c>
    </row>
    <row r="46" spans="1:16" ht="15.75" x14ac:dyDescent="0.2">
      <c r="A46" s="40"/>
      <c r="B46" s="41" t="s">
        <v>70</v>
      </c>
      <c r="C46" s="42" t="s">
        <v>51</v>
      </c>
      <c r="D46" s="43" t="s">
        <v>65</v>
      </c>
      <c r="E46" s="43" t="s">
        <v>69</v>
      </c>
      <c r="F46" s="44" t="s">
        <v>71</v>
      </c>
      <c r="G46" s="45">
        <v>40</v>
      </c>
      <c r="H46" s="45">
        <f>H51</f>
        <v>0</v>
      </c>
      <c r="I46" s="45">
        <v>40</v>
      </c>
      <c r="J46" s="47">
        <v>0</v>
      </c>
      <c r="K46" s="45">
        <f>K51</f>
        <v>0</v>
      </c>
      <c r="L46" s="47">
        <v>0</v>
      </c>
      <c r="M46" s="45">
        <v>40</v>
      </c>
      <c r="N46" s="45"/>
      <c r="O46" s="45">
        <v>40</v>
      </c>
    </row>
    <row r="47" spans="1:16" ht="31.5" x14ac:dyDescent="0.2">
      <c r="A47" s="40"/>
      <c r="B47" s="41" t="s">
        <v>72</v>
      </c>
      <c r="C47" s="42" t="s">
        <v>51</v>
      </c>
      <c r="D47" s="43" t="s">
        <v>65</v>
      </c>
      <c r="E47" s="43" t="s">
        <v>73</v>
      </c>
      <c r="F47" s="44" t="s">
        <v>11</v>
      </c>
      <c r="G47" s="45">
        <f>G52</f>
        <v>0</v>
      </c>
      <c r="H47" s="45">
        <f>H48</f>
        <v>0</v>
      </c>
      <c r="I47" s="45">
        <f>I52</f>
        <v>0</v>
      </c>
      <c r="J47" s="47">
        <f>J52+J48</f>
        <v>768.1</v>
      </c>
      <c r="K47" s="45">
        <f>K48</f>
        <v>0</v>
      </c>
      <c r="L47" s="47">
        <f>L52+L48</f>
        <v>768.1</v>
      </c>
      <c r="M47" s="45">
        <f>M52+M48</f>
        <v>768.1</v>
      </c>
      <c r="N47" s="45">
        <f>N52</f>
        <v>0</v>
      </c>
      <c r="O47" s="45">
        <f>O52+O48</f>
        <v>768.1</v>
      </c>
    </row>
    <row r="48" spans="1:16" ht="127.9" customHeight="1" x14ac:dyDescent="0.2">
      <c r="A48" s="40"/>
      <c r="B48" s="56" t="s">
        <v>74</v>
      </c>
      <c r="C48" s="42">
        <v>992</v>
      </c>
      <c r="D48" s="43" t="s">
        <v>65</v>
      </c>
      <c r="E48" s="43">
        <v>5220060140</v>
      </c>
      <c r="F48" s="44"/>
      <c r="G48" s="45">
        <f>G49</f>
        <v>0</v>
      </c>
      <c r="H48" s="45">
        <v>0</v>
      </c>
      <c r="I48" s="45">
        <f>I49</f>
        <v>0</v>
      </c>
      <c r="J48" s="47">
        <f>SUM(J50+J49)</f>
        <v>755.7</v>
      </c>
      <c r="K48" s="45">
        <v>0</v>
      </c>
      <c r="L48" s="47">
        <f>SUM(L50+L49)</f>
        <v>755.7</v>
      </c>
      <c r="M48" s="45">
        <f>M49+M50</f>
        <v>755.7</v>
      </c>
      <c r="N48" s="45">
        <f>N49</f>
        <v>0</v>
      </c>
      <c r="O48" s="45">
        <f>O49+O50</f>
        <v>755.7</v>
      </c>
    </row>
    <row r="49" spans="1:16" ht="78.75" x14ac:dyDescent="0.2">
      <c r="A49" s="40"/>
      <c r="B49" s="41" t="s">
        <v>61</v>
      </c>
      <c r="C49" s="42">
        <v>992</v>
      </c>
      <c r="D49" s="43" t="s">
        <v>65</v>
      </c>
      <c r="E49" s="43">
        <v>5220060140</v>
      </c>
      <c r="F49" s="44">
        <v>100</v>
      </c>
      <c r="G49" s="45">
        <v>0</v>
      </c>
      <c r="H49" s="45">
        <v>0</v>
      </c>
      <c r="I49" s="45">
        <v>0</v>
      </c>
      <c r="J49" s="47">
        <v>674.7</v>
      </c>
      <c r="K49" s="45">
        <v>0</v>
      </c>
      <c r="L49" s="47">
        <v>674.7</v>
      </c>
      <c r="M49" s="45">
        <v>674.7</v>
      </c>
      <c r="N49" s="45">
        <v>0</v>
      </c>
      <c r="O49" s="45">
        <v>674.7</v>
      </c>
    </row>
    <row r="50" spans="1:16" ht="31.5" x14ac:dyDescent="0.2">
      <c r="A50" s="40"/>
      <c r="B50" s="41" t="s">
        <v>40</v>
      </c>
      <c r="C50" s="42">
        <v>992</v>
      </c>
      <c r="D50" s="43" t="s">
        <v>65</v>
      </c>
      <c r="E50" s="43">
        <v>5220060140</v>
      </c>
      <c r="F50" s="44">
        <v>200</v>
      </c>
      <c r="G50" s="45">
        <v>0</v>
      </c>
      <c r="H50" s="45"/>
      <c r="I50" s="45">
        <v>0</v>
      </c>
      <c r="J50" s="47">
        <v>81</v>
      </c>
      <c r="K50" s="45"/>
      <c r="L50" s="47">
        <v>81</v>
      </c>
      <c r="M50" s="45">
        <v>81</v>
      </c>
      <c r="N50" s="45">
        <v>0</v>
      </c>
      <c r="O50" s="45">
        <v>81</v>
      </c>
    </row>
    <row r="51" spans="1:16" ht="15.75" hidden="1" x14ac:dyDescent="0.2">
      <c r="A51" s="40"/>
      <c r="B51" s="41"/>
      <c r="C51" s="42"/>
      <c r="D51" s="43"/>
      <c r="E51" s="43"/>
      <c r="F51" s="44"/>
      <c r="G51" s="45"/>
      <c r="H51" s="45">
        <f t="shared" ref="G51:O52" si="5">H52</f>
        <v>0</v>
      </c>
      <c r="I51" s="45"/>
      <c r="J51" s="47"/>
      <c r="K51" s="45">
        <f t="shared" si="5"/>
        <v>0</v>
      </c>
      <c r="L51" s="47"/>
      <c r="M51" s="45"/>
      <c r="N51" s="45"/>
      <c r="O51" s="45"/>
    </row>
    <row r="52" spans="1:16" ht="47.25" x14ac:dyDescent="0.2">
      <c r="A52" s="40"/>
      <c r="B52" s="41" t="s">
        <v>75</v>
      </c>
      <c r="C52" s="42" t="s">
        <v>51</v>
      </c>
      <c r="D52" s="43" t="s">
        <v>65</v>
      </c>
      <c r="E52" s="43" t="s">
        <v>76</v>
      </c>
      <c r="F52" s="44" t="s">
        <v>11</v>
      </c>
      <c r="G52" s="45">
        <f t="shared" si="5"/>
        <v>0</v>
      </c>
      <c r="H52" s="45">
        <v>0</v>
      </c>
      <c r="I52" s="45">
        <f t="shared" si="5"/>
        <v>0</v>
      </c>
      <c r="J52" s="47">
        <f t="shared" si="5"/>
        <v>12.4</v>
      </c>
      <c r="K52" s="45">
        <v>0</v>
      </c>
      <c r="L52" s="47">
        <f t="shared" si="5"/>
        <v>12.4</v>
      </c>
      <c r="M52" s="45">
        <f t="shared" si="5"/>
        <v>12.4</v>
      </c>
      <c r="N52" s="45">
        <f t="shared" si="5"/>
        <v>0</v>
      </c>
      <c r="O52" s="45">
        <f t="shared" si="5"/>
        <v>12.4</v>
      </c>
    </row>
    <row r="53" spans="1:16" ht="31.5" x14ac:dyDescent="0.2">
      <c r="A53" s="40"/>
      <c r="B53" s="41" t="s">
        <v>40</v>
      </c>
      <c r="C53" s="42" t="s">
        <v>51</v>
      </c>
      <c r="D53" s="43" t="s">
        <v>65</v>
      </c>
      <c r="E53" s="43" t="s">
        <v>76</v>
      </c>
      <c r="F53" s="44" t="s">
        <v>41</v>
      </c>
      <c r="G53" s="45">
        <v>0</v>
      </c>
      <c r="H53" s="38"/>
      <c r="I53" s="45">
        <v>0</v>
      </c>
      <c r="J53" s="47">
        <v>12.4</v>
      </c>
      <c r="K53" s="38"/>
      <c r="L53" s="47">
        <v>12.4</v>
      </c>
      <c r="M53" s="45">
        <v>12.4</v>
      </c>
      <c r="N53" s="45">
        <v>0</v>
      </c>
      <c r="O53" s="45">
        <v>12.4</v>
      </c>
    </row>
    <row r="54" spans="1:16" ht="15.75" x14ac:dyDescent="0.2">
      <c r="A54" s="33" t="s">
        <v>77</v>
      </c>
      <c r="B54" s="34" t="s">
        <v>78</v>
      </c>
      <c r="C54" s="35" t="s">
        <v>51</v>
      </c>
      <c r="D54" s="36" t="s">
        <v>79</v>
      </c>
      <c r="E54" s="36" t="s">
        <v>11</v>
      </c>
      <c r="F54" s="37" t="s">
        <v>11</v>
      </c>
      <c r="G54" s="38">
        <f t="shared" ref="G54:O57" si="6">G55</f>
        <v>2091.1999999999998</v>
      </c>
      <c r="H54" s="45">
        <f t="shared" si="6"/>
        <v>0</v>
      </c>
      <c r="I54" s="38">
        <f t="shared" si="6"/>
        <v>2091.1999999999998</v>
      </c>
      <c r="J54" s="39">
        <f t="shared" si="6"/>
        <v>0</v>
      </c>
      <c r="K54" s="45">
        <f>K55</f>
        <v>0</v>
      </c>
      <c r="L54" s="39">
        <f t="shared" si="6"/>
        <v>0</v>
      </c>
      <c r="M54" s="38">
        <f t="shared" si="6"/>
        <v>2091.1999999999998</v>
      </c>
      <c r="N54" s="38">
        <f t="shared" si="6"/>
        <v>0</v>
      </c>
      <c r="O54" s="79">
        <f t="shared" si="6"/>
        <v>2091.1999999999998</v>
      </c>
    </row>
    <row r="55" spans="1:16" ht="31.5" x14ac:dyDescent="0.2">
      <c r="A55" s="40"/>
      <c r="B55" s="41" t="s">
        <v>66</v>
      </c>
      <c r="C55" s="42" t="s">
        <v>51</v>
      </c>
      <c r="D55" s="43" t="s">
        <v>79</v>
      </c>
      <c r="E55" s="43" t="s">
        <v>67</v>
      </c>
      <c r="F55" s="44" t="s">
        <v>11</v>
      </c>
      <c r="G55" s="45">
        <f t="shared" si="6"/>
        <v>2091.1999999999998</v>
      </c>
      <c r="H55" s="45">
        <f t="shared" si="6"/>
        <v>0</v>
      </c>
      <c r="I55" s="45">
        <f t="shared" si="6"/>
        <v>2091.1999999999998</v>
      </c>
      <c r="J55" s="46">
        <f t="shared" si="6"/>
        <v>0</v>
      </c>
      <c r="K55" s="45">
        <f>K56</f>
        <v>0</v>
      </c>
      <c r="L55" s="46">
        <f t="shared" si="6"/>
        <v>0</v>
      </c>
      <c r="M55" s="45">
        <f t="shared" si="6"/>
        <v>2091.1999999999998</v>
      </c>
      <c r="N55" s="45">
        <f t="shared" si="6"/>
        <v>0</v>
      </c>
      <c r="O55" s="60">
        <f t="shared" si="6"/>
        <v>2091.1999999999998</v>
      </c>
    </row>
    <row r="56" spans="1:16" ht="31.5" x14ac:dyDescent="0.2">
      <c r="A56" s="40"/>
      <c r="B56" s="41" t="s">
        <v>80</v>
      </c>
      <c r="C56" s="42" t="s">
        <v>51</v>
      </c>
      <c r="D56" s="43" t="s">
        <v>79</v>
      </c>
      <c r="E56" s="43" t="s">
        <v>81</v>
      </c>
      <c r="F56" s="44" t="s">
        <v>11</v>
      </c>
      <c r="G56" s="45">
        <f t="shared" si="6"/>
        <v>2091.1999999999998</v>
      </c>
      <c r="H56" s="45">
        <f t="shared" si="6"/>
        <v>0</v>
      </c>
      <c r="I56" s="45">
        <f t="shared" si="6"/>
        <v>2091.1999999999998</v>
      </c>
      <c r="J56" s="46">
        <f t="shared" si="6"/>
        <v>0</v>
      </c>
      <c r="K56" s="45">
        <f>K57</f>
        <v>0</v>
      </c>
      <c r="L56" s="46">
        <f t="shared" si="6"/>
        <v>0</v>
      </c>
      <c r="M56" s="45">
        <f t="shared" si="6"/>
        <v>2091.1999999999998</v>
      </c>
      <c r="N56" s="45">
        <f t="shared" si="6"/>
        <v>0</v>
      </c>
      <c r="O56" s="60">
        <f t="shared" si="6"/>
        <v>2091.1999999999998</v>
      </c>
    </row>
    <row r="57" spans="1:16" ht="31.5" x14ac:dyDescent="0.2">
      <c r="A57" s="40"/>
      <c r="B57" s="41" t="s">
        <v>82</v>
      </c>
      <c r="C57" s="42" t="s">
        <v>51</v>
      </c>
      <c r="D57" s="43" t="s">
        <v>79</v>
      </c>
      <c r="E57" s="43" t="s">
        <v>83</v>
      </c>
      <c r="F57" s="44" t="s">
        <v>11</v>
      </c>
      <c r="G57" s="45">
        <f>G58</f>
        <v>2091.1999999999998</v>
      </c>
      <c r="H57" s="79"/>
      <c r="I57" s="45">
        <f>I58</f>
        <v>2091.1999999999998</v>
      </c>
      <c r="J57" s="46">
        <f t="shared" si="6"/>
        <v>0</v>
      </c>
      <c r="K57" s="45"/>
      <c r="L57" s="46">
        <f t="shared" si="6"/>
        <v>0</v>
      </c>
      <c r="M57" s="45">
        <f t="shared" si="6"/>
        <v>2091.1999999999998</v>
      </c>
      <c r="N57" s="45">
        <f t="shared" si="6"/>
        <v>0</v>
      </c>
      <c r="O57" s="60">
        <f t="shared" si="6"/>
        <v>2091.1999999999998</v>
      </c>
    </row>
    <row r="58" spans="1:16" ht="15.75" x14ac:dyDescent="0.2">
      <c r="A58" s="40"/>
      <c r="B58" s="41" t="s">
        <v>70</v>
      </c>
      <c r="C58" s="42" t="s">
        <v>51</v>
      </c>
      <c r="D58" s="43" t="s">
        <v>79</v>
      </c>
      <c r="E58" s="43" t="s">
        <v>83</v>
      </c>
      <c r="F58" s="44" t="s">
        <v>71</v>
      </c>
      <c r="G58" s="45">
        <v>2091.1999999999998</v>
      </c>
      <c r="H58" s="79"/>
      <c r="I58" s="45">
        <f>SUM(G58)+H58</f>
        <v>2091.1999999999998</v>
      </c>
      <c r="J58" s="47">
        <v>0</v>
      </c>
      <c r="K58" s="38"/>
      <c r="L58" s="47">
        <v>0</v>
      </c>
      <c r="M58" s="45">
        <f>SUM(G58)</f>
        <v>2091.1999999999998</v>
      </c>
      <c r="N58" s="45">
        <f>SUM(H58)</f>
        <v>0</v>
      </c>
      <c r="O58" s="60">
        <f>SUM(I58)</f>
        <v>2091.1999999999998</v>
      </c>
    </row>
    <row r="59" spans="1:16" ht="15.75" x14ac:dyDescent="0.2">
      <c r="A59" s="33" t="s">
        <v>84</v>
      </c>
      <c r="B59" s="34" t="s">
        <v>85</v>
      </c>
      <c r="C59" s="35" t="s">
        <v>51</v>
      </c>
      <c r="D59" s="36" t="s">
        <v>86</v>
      </c>
      <c r="E59" s="36" t="s">
        <v>11</v>
      </c>
      <c r="F59" s="37" t="s">
        <v>11</v>
      </c>
      <c r="G59" s="38">
        <f>G60+G65+G70+G86+G104</f>
        <v>56865.5</v>
      </c>
      <c r="H59" s="45">
        <f>H60+H105+H86</f>
        <v>698.5</v>
      </c>
      <c r="I59" s="38">
        <f>I60+I65+I70+I86+I104</f>
        <v>57563.999999999993</v>
      </c>
      <c r="J59" s="39">
        <f>J60+J65+J70+J86+J104</f>
        <v>0</v>
      </c>
      <c r="K59" s="45">
        <f>K60</f>
        <v>0</v>
      </c>
      <c r="L59" s="39">
        <f>L60+L65+L70+L86+L104</f>
        <v>0</v>
      </c>
      <c r="M59" s="38">
        <f>M60+M65+M70+M86+M104</f>
        <v>56865.5</v>
      </c>
      <c r="N59" s="38">
        <f>N60+N65+N70+N86+N104</f>
        <v>698.5</v>
      </c>
      <c r="O59" s="78">
        <f>O60+O65+O70+O86+O104</f>
        <v>57563.999999999993</v>
      </c>
      <c r="P59" s="15"/>
    </row>
    <row r="60" spans="1:16" ht="31.5" x14ac:dyDescent="0.2">
      <c r="A60" s="40"/>
      <c r="B60" s="41" t="s">
        <v>87</v>
      </c>
      <c r="C60" s="42" t="s">
        <v>51</v>
      </c>
      <c r="D60" s="43" t="s">
        <v>86</v>
      </c>
      <c r="E60" s="43" t="s">
        <v>88</v>
      </c>
      <c r="F60" s="44" t="s">
        <v>11</v>
      </c>
      <c r="G60" s="45">
        <f t="shared" ref="G60:O63" si="7">G61</f>
        <v>80</v>
      </c>
      <c r="H60" s="45">
        <f t="shared" si="7"/>
        <v>0</v>
      </c>
      <c r="I60" s="45">
        <f t="shared" si="7"/>
        <v>80</v>
      </c>
      <c r="J60" s="46">
        <f t="shared" si="7"/>
        <v>0</v>
      </c>
      <c r="K60" s="45">
        <f>K61</f>
        <v>0</v>
      </c>
      <c r="L60" s="46">
        <f t="shared" si="7"/>
        <v>0</v>
      </c>
      <c r="M60" s="45">
        <f t="shared" si="7"/>
        <v>80</v>
      </c>
      <c r="N60" s="45">
        <f t="shared" si="7"/>
        <v>0</v>
      </c>
      <c r="O60" s="45">
        <f t="shared" si="7"/>
        <v>80</v>
      </c>
    </row>
    <row r="61" spans="1:16" ht="47.25" x14ac:dyDescent="0.2">
      <c r="A61" s="40"/>
      <c r="B61" s="41" t="s">
        <v>89</v>
      </c>
      <c r="C61" s="42" t="s">
        <v>51</v>
      </c>
      <c r="D61" s="43" t="s">
        <v>86</v>
      </c>
      <c r="E61" s="43" t="s">
        <v>90</v>
      </c>
      <c r="F61" s="44" t="s">
        <v>11</v>
      </c>
      <c r="G61" s="45">
        <f t="shared" si="7"/>
        <v>80</v>
      </c>
      <c r="H61" s="45">
        <f t="shared" si="7"/>
        <v>0</v>
      </c>
      <c r="I61" s="45">
        <f t="shared" si="7"/>
        <v>80</v>
      </c>
      <c r="J61" s="46">
        <f t="shared" si="7"/>
        <v>0</v>
      </c>
      <c r="K61" s="45">
        <f>K62</f>
        <v>0</v>
      </c>
      <c r="L61" s="46">
        <f t="shared" si="7"/>
        <v>0</v>
      </c>
      <c r="M61" s="45">
        <f t="shared" si="7"/>
        <v>80</v>
      </c>
      <c r="N61" s="45">
        <f t="shared" si="7"/>
        <v>0</v>
      </c>
      <c r="O61" s="45">
        <f t="shared" si="7"/>
        <v>80</v>
      </c>
    </row>
    <row r="62" spans="1:16" ht="78.75" x14ac:dyDescent="0.2">
      <c r="A62" s="40"/>
      <c r="B62" s="41" t="s">
        <v>91</v>
      </c>
      <c r="C62" s="42" t="s">
        <v>51</v>
      </c>
      <c r="D62" s="43" t="s">
        <v>86</v>
      </c>
      <c r="E62" s="43" t="s">
        <v>92</v>
      </c>
      <c r="F62" s="44" t="s">
        <v>11</v>
      </c>
      <c r="G62" s="45">
        <f t="shared" si="7"/>
        <v>80</v>
      </c>
      <c r="H62" s="45">
        <f t="shared" si="7"/>
        <v>0</v>
      </c>
      <c r="I62" s="45">
        <f t="shared" si="7"/>
        <v>80</v>
      </c>
      <c r="J62" s="46">
        <f t="shared" si="7"/>
        <v>0</v>
      </c>
      <c r="K62" s="45">
        <f>K63</f>
        <v>0</v>
      </c>
      <c r="L62" s="46">
        <f t="shared" si="7"/>
        <v>0</v>
      </c>
      <c r="M62" s="45">
        <f t="shared" si="7"/>
        <v>80</v>
      </c>
      <c r="N62" s="45">
        <f t="shared" si="7"/>
        <v>0</v>
      </c>
      <c r="O62" s="45">
        <f t="shared" si="7"/>
        <v>80</v>
      </c>
    </row>
    <row r="63" spans="1:16" ht="47.25" x14ac:dyDescent="0.2">
      <c r="A63" s="40"/>
      <c r="B63" s="41" t="s">
        <v>93</v>
      </c>
      <c r="C63" s="42" t="s">
        <v>51</v>
      </c>
      <c r="D63" s="43" t="s">
        <v>86</v>
      </c>
      <c r="E63" s="43" t="s">
        <v>94</v>
      </c>
      <c r="F63" s="44" t="s">
        <v>11</v>
      </c>
      <c r="G63" s="45">
        <f>G64</f>
        <v>80</v>
      </c>
      <c r="H63" s="45"/>
      <c r="I63" s="45">
        <f>I64</f>
        <v>80</v>
      </c>
      <c r="J63" s="46">
        <f t="shared" si="7"/>
        <v>0</v>
      </c>
      <c r="K63" s="45"/>
      <c r="L63" s="46">
        <f t="shared" si="7"/>
        <v>0</v>
      </c>
      <c r="M63" s="45">
        <f t="shared" si="7"/>
        <v>80</v>
      </c>
      <c r="N63" s="45">
        <f t="shared" si="7"/>
        <v>0</v>
      </c>
      <c r="O63" s="45">
        <f t="shared" si="7"/>
        <v>80</v>
      </c>
    </row>
    <row r="64" spans="1:16" ht="47.25" x14ac:dyDescent="0.2">
      <c r="A64" s="40"/>
      <c r="B64" s="41" t="s">
        <v>95</v>
      </c>
      <c r="C64" s="42" t="s">
        <v>51</v>
      </c>
      <c r="D64" s="43" t="s">
        <v>86</v>
      </c>
      <c r="E64" s="43" t="s">
        <v>94</v>
      </c>
      <c r="F64" s="44" t="s">
        <v>96</v>
      </c>
      <c r="G64" s="45">
        <v>80</v>
      </c>
      <c r="H64" s="45"/>
      <c r="I64" s="45">
        <v>80</v>
      </c>
      <c r="J64" s="47"/>
      <c r="K64" s="45"/>
      <c r="L64" s="47"/>
      <c r="M64" s="45">
        <v>80</v>
      </c>
      <c r="N64" s="45"/>
      <c r="O64" s="45">
        <v>80</v>
      </c>
    </row>
    <row r="65" spans="1:15" ht="31.5" x14ac:dyDescent="0.2">
      <c r="A65" s="40"/>
      <c r="B65" s="41" t="s">
        <v>97</v>
      </c>
      <c r="C65" s="42" t="s">
        <v>51</v>
      </c>
      <c r="D65" s="43" t="s">
        <v>86</v>
      </c>
      <c r="E65" s="43" t="s">
        <v>98</v>
      </c>
      <c r="F65" s="44" t="s">
        <v>11</v>
      </c>
      <c r="G65" s="45">
        <f t="shared" ref="G65:O68" si="8">G66</f>
        <v>3500</v>
      </c>
      <c r="H65" s="45">
        <f t="shared" si="8"/>
        <v>0</v>
      </c>
      <c r="I65" s="45">
        <f t="shared" si="8"/>
        <v>3500</v>
      </c>
      <c r="J65" s="46">
        <f t="shared" si="8"/>
        <v>0</v>
      </c>
      <c r="K65" s="45">
        <f>K66</f>
        <v>0</v>
      </c>
      <c r="L65" s="46">
        <f t="shared" si="8"/>
        <v>0</v>
      </c>
      <c r="M65" s="45">
        <f t="shared" si="8"/>
        <v>3500</v>
      </c>
      <c r="N65" s="45">
        <f t="shared" si="8"/>
        <v>0</v>
      </c>
      <c r="O65" s="45">
        <f t="shared" si="8"/>
        <v>3500</v>
      </c>
    </row>
    <row r="66" spans="1:15" ht="15.75" x14ac:dyDescent="0.2">
      <c r="A66" s="40"/>
      <c r="B66" s="41" t="s">
        <v>99</v>
      </c>
      <c r="C66" s="42" t="s">
        <v>51</v>
      </c>
      <c r="D66" s="43" t="s">
        <v>86</v>
      </c>
      <c r="E66" s="43" t="s">
        <v>100</v>
      </c>
      <c r="F66" s="44" t="s">
        <v>11</v>
      </c>
      <c r="G66" s="45">
        <f t="shared" si="8"/>
        <v>3500</v>
      </c>
      <c r="H66" s="45">
        <f t="shared" si="8"/>
        <v>0</v>
      </c>
      <c r="I66" s="45">
        <f t="shared" si="8"/>
        <v>3500</v>
      </c>
      <c r="J66" s="46">
        <f t="shared" si="8"/>
        <v>0</v>
      </c>
      <c r="K66" s="45">
        <f>K67</f>
        <v>0</v>
      </c>
      <c r="L66" s="46">
        <f t="shared" si="8"/>
        <v>0</v>
      </c>
      <c r="M66" s="45">
        <f t="shared" si="8"/>
        <v>3500</v>
      </c>
      <c r="N66" s="45">
        <f t="shared" si="8"/>
        <v>0</v>
      </c>
      <c r="O66" s="45">
        <f t="shared" si="8"/>
        <v>3500</v>
      </c>
    </row>
    <row r="67" spans="1:15" ht="31.5" x14ac:dyDescent="0.2">
      <c r="A67" s="40"/>
      <c r="B67" s="41" t="s">
        <v>101</v>
      </c>
      <c r="C67" s="42" t="s">
        <v>51</v>
      </c>
      <c r="D67" s="43" t="s">
        <v>86</v>
      </c>
      <c r="E67" s="43" t="s">
        <v>102</v>
      </c>
      <c r="F67" s="44" t="s">
        <v>11</v>
      </c>
      <c r="G67" s="45">
        <f t="shared" si="8"/>
        <v>3500</v>
      </c>
      <c r="H67" s="45">
        <f t="shared" si="8"/>
        <v>0</v>
      </c>
      <c r="I67" s="45">
        <f t="shared" si="8"/>
        <v>3500</v>
      </c>
      <c r="J67" s="46">
        <f t="shared" si="8"/>
        <v>0</v>
      </c>
      <c r="K67" s="45">
        <f>K68</f>
        <v>0</v>
      </c>
      <c r="L67" s="46">
        <f t="shared" si="8"/>
        <v>0</v>
      </c>
      <c r="M67" s="45">
        <f t="shared" si="8"/>
        <v>3500</v>
      </c>
      <c r="N67" s="45">
        <f t="shared" si="8"/>
        <v>0</v>
      </c>
      <c r="O67" s="45">
        <f t="shared" si="8"/>
        <v>3500</v>
      </c>
    </row>
    <row r="68" spans="1:15" ht="36.6" customHeight="1" x14ac:dyDescent="0.2">
      <c r="A68" s="40"/>
      <c r="B68" s="41" t="s">
        <v>103</v>
      </c>
      <c r="C68" s="42" t="s">
        <v>51</v>
      </c>
      <c r="D68" s="43" t="s">
        <v>86</v>
      </c>
      <c r="E68" s="43" t="s">
        <v>104</v>
      </c>
      <c r="F68" s="44" t="s">
        <v>11</v>
      </c>
      <c r="G68" s="45">
        <f>G69</f>
        <v>3500</v>
      </c>
      <c r="H68" s="45"/>
      <c r="I68" s="45">
        <f>I69</f>
        <v>3500</v>
      </c>
      <c r="J68" s="46">
        <f t="shared" si="8"/>
        <v>0</v>
      </c>
      <c r="K68" s="45"/>
      <c r="L68" s="46">
        <f t="shared" si="8"/>
        <v>0</v>
      </c>
      <c r="M68" s="45">
        <f t="shared" si="8"/>
        <v>3500</v>
      </c>
      <c r="N68" s="45">
        <f t="shared" si="8"/>
        <v>0</v>
      </c>
      <c r="O68" s="45">
        <f t="shared" si="8"/>
        <v>3500</v>
      </c>
    </row>
    <row r="69" spans="1:15" ht="31.5" x14ac:dyDescent="0.2">
      <c r="A69" s="40"/>
      <c r="B69" s="41" t="s">
        <v>40</v>
      </c>
      <c r="C69" s="42" t="s">
        <v>51</v>
      </c>
      <c r="D69" s="43" t="s">
        <v>86</v>
      </c>
      <c r="E69" s="43" t="s">
        <v>104</v>
      </c>
      <c r="F69" s="44" t="s">
        <v>41</v>
      </c>
      <c r="G69" s="45">
        <v>3500</v>
      </c>
      <c r="H69" s="45"/>
      <c r="I69" s="45">
        <v>3500</v>
      </c>
      <c r="J69" s="47">
        <v>0</v>
      </c>
      <c r="K69" s="45"/>
      <c r="L69" s="47">
        <v>0</v>
      </c>
      <c r="M69" s="45">
        <v>3500</v>
      </c>
      <c r="N69" s="45"/>
      <c r="O69" s="45">
        <v>3500</v>
      </c>
    </row>
    <row r="70" spans="1:15" ht="47.25" x14ac:dyDescent="0.2">
      <c r="A70" s="40"/>
      <c r="B70" s="41" t="s">
        <v>105</v>
      </c>
      <c r="C70" s="42" t="s">
        <v>51</v>
      </c>
      <c r="D70" s="43" t="s">
        <v>86</v>
      </c>
      <c r="E70" s="43" t="s">
        <v>106</v>
      </c>
      <c r="F70" s="44" t="s">
        <v>11</v>
      </c>
      <c r="G70" s="45">
        <f>G71+G77+G81</f>
        <v>5172</v>
      </c>
      <c r="H70" s="45">
        <f>H71</f>
        <v>0</v>
      </c>
      <c r="I70" s="45">
        <f>I71+I77+I81</f>
        <v>5172</v>
      </c>
      <c r="J70" s="46">
        <f>J71+J77+J81</f>
        <v>0</v>
      </c>
      <c r="K70" s="45">
        <f>K71</f>
        <v>0</v>
      </c>
      <c r="L70" s="46">
        <f>L71+L77+L81</f>
        <v>0</v>
      </c>
      <c r="M70" s="45">
        <f>M71+M77+M81</f>
        <v>5172</v>
      </c>
      <c r="N70" s="45">
        <f>N71+N77+N81</f>
        <v>0</v>
      </c>
      <c r="O70" s="45">
        <f>O71+O77+O81</f>
        <v>5172</v>
      </c>
    </row>
    <row r="71" spans="1:15" ht="31.5" x14ac:dyDescent="0.2">
      <c r="A71" s="40"/>
      <c r="B71" s="41" t="s">
        <v>107</v>
      </c>
      <c r="C71" s="42" t="s">
        <v>51</v>
      </c>
      <c r="D71" s="43" t="s">
        <v>86</v>
      </c>
      <c r="E71" s="43" t="s">
        <v>108</v>
      </c>
      <c r="F71" s="44" t="s">
        <v>11</v>
      </c>
      <c r="G71" s="45">
        <f>G72</f>
        <v>2422</v>
      </c>
      <c r="H71" s="45">
        <f>H72+H74</f>
        <v>0</v>
      </c>
      <c r="I71" s="45">
        <f>I72</f>
        <v>2422</v>
      </c>
      <c r="J71" s="46">
        <f>J72</f>
        <v>0</v>
      </c>
      <c r="K71" s="45">
        <f>K72+K74</f>
        <v>0</v>
      </c>
      <c r="L71" s="46">
        <f>L72</f>
        <v>0</v>
      </c>
      <c r="M71" s="45">
        <f>M72</f>
        <v>2422</v>
      </c>
      <c r="N71" s="45">
        <f>N72</f>
        <v>0</v>
      </c>
      <c r="O71" s="45">
        <f>O72</f>
        <v>2422</v>
      </c>
    </row>
    <row r="72" spans="1:15" ht="31.5" x14ac:dyDescent="0.2">
      <c r="A72" s="40"/>
      <c r="B72" s="41" t="s">
        <v>109</v>
      </c>
      <c r="C72" s="42" t="s">
        <v>51</v>
      </c>
      <c r="D72" s="43" t="s">
        <v>86</v>
      </c>
      <c r="E72" s="43" t="s">
        <v>110</v>
      </c>
      <c r="F72" s="44" t="s">
        <v>11</v>
      </c>
      <c r="G72" s="45">
        <f>G73+G75</f>
        <v>2422</v>
      </c>
      <c r="H72" s="45">
        <f>H73</f>
        <v>0</v>
      </c>
      <c r="I72" s="45">
        <f>I73+I75</f>
        <v>2422</v>
      </c>
      <c r="J72" s="46">
        <f>J73+J75</f>
        <v>0</v>
      </c>
      <c r="K72" s="45">
        <f>K73</f>
        <v>0</v>
      </c>
      <c r="L72" s="46">
        <f>L73+L75</f>
        <v>0</v>
      </c>
      <c r="M72" s="45">
        <f>M73+M75</f>
        <v>2422</v>
      </c>
      <c r="N72" s="45">
        <f>N73+N75</f>
        <v>0</v>
      </c>
      <c r="O72" s="45">
        <f>O73+O75</f>
        <v>2422</v>
      </c>
    </row>
    <row r="73" spans="1:15" ht="31.5" x14ac:dyDescent="0.2">
      <c r="A73" s="40"/>
      <c r="B73" s="41" t="s">
        <v>107</v>
      </c>
      <c r="C73" s="42" t="s">
        <v>51</v>
      </c>
      <c r="D73" s="43" t="s">
        <v>86</v>
      </c>
      <c r="E73" s="43" t="s">
        <v>111</v>
      </c>
      <c r="F73" s="44" t="s">
        <v>11</v>
      </c>
      <c r="G73" s="45">
        <f>G74</f>
        <v>2412</v>
      </c>
      <c r="H73" s="45"/>
      <c r="I73" s="45">
        <f>I74</f>
        <v>2412</v>
      </c>
      <c r="J73" s="46">
        <f>J74</f>
        <v>0</v>
      </c>
      <c r="K73" s="45"/>
      <c r="L73" s="46">
        <f>L74</f>
        <v>0</v>
      </c>
      <c r="M73" s="45">
        <f>M74</f>
        <v>2412</v>
      </c>
      <c r="N73" s="45">
        <f>N74</f>
        <v>0</v>
      </c>
      <c r="O73" s="45">
        <f>O74</f>
        <v>2412</v>
      </c>
    </row>
    <row r="74" spans="1:15" ht="31.5" x14ac:dyDescent="0.2">
      <c r="A74" s="40"/>
      <c r="B74" s="41" t="s">
        <v>112</v>
      </c>
      <c r="C74" s="42" t="s">
        <v>51</v>
      </c>
      <c r="D74" s="43" t="s">
        <v>86</v>
      </c>
      <c r="E74" s="43" t="s">
        <v>111</v>
      </c>
      <c r="F74" s="44" t="s">
        <v>113</v>
      </c>
      <c r="G74" s="45">
        <v>2412</v>
      </c>
      <c r="H74" s="45"/>
      <c r="I74" s="45">
        <v>2412</v>
      </c>
      <c r="J74" s="47">
        <v>0</v>
      </c>
      <c r="K74" s="45"/>
      <c r="L74" s="47">
        <v>0</v>
      </c>
      <c r="M74" s="45">
        <v>2412</v>
      </c>
      <c r="N74" s="45"/>
      <c r="O74" s="45">
        <v>2412</v>
      </c>
    </row>
    <row r="75" spans="1:15" ht="31.5" x14ac:dyDescent="0.2">
      <c r="A75" s="40"/>
      <c r="B75" s="41" t="s">
        <v>114</v>
      </c>
      <c r="C75" s="42" t="s">
        <v>51</v>
      </c>
      <c r="D75" s="43" t="s">
        <v>86</v>
      </c>
      <c r="E75" s="43" t="s">
        <v>115</v>
      </c>
      <c r="F75" s="44" t="s">
        <v>11</v>
      </c>
      <c r="G75" s="45">
        <f>G76</f>
        <v>10</v>
      </c>
      <c r="H75" s="45"/>
      <c r="I75" s="45">
        <f>I76</f>
        <v>10</v>
      </c>
      <c r="J75" s="46">
        <f>J76</f>
        <v>0</v>
      </c>
      <c r="K75" s="45"/>
      <c r="L75" s="46">
        <f>L76</f>
        <v>0</v>
      </c>
      <c r="M75" s="45">
        <f>M76</f>
        <v>10</v>
      </c>
      <c r="N75" s="45">
        <f>N76</f>
        <v>0</v>
      </c>
      <c r="O75" s="45">
        <f>O76</f>
        <v>10</v>
      </c>
    </row>
    <row r="76" spans="1:15" ht="31.5" x14ac:dyDescent="0.2">
      <c r="A76" s="40"/>
      <c r="B76" s="41" t="s">
        <v>112</v>
      </c>
      <c r="C76" s="42" t="s">
        <v>51</v>
      </c>
      <c r="D76" s="43" t="s">
        <v>86</v>
      </c>
      <c r="E76" s="43" t="s">
        <v>115</v>
      </c>
      <c r="F76" s="44" t="s">
        <v>113</v>
      </c>
      <c r="G76" s="45">
        <v>10</v>
      </c>
      <c r="H76" s="45"/>
      <c r="I76" s="45">
        <v>10</v>
      </c>
      <c r="J76" s="47">
        <v>0</v>
      </c>
      <c r="K76" s="45"/>
      <c r="L76" s="47">
        <v>0</v>
      </c>
      <c r="M76" s="45">
        <v>10</v>
      </c>
      <c r="N76" s="45"/>
      <c r="O76" s="45">
        <v>10</v>
      </c>
    </row>
    <row r="77" spans="1:15" ht="31.5" x14ac:dyDescent="0.2">
      <c r="A77" s="40"/>
      <c r="B77" s="41" t="s">
        <v>116</v>
      </c>
      <c r="C77" s="42" t="s">
        <v>51</v>
      </c>
      <c r="D77" s="43" t="s">
        <v>86</v>
      </c>
      <c r="E77" s="43" t="s">
        <v>117</v>
      </c>
      <c r="F77" s="44" t="s">
        <v>11</v>
      </c>
      <c r="G77" s="45">
        <f t="shared" ref="G77:O79" si="9">G78</f>
        <v>150</v>
      </c>
      <c r="H77" s="45">
        <f t="shared" si="9"/>
        <v>0</v>
      </c>
      <c r="I77" s="45">
        <f t="shared" si="9"/>
        <v>150</v>
      </c>
      <c r="J77" s="46">
        <f t="shared" si="9"/>
        <v>0</v>
      </c>
      <c r="K77" s="45">
        <f>K78</f>
        <v>0</v>
      </c>
      <c r="L77" s="46">
        <f t="shared" si="9"/>
        <v>0</v>
      </c>
      <c r="M77" s="45">
        <f t="shared" si="9"/>
        <v>150</v>
      </c>
      <c r="N77" s="45">
        <f t="shared" si="9"/>
        <v>0</v>
      </c>
      <c r="O77" s="45">
        <f t="shared" si="9"/>
        <v>150</v>
      </c>
    </row>
    <row r="78" spans="1:15" ht="63" x14ac:dyDescent="0.2">
      <c r="A78" s="40"/>
      <c r="B78" s="41" t="s">
        <v>118</v>
      </c>
      <c r="C78" s="42" t="s">
        <v>51</v>
      </c>
      <c r="D78" s="43" t="s">
        <v>86</v>
      </c>
      <c r="E78" s="43" t="s">
        <v>119</v>
      </c>
      <c r="F78" s="44" t="s">
        <v>11</v>
      </c>
      <c r="G78" s="45">
        <f t="shared" si="9"/>
        <v>150</v>
      </c>
      <c r="H78" s="45">
        <f t="shared" si="9"/>
        <v>0</v>
      </c>
      <c r="I78" s="45">
        <f t="shared" si="9"/>
        <v>150</v>
      </c>
      <c r="J78" s="46">
        <f t="shared" si="9"/>
        <v>0</v>
      </c>
      <c r="K78" s="45">
        <f>K79</f>
        <v>0</v>
      </c>
      <c r="L78" s="46">
        <f t="shared" si="9"/>
        <v>0</v>
      </c>
      <c r="M78" s="45">
        <f t="shared" si="9"/>
        <v>150</v>
      </c>
      <c r="N78" s="45">
        <f t="shared" si="9"/>
        <v>0</v>
      </c>
      <c r="O78" s="45">
        <f t="shared" si="9"/>
        <v>150</v>
      </c>
    </row>
    <row r="79" spans="1:15" ht="47.25" x14ac:dyDescent="0.2">
      <c r="A79" s="40"/>
      <c r="B79" s="41" t="s">
        <v>120</v>
      </c>
      <c r="C79" s="42" t="s">
        <v>51</v>
      </c>
      <c r="D79" s="43" t="s">
        <v>86</v>
      </c>
      <c r="E79" s="43" t="s">
        <v>121</v>
      </c>
      <c r="F79" s="44" t="s">
        <v>11</v>
      </c>
      <c r="G79" s="45">
        <f>G80</f>
        <v>150</v>
      </c>
      <c r="H79" s="45"/>
      <c r="I79" s="45">
        <f>I80</f>
        <v>150</v>
      </c>
      <c r="J79" s="46">
        <f t="shared" si="9"/>
        <v>0</v>
      </c>
      <c r="K79" s="45"/>
      <c r="L79" s="46">
        <f t="shared" si="9"/>
        <v>0</v>
      </c>
      <c r="M79" s="45">
        <f t="shared" si="9"/>
        <v>150</v>
      </c>
      <c r="N79" s="45">
        <f t="shared" si="9"/>
        <v>0</v>
      </c>
      <c r="O79" s="45">
        <f t="shared" si="9"/>
        <v>150</v>
      </c>
    </row>
    <row r="80" spans="1:15" ht="31.5" x14ac:dyDescent="0.2">
      <c r="A80" s="40"/>
      <c r="B80" s="41" t="s">
        <v>40</v>
      </c>
      <c r="C80" s="42" t="s">
        <v>51</v>
      </c>
      <c r="D80" s="43" t="s">
        <v>86</v>
      </c>
      <c r="E80" s="43" t="s">
        <v>121</v>
      </c>
      <c r="F80" s="44" t="s">
        <v>41</v>
      </c>
      <c r="G80" s="45">
        <v>150</v>
      </c>
      <c r="H80" s="45"/>
      <c r="I80" s="45">
        <v>150</v>
      </c>
      <c r="J80" s="47">
        <v>0</v>
      </c>
      <c r="K80" s="45"/>
      <c r="L80" s="47">
        <v>0</v>
      </c>
      <c r="M80" s="45">
        <v>150</v>
      </c>
      <c r="N80" s="45"/>
      <c r="O80" s="45">
        <v>150</v>
      </c>
    </row>
    <row r="81" spans="1:16" ht="31.5" x14ac:dyDescent="0.2">
      <c r="A81" s="40"/>
      <c r="B81" s="41" t="s">
        <v>122</v>
      </c>
      <c r="C81" s="42" t="s">
        <v>51</v>
      </c>
      <c r="D81" s="43" t="s">
        <v>86</v>
      </c>
      <c r="E81" s="43" t="s">
        <v>123</v>
      </c>
      <c r="F81" s="44" t="s">
        <v>11</v>
      </c>
      <c r="G81" s="45">
        <f t="shared" ref="G81:O82" si="10">G82</f>
        <v>2600</v>
      </c>
      <c r="H81" s="45">
        <f t="shared" si="10"/>
        <v>0</v>
      </c>
      <c r="I81" s="45">
        <f t="shared" si="10"/>
        <v>2600</v>
      </c>
      <c r="J81" s="46">
        <f t="shared" si="10"/>
        <v>0</v>
      </c>
      <c r="K81" s="45">
        <f t="shared" si="10"/>
        <v>0</v>
      </c>
      <c r="L81" s="46">
        <f t="shared" si="10"/>
        <v>0</v>
      </c>
      <c r="M81" s="45">
        <f t="shared" si="10"/>
        <v>2600</v>
      </c>
      <c r="N81" s="45">
        <f t="shared" si="10"/>
        <v>0</v>
      </c>
      <c r="O81" s="45">
        <f t="shared" si="10"/>
        <v>2600</v>
      </c>
    </row>
    <row r="82" spans="1:16" ht="110.25" x14ac:dyDescent="0.2">
      <c r="A82" s="40"/>
      <c r="B82" s="41" t="s">
        <v>124</v>
      </c>
      <c r="C82" s="42" t="s">
        <v>51</v>
      </c>
      <c r="D82" s="43" t="s">
        <v>86</v>
      </c>
      <c r="E82" s="43" t="s">
        <v>125</v>
      </c>
      <c r="F82" s="44" t="s">
        <v>11</v>
      </c>
      <c r="G82" s="45">
        <f t="shared" si="10"/>
        <v>2600</v>
      </c>
      <c r="H82" s="45">
        <f>H83+H84</f>
        <v>0</v>
      </c>
      <c r="I82" s="45">
        <f t="shared" si="10"/>
        <v>2600</v>
      </c>
      <c r="J82" s="46">
        <f t="shared" si="10"/>
        <v>0</v>
      </c>
      <c r="K82" s="45">
        <f>K83+K84</f>
        <v>0</v>
      </c>
      <c r="L82" s="46">
        <f t="shared" si="10"/>
        <v>0</v>
      </c>
      <c r="M82" s="45">
        <f t="shared" si="10"/>
        <v>2600</v>
      </c>
      <c r="N82" s="45">
        <f t="shared" si="10"/>
        <v>0</v>
      </c>
      <c r="O82" s="45">
        <f t="shared" si="10"/>
        <v>2600</v>
      </c>
    </row>
    <row r="83" spans="1:16" ht="31.5" x14ac:dyDescent="0.2">
      <c r="A83" s="40"/>
      <c r="B83" s="41" t="s">
        <v>126</v>
      </c>
      <c r="C83" s="42" t="s">
        <v>51</v>
      </c>
      <c r="D83" s="43" t="s">
        <v>86</v>
      </c>
      <c r="E83" s="43" t="s">
        <v>127</v>
      </c>
      <c r="F83" s="44" t="s">
        <v>11</v>
      </c>
      <c r="G83" s="45">
        <f>G84+G85</f>
        <v>2600</v>
      </c>
      <c r="H83" s="45"/>
      <c r="I83" s="45">
        <f>I84+I85</f>
        <v>2600</v>
      </c>
      <c r="J83" s="46">
        <f>J84+J85</f>
        <v>0</v>
      </c>
      <c r="K83" s="45"/>
      <c r="L83" s="46">
        <f>L84+L85</f>
        <v>0</v>
      </c>
      <c r="M83" s="45">
        <f>M84+M85</f>
        <v>2600</v>
      </c>
      <c r="N83" s="45">
        <f>N84+N85</f>
        <v>0</v>
      </c>
      <c r="O83" s="45">
        <f>O84+O85</f>
        <v>2600</v>
      </c>
    </row>
    <row r="84" spans="1:16" ht="31.5" x14ac:dyDescent="0.2">
      <c r="A84" s="40"/>
      <c r="B84" s="41" t="s">
        <v>40</v>
      </c>
      <c r="C84" s="42" t="s">
        <v>51</v>
      </c>
      <c r="D84" s="43" t="s">
        <v>86</v>
      </c>
      <c r="E84" s="43" t="s">
        <v>127</v>
      </c>
      <c r="F84" s="44" t="s">
        <v>41</v>
      </c>
      <c r="G84" s="45">
        <v>2536.8000000000002</v>
      </c>
      <c r="H84" s="45"/>
      <c r="I84" s="45">
        <v>2536.8000000000002</v>
      </c>
      <c r="J84" s="47">
        <v>0</v>
      </c>
      <c r="K84" s="45"/>
      <c r="L84" s="47">
        <v>0</v>
      </c>
      <c r="M84" s="45">
        <v>2536.8000000000002</v>
      </c>
      <c r="N84" s="45"/>
      <c r="O84" s="45">
        <v>2536.8000000000002</v>
      </c>
    </row>
    <row r="85" spans="1:16" ht="15.75" x14ac:dyDescent="0.2">
      <c r="A85" s="40"/>
      <c r="B85" s="41" t="s">
        <v>70</v>
      </c>
      <c r="C85" s="42" t="s">
        <v>51</v>
      </c>
      <c r="D85" s="43" t="s">
        <v>86</v>
      </c>
      <c r="E85" s="43" t="s">
        <v>127</v>
      </c>
      <c r="F85" s="44" t="s">
        <v>71</v>
      </c>
      <c r="G85" s="45">
        <v>63.2</v>
      </c>
      <c r="H85" s="45"/>
      <c r="I85" s="45">
        <v>63.2</v>
      </c>
      <c r="J85" s="47">
        <v>0</v>
      </c>
      <c r="K85" s="45"/>
      <c r="L85" s="47">
        <v>0</v>
      </c>
      <c r="M85" s="45">
        <v>63.2</v>
      </c>
      <c r="N85" s="45"/>
      <c r="O85" s="45">
        <v>63.2</v>
      </c>
    </row>
    <row r="86" spans="1:16" ht="31.5" x14ac:dyDescent="0.2">
      <c r="A86" s="40"/>
      <c r="B86" s="41" t="s">
        <v>128</v>
      </c>
      <c r="C86" s="42" t="s">
        <v>51</v>
      </c>
      <c r="D86" s="43" t="s">
        <v>86</v>
      </c>
      <c r="E86" s="43" t="s">
        <v>129</v>
      </c>
      <c r="F86" s="44" t="s">
        <v>11</v>
      </c>
      <c r="G86" s="45">
        <f>G87+G100</f>
        <v>47548.4</v>
      </c>
      <c r="H86" s="45">
        <f>H87+H92+H97</f>
        <v>668.5</v>
      </c>
      <c r="I86" s="45">
        <f>I87+I100</f>
        <v>48216.899999999994</v>
      </c>
      <c r="J86" s="46">
        <f>J87+J100</f>
        <v>0</v>
      </c>
      <c r="K86" s="45">
        <f>K87+K92</f>
        <v>0</v>
      </c>
      <c r="L86" s="46">
        <f>L87+L100</f>
        <v>0</v>
      </c>
      <c r="M86" s="45">
        <f>M87+M100</f>
        <v>47548.4</v>
      </c>
      <c r="N86" s="45">
        <f>N87+N100</f>
        <v>668.5</v>
      </c>
      <c r="O86" s="45">
        <f>O87+O100</f>
        <v>48216.899999999994</v>
      </c>
      <c r="P86" s="16"/>
    </row>
    <row r="87" spans="1:16" ht="15.75" x14ac:dyDescent="0.2">
      <c r="A87" s="40"/>
      <c r="B87" s="41" t="s">
        <v>130</v>
      </c>
      <c r="C87" s="42" t="s">
        <v>51</v>
      </c>
      <c r="D87" s="43" t="s">
        <v>86</v>
      </c>
      <c r="E87" s="43" t="s">
        <v>131</v>
      </c>
      <c r="F87" s="44" t="s">
        <v>11</v>
      </c>
      <c r="G87" s="45">
        <f>G88+G93</f>
        <v>47348.4</v>
      </c>
      <c r="H87" s="45">
        <f>H88</f>
        <v>304.2</v>
      </c>
      <c r="I87" s="45">
        <f>I88+I93</f>
        <v>48016.899999999994</v>
      </c>
      <c r="J87" s="46">
        <f>J88+J93</f>
        <v>0</v>
      </c>
      <c r="K87" s="45">
        <f>K88</f>
        <v>0</v>
      </c>
      <c r="L87" s="46">
        <f>L88+L93</f>
        <v>0</v>
      </c>
      <c r="M87" s="45">
        <f>M88+M93</f>
        <v>47348.4</v>
      </c>
      <c r="N87" s="45">
        <f>N88+N93</f>
        <v>668.5</v>
      </c>
      <c r="O87" s="45">
        <f>O88+O93</f>
        <v>48016.899999999994</v>
      </c>
      <c r="P87" s="16"/>
    </row>
    <row r="88" spans="1:16" ht="15.75" x14ac:dyDescent="0.2">
      <c r="A88" s="40"/>
      <c r="B88" s="41" t="s">
        <v>132</v>
      </c>
      <c r="C88" s="42" t="s">
        <v>51</v>
      </c>
      <c r="D88" s="43" t="s">
        <v>86</v>
      </c>
      <c r="E88" s="43" t="s">
        <v>133</v>
      </c>
      <c r="F88" s="44" t="s">
        <v>11</v>
      </c>
      <c r="G88" s="45">
        <f>G89</f>
        <v>36467.9</v>
      </c>
      <c r="H88" s="45">
        <f>H89+H90+H91</f>
        <v>304.2</v>
      </c>
      <c r="I88" s="45">
        <f>I89</f>
        <v>36772.1</v>
      </c>
      <c r="J88" s="46">
        <f>J89</f>
        <v>0</v>
      </c>
      <c r="K88" s="45">
        <f>K89+K90+K91</f>
        <v>0</v>
      </c>
      <c r="L88" s="46">
        <f>L89</f>
        <v>0</v>
      </c>
      <c r="M88" s="45">
        <f>M89</f>
        <v>36467.9</v>
      </c>
      <c r="N88" s="45">
        <f>N89</f>
        <v>304.2</v>
      </c>
      <c r="O88" s="45">
        <f>O89</f>
        <v>36772.1</v>
      </c>
    </row>
    <row r="89" spans="1:16" ht="31.5" x14ac:dyDescent="0.2">
      <c r="A89" s="40"/>
      <c r="B89" s="41" t="s">
        <v>134</v>
      </c>
      <c r="C89" s="42" t="s">
        <v>51</v>
      </c>
      <c r="D89" s="43" t="s">
        <v>86</v>
      </c>
      <c r="E89" s="43" t="s">
        <v>135</v>
      </c>
      <c r="F89" s="44" t="s">
        <v>11</v>
      </c>
      <c r="G89" s="45">
        <f>G90+G91+G92</f>
        <v>36467.9</v>
      </c>
      <c r="H89" s="45"/>
      <c r="I89" s="45">
        <f>I90+I91+I92</f>
        <v>36772.1</v>
      </c>
      <c r="J89" s="46">
        <f>J90+J91+J92</f>
        <v>0</v>
      </c>
      <c r="K89" s="45"/>
      <c r="L89" s="46">
        <f>L90+L91+L92</f>
        <v>0</v>
      </c>
      <c r="M89" s="45">
        <f>M90+M91+M92</f>
        <v>36467.9</v>
      </c>
      <c r="N89" s="45">
        <f>N90+N91+N92</f>
        <v>304.2</v>
      </c>
      <c r="O89" s="45">
        <f>O90+O91+O92</f>
        <v>36772.1</v>
      </c>
      <c r="P89" s="16"/>
    </row>
    <row r="90" spans="1:16" ht="78.75" x14ac:dyDescent="0.2">
      <c r="A90" s="40"/>
      <c r="B90" s="41" t="s">
        <v>61</v>
      </c>
      <c r="C90" s="42" t="s">
        <v>51</v>
      </c>
      <c r="D90" s="43" t="s">
        <v>86</v>
      </c>
      <c r="E90" s="43" t="s">
        <v>135</v>
      </c>
      <c r="F90" s="44" t="s">
        <v>62</v>
      </c>
      <c r="G90" s="45">
        <v>25539</v>
      </c>
      <c r="H90" s="45">
        <v>304.2</v>
      </c>
      <c r="I90" s="45">
        <f>SUM(G90)+H90</f>
        <v>25843.200000000001</v>
      </c>
      <c r="J90" s="47">
        <v>0</v>
      </c>
      <c r="K90" s="45"/>
      <c r="L90" s="47">
        <v>0</v>
      </c>
      <c r="M90" s="45">
        <f t="shared" ref="M90:O91" si="11">SUM(G90)</f>
        <v>25539</v>
      </c>
      <c r="N90" s="45">
        <f t="shared" si="11"/>
        <v>304.2</v>
      </c>
      <c r="O90" s="45">
        <f t="shared" si="11"/>
        <v>25843.200000000001</v>
      </c>
    </row>
    <row r="91" spans="1:16" ht="31.5" x14ac:dyDescent="0.2">
      <c r="A91" s="40"/>
      <c r="B91" s="41" t="s">
        <v>40</v>
      </c>
      <c r="C91" s="42" t="s">
        <v>51</v>
      </c>
      <c r="D91" s="43" t="s">
        <v>86</v>
      </c>
      <c r="E91" s="43" t="s">
        <v>135</v>
      </c>
      <c r="F91" s="44" t="s">
        <v>41</v>
      </c>
      <c r="G91" s="45">
        <v>10851.5</v>
      </c>
      <c r="H91" s="45"/>
      <c r="I91" s="45">
        <f>SUM(G91)</f>
        <v>10851.5</v>
      </c>
      <c r="J91" s="47">
        <v>0</v>
      </c>
      <c r="K91" s="45"/>
      <c r="L91" s="47">
        <v>0</v>
      </c>
      <c r="M91" s="45">
        <f t="shared" si="11"/>
        <v>10851.5</v>
      </c>
      <c r="N91" s="45">
        <f t="shared" si="11"/>
        <v>0</v>
      </c>
      <c r="O91" s="45">
        <f t="shared" si="11"/>
        <v>10851.5</v>
      </c>
    </row>
    <row r="92" spans="1:16" ht="15.75" x14ac:dyDescent="0.2">
      <c r="A92" s="40"/>
      <c r="B92" s="41" t="s">
        <v>70</v>
      </c>
      <c r="C92" s="42" t="s">
        <v>51</v>
      </c>
      <c r="D92" s="43" t="s">
        <v>86</v>
      </c>
      <c r="E92" s="43" t="s">
        <v>135</v>
      </c>
      <c r="F92" s="44" t="s">
        <v>71</v>
      </c>
      <c r="G92" s="45">
        <v>77.400000000000006</v>
      </c>
      <c r="H92" s="45"/>
      <c r="I92" s="45">
        <v>77.400000000000006</v>
      </c>
      <c r="J92" s="47">
        <v>0</v>
      </c>
      <c r="K92" s="45"/>
      <c r="L92" s="47">
        <v>0</v>
      </c>
      <c r="M92" s="45">
        <v>77.400000000000006</v>
      </c>
      <c r="N92" s="45"/>
      <c r="O92" s="45">
        <v>77.400000000000006</v>
      </c>
    </row>
    <row r="93" spans="1:16" ht="31.5" x14ac:dyDescent="0.2">
      <c r="A93" s="40"/>
      <c r="B93" s="41" t="s">
        <v>136</v>
      </c>
      <c r="C93" s="42" t="s">
        <v>51</v>
      </c>
      <c r="D93" s="43" t="s">
        <v>86</v>
      </c>
      <c r="E93" s="43" t="s">
        <v>137</v>
      </c>
      <c r="F93" s="44" t="s">
        <v>11</v>
      </c>
      <c r="G93" s="45">
        <f>G94+G97</f>
        <v>10880.5</v>
      </c>
      <c r="H93" s="45">
        <f>SUM(H97)</f>
        <v>364.3</v>
      </c>
      <c r="I93" s="45">
        <f>I94+I97</f>
        <v>11244.8</v>
      </c>
      <c r="J93" s="46">
        <f>J94+J97</f>
        <v>0</v>
      </c>
      <c r="K93" s="45">
        <f>K94+K95</f>
        <v>0</v>
      </c>
      <c r="L93" s="46">
        <f>L94+L97</f>
        <v>0</v>
      </c>
      <c r="M93" s="45">
        <f>M94+M97</f>
        <v>10880.5</v>
      </c>
      <c r="N93" s="45">
        <f>N94+N97</f>
        <v>364.3</v>
      </c>
      <c r="O93" s="45">
        <f>O94+O97</f>
        <v>11244.8</v>
      </c>
      <c r="P93" s="16"/>
    </row>
    <row r="94" spans="1:16" ht="31.5" x14ac:dyDescent="0.2">
      <c r="A94" s="40"/>
      <c r="B94" s="41" t="s">
        <v>134</v>
      </c>
      <c r="C94" s="42" t="s">
        <v>51</v>
      </c>
      <c r="D94" s="43" t="s">
        <v>86</v>
      </c>
      <c r="E94" s="43" t="s">
        <v>138</v>
      </c>
      <c r="F94" s="44" t="s">
        <v>11</v>
      </c>
      <c r="G94" s="45">
        <f>G95+G96</f>
        <v>9205.9</v>
      </c>
      <c r="H94" s="45"/>
      <c r="I94" s="45">
        <f>I95+I96</f>
        <v>9205.9</v>
      </c>
      <c r="J94" s="46">
        <f>J95+J96</f>
        <v>0</v>
      </c>
      <c r="K94" s="45"/>
      <c r="L94" s="46">
        <f>L95+L96</f>
        <v>0</v>
      </c>
      <c r="M94" s="45">
        <f>M95+M96</f>
        <v>9205.9</v>
      </c>
      <c r="N94" s="45">
        <f>N95+N96</f>
        <v>0</v>
      </c>
      <c r="O94" s="45">
        <f>O95+O96</f>
        <v>9205.9</v>
      </c>
    </row>
    <row r="95" spans="1:16" ht="78.75" x14ac:dyDescent="0.2">
      <c r="A95" s="40"/>
      <c r="B95" s="41" t="s">
        <v>61</v>
      </c>
      <c r="C95" s="42" t="s">
        <v>51</v>
      </c>
      <c r="D95" s="43" t="s">
        <v>86</v>
      </c>
      <c r="E95" s="43" t="s">
        <v>138</v>
      </c>
      <c r="F95" s="44" t="s">
        <v>62</v>
      </c>
      <c r="G95" s="45">
        <v>8505.9</v>
      </c>
      <c r="H95" s="45"/>
      <c r="I95" s="45">
        <v>8505.9</v>
      </c>
      <c r="J95" s="47">
        <v>0</v>
      </c>
      <c r="K95" s="45"/>
      <c r="L95" s="47">
        <v>0</v>
      </c>
      <c r="M95" s="45">
        <v>8505.9</v>
      </c>
      <c r="N95" s="45"/>
      <c r="O95" s="45">
        <v>8505.9</v>
      </c>
    </row>
    <row r="96" spans="1:16" ht="31.5" x14ac:dyDescent="0.2">
      <c r="A96" s="40"/>
      <c r="B96" s="41" t="s">
        <v>40</v>
      </c>
      <c r="C96" s="42" t="s">
        <v>51</v>
      </c>
      <c r="D96" s="43" t="s">
        <v>86</v>
      </c>
      <c r="E96" s="43" t="s">
        <v>138</v>
      </c>
      <c r="F96" s="44" t="s">
        <v>41</v>
      </c>
      <c r="G96" s="45">
        <v>700</v>
      </c>
      <c r="H96" s="45"/>
      <c r="I96" s="45">
        <v>700</v>
      </c>
      <c r="J96" s="47">
        <v>0</v>
      </c>
      <c r="K96" s="45"/>
      <c r="L96" s="47">
        <v>0</v>
      </c>
      <c r="M96" s="45">
        <v>700</v>
      </c>
      <c r="N96" s="45"/>
      <c r="O96" s="45">
        <v>700</v>
      </c>
    </row>
    <row r="97" spans="1:16" ht="47.25" x14ac:dyDescent="0.2">
      <c r="A97" s="40"/>
      <c r="B97" s="41" t="s">
        <v>139</v>
      </c>
      <c r="C97" s="42" t="s">
        <v>51</v>
      </c>
      <c r="D97" s="43" t="s">
        <v>86</v>
      </c>
      <c r="E97" s="43" t="s">
        <v>140</v>
      </c>
      <c r="F97" s="44" t="s">
        <v>11</v>
      </c>
      <c r="G97" s="45">
        <f>G98+G99</f>
        <v>1674.6</v>
      </c>
      <c r="H97" s="45">
        <f>SUM(H98)+H99</f>
        <v>364.3</v>
      </c>
      <c r="I97" s="45">
        <f>I98+I99</f>
        <v>2038.9</v>
      </c>
      <c r="J97" s="46">
        <f>J98+J99</f>
        <v>0</v>
      </c>
      <c r="K97" s="45"/>
      <c r="L97" s="46">
        <f>L98+L99</f>
        <v>0</v>
      </c>
      <c r="M97" s="45">
        <f>M98+M99</f>
        <v>1674.6</v>
      </c>
      <c r="N97" s="45">
        <f>N98+N99</f>
        <v>364.3</v>
      </c>
      <c r="O97" s="45">
        <f>O98+O99</f>
        <v>2038.9</v>
      </c>
    </row>
    <row r="98" spans="1:16" ht="31.5" x14ac:dyDescent="0.2">
      <c r="A98" s="40"/>
      <c r="B98" s="41" t="s">
        <v>40</v>
      </c>
      <c r="C98" s="42" t="s">
        <v>51</v>
      </c>
      <c r="D98" s="43" t="s">
        <v>86</v>
      </c>
      <c r="E98" s="43" t="s">
        <v>140</v>
      </c>
      <c r="F98" s="44" t="s">
        <v>41</v>
      </c>
      <c r="G98" s="45">
        <v>855</v>
      </c>
      <c r="H98" s="45">
        <f>350-16.3+14.3</f>
        <v>348</v>
      </c>
      <c r="I98" s="45">
        <f>SUM(G98)+H98</f>
        <v>1203</v>
      </c>
      <c r="J98" s="47">
        <v>0</v>
      </c>
      <c r="K98" s="45"/>
      <c r="L98" s="47">
        <v>0</v>
      </c>
      <c r="M98" s="45">
        <f>SUM(G98)</f>
        <v>855</v>
      </c>
      <c r="N98" s="45">
        <f>SUM(H98)</f>
        <v>348</v>
      </c>
      <c r="O98" s="45">
        <f>SUM(I98)</f>
        <v>1203</v>
      </c>
    </row>
    <row r="99" spans="1:16" ht="15.75" x14ac:dyDescent="0.2">
      <c r="A99" s="40"/>
      <c r="B99" s="41" t="s">
        <v>70</v>
      </c>
      <c r="C99" s="42" t="s">
        <v>51</v>
      </c>
      <c r="D99" s="43" t="s">
        <v>86</v>
      </c>
      <c r="E99" s="43" t="s">
        <v>140</v>
      </c>
      <c r="F99" s="44" t="s">
        <v>71</v>
      </c>
      <c r="G99" s="45">
        <f>74.4+745.2</f>
        <v>819.6</v>
      </c>
      <c r="H99" s="45">
        <v>16.3</v>
      </c>
      <c r="I99" s="45">
        <f>74.4+745.2+H99</f>
        <v>835.9</v>
      </c>
      <c r="J99" s="47">
        <v>0</v>
      </c>
      <c r="K99" s="45"/>
      <c r="L99" s="47">
        <v>0</v>
      </c>
      <c r="M99" s="45">
        <f>74.4+745.2</f>
        <v>819.6</v>
      </c>
      <c r="N99" s="45">
        <f>SUM(H99)</f>
        <v>16.3</v>
      </c>
      <c r="O99" s="45">
        <f>74.4+745.2+N99</f>
        <v>835.9</v>
      </c>
    </row>
    <row r="100" spans="1:16" ht="15.75" x14ac:dyDescent="0.2">
      <c r="A100" s="40"/>
      <c r="B100" s="41" t="s">
        <v>141</v>
      </c>
      <c r="C100" s="42" t="s">
        <v>51</v>
      </c>
      <c r="D100" s="43" t="s">
        <v>86</v>
      </c>
      <c r="E100" s="43" t="s">
        <v>142</v>
      </c>
      <c r="F100" s="44" t="s">
        <v>11</v>
      </c>
      <c r="G100" s="45">
        <f t="shared" ref="G100:O102" si="12">G101</f>
        <v>200</v>
      </c>
      <c r="H100" s="45">
        <f t="shared" si="12"/>
        <v>0</v>
      </c>
      <c r="I100" s="45">
        <f t="shared" si="12"/>
        <v>200</v>
      </c>
      <c r="J100" s="46">
        <f t="shared" si="12"/>
        <v>0</v>
      </c>
      <c r="K100" s="45">
        <f>K101</f>
        <v>0</v>
      </c>
      <c r="L100" s="46">
        <f t="shared" si="12"/>
        <v>0</v>
      </c>
      <c r="M100" s="45">
        <f t="shared" si="12"/>
        <v>200</v>
      </c>
      <c r="N100" s="45">
        <f t="shared" si="12"/>
        <v>0</v>
      </c>
      <c r="O100" s="45">
        <f t="shared" si="12"/>
        <v>200</v>
      </c>
    </row>
    <row r="101" spans="1:16" ht="47.25" x14ac:dyDescent="0.2">
      <c r="A101" s="40"/>
      <c r="B101" s="41" t="s">
        <v>143</v>
      </c>
      <c r="C101" s="42" t="s">
        <v>51</v>
      </c>
      <c r="D101" s="43" t="s">
        <v>86</v>
      </c>
      <c r="E101" s="43" t="s">
        <v>144</v>
      </c>
      <c r="F101" s="44" t="s">
        <v>11</v>
      </c>
      <c r="G101" s="45">
        <f t="shared" si="12"/>
        <v>200</v>
      </c>
      <c r="H101" s="45">
        <f t="shared" si="12"/>
        <v>0</v>
      </c>
      <c r="I101" s="45">
        <f t="shared" si="12"/>
        <v>200</v>
      </c>
      <c r="J101" s="46">
        <f t="shared" si="12"/>
        <v>0</v>
      </c>
      <c r="K101" s="45">
        <f>K102</f>
        <v>0</v>
      </c>
      <c r="L101" s="46">
        <f t="shared" si="12"/>
        <v>0</v>
      </c>
      <c r="M101" s="45">
        <f t="shared" si="12"/>
        <v>200</v>
      </c>
      <c r="N101" s="45">
        <f t="shared" si="12"/>
        <v>0</v>
      </c>
      <c r="O101" s="45">
        <f t="shared" si="12"/>
        <v>200</v>
      </c>
    </row>
    <row r="102" spans="1:16" ht="31.5" x14ac:dyDescent="0.2">
      <c r="A102" s="40"/>
      <c r="B102" s="41" t="s">
        <v>145</v>
      </c>
      <c r="C102" s="42" t="s">
        <v>51</v>
      </c>
      <c r="D102" s="43" t="s">
        <v>86</v>
      </c>
      <c r="E102" s="43" t="s">
        <v>146</v>
      </c>
      <c r="F102" s="44" t="s">
        <v>11</v>
      </c>
      <c r="G102" s="45">
        <f>G103</f>
        <v>200</v>
      </c>
      <c r="H102" s="45"/>
      <c r="I102" s="45">
        <f>I103</f>
        <v>200</v>
      </c>
      <c r="J102" s="46">
        <f t="shared" si="12"/>
        <v>0</v>
      </c>
      <c r="K102" s="45"/>
      <c r="L102" s="46">
        <f t="shared" si="12"/>
        <v>0</v>
      </c>
      <c r="M102" s="45">
        <f t="shared" si="12"/>
        <v>200</v>
      </c>
      <c r="N102" s="45">
        <f t="shared" si="12"/>
        <v>0</v>
      </c>
      <c r="O102" s="45">
        <f t="shared" si="12"/>
        <v>200</v>
      </c>
    </row>
    <row r="103" spans="1:16" ht="31.5" x14ac:dyDescent="0.2">
      <c r="A103" s="40"/>
      <c r="B103" s="41" t="s">
        <v>40</v>
      </c>
      <c r="C103" s="42" t="s">
        <v>51</v>
      </c>
      <c r="D103" s="43" t="s">
        <v>86</v>
      </c>
      <c r="E103" s="43" t="s">
        <v>146</v>
      </c>
      <c r="F103" s="44" t="s">
        <v>41</v>
      </c>
      <c r="G103" s="45">
        <v>200</v>
      </c>
      <c r="H103" s="45"/>
      <c r="I103" s="45">
        <v>200</v>
      </c>
      <c r="J103" s="47">
        <v>0</v>
      </c>
      <c r="K103" s="45">
        <f>K104</f>
        <v>0</v>
      </c>
      <c r="L103" s="47">
        <v>0</v>
      </c>
      <c r="M103" s="45">
        <v>200</v>
      </c>
      <c r="N103" s="45"/>
      <c r="O103" s="45">
        <v>200</v>
      </c>
    </row>
    <row r="104" spans="1:16" ht="1.5" customHeight="1" x14ac:dyDescent="0.2">
      <c r="A104" s="40"/>
      <c r="B104" s="41" t="s">
        <v>147</v>
      </c>
      <c r="C104" s="42" t="s">
        <v>51</v>
      </c>
      <c r="D104" s="43" t="s">
        <v>86</v>
      </c>
      <c r="E104" s="43" t="s">
        <v>148</v>
      </c>
      <c r="F104" s="44" t="s">
        <v>11</v>
      </c>
      <c r="G104" s="45">
        <f t="shared" ref="G104:O106" si="13">G105</f>
        <v>565.1</v>
      </c>
      <c r="H104" s="45">
        <f t="shared" si="13"/>
        <v>30</v>
      </c>
      <c r="I104" s="45">
        <f t="shared" si="13"/>
        <v>595.1</v>
      </c>
      <c r="J104" s="46">
        <f t="shared" si="13"/>
        <v>0</v>
      </c>
      <c r="K104" s="45">
        <f>K105</f>
        <v>0</v>
      </c>
      <c r="L104" s="46">
        <f t="shared" si="13"/>
        <v>0</v>
      </c>
      <c r="M104" s="45">
        <f t="shared" si="13"/>
        <v>565.1</v>
      </c>
      <c r="N104" s="45">
        <f t="shared" si="13"/>
        <v>30</v>
      </c>
      <c r="O104" s="45">
        <f t="shared" si="13"/>
        <v>595.1</v>
      </c>
    </row>
    <row r="105" spans="1:16" ht="31.5" x14ac:dyDescent="0.2">
      <c r="A105" s="40"/>
      <c r="B105" s="41" t="s">
        <v>149</v>
      </c>
      <c r="C105" s="42" t="s">
        <v>51</v>
      </c>
      <c r="D105" s="43" t="s">
        <v>86</v>
      </c>
      <c r="E105" s="43" t="s">
        <v>150</v>
      </c>
      <c r="F105" s="44" t="s">
        <v>11</v>
      </c>
      <c r="G105" s="45">
        <f t="shared" si="13"/>
        <v>565.1</v>
      </c>
      <c r="H105" s="45">
        <f t="shared" si="13"/>
        <v>30</v>
      </c>
      <c r="I105" s="45">
        <f t="shared" si="13"/>
        <v>595.1</v>
      </c>
      <c r="J105" s="46">
        <f t="shared" si="13"/>
        <v>0</v>
      </c>
      <c r="K105" s="45">
        <f>K106</f>
        <v>0</v>
      </c>
      <c r="L105" s="46">
        <f t="shared" si="13"/>
        <v>0</v>
      </c>
      <c r="M105" s="45">
        <f t="shared" si="13"/>
        <v>565.1</v>
      </c>
      <c r="N105" s="45">
        <f t="shared" si="13"/>
        <v>30</v>
      </c>
      <c r="O105" s="45">
        <f t="shared" si="13"/>
        <v>595.1</v>
      </c>
    </row>
    <row r="106" spans="1:16" ht="31.5" x14ac:dyDescent="0.2">
      <c r="A106" s="40"/>
      <c r="B106" s="41" t="s">
        <v>151</v>
      </c>
      <c r="C106" s="42" t="s">
        <v>51</v>
      </c>
      <c r="D106" s="43" t="s">
        <v>86</v>
      </c>
      <c r="E106" s="43" t="s">
        <v>152</v>
      </c>
      <c r="F106" s="44" t="s">
        <v>11</v>
      </c>
      <c r="G106" s="45">
        <f>G107</f>
        <v>565.1</v>
      </c>
      <c r="H106" s="45">
        <f>SUM(H107)</f>
        <v>30</v>
      </c>
      <c r="I106" s="45">
        <f>I107</f>
        <v>595.1</v>
      </c>
      <c r="J106" s="46">
        <f t="shared" si="13"/>
        <v>0</v>
      </c>
      <c r="K106" s="45"/>
      <c r="L106" s="46">
        <f t="shared" si="13"/>
        <v>0</v>
      </c>
      <c r="M106" s="45">
        <f t="shared" si="13"/>
        <v>565.1</v>
      </c>
      <c r="N106" s="45">
        <f t="shared" si="13"/>
        <v>30</v>
      </c>
      <c r="O106" s="45">
        <f t="shared" si="13"/>
        <v>595.1</v>
      </c>
    </row>
    <row r="107" spans="1:16" ht="22.5" customHeight="1" x14ac:dyDescent="0.2">
      <c r="A107" s="40"/>
      <c r="B107" s="41" t="s">
        <v>70</v>
      </c>
      <c r="C107" s="42" t="s">
        <v>51</v>
      </c>
      <c r="D107" s="43" t="s">
        <v>86</v>
      </c>
      <c r="E107" s="43" t="s">
        <v>152</v>
      </c>
      <c r="F107" s="44" t="s">
        <v>71</v>
      </c>
      <c r="G107" s="45">
        <v>565.1</v>
      </c>
      <c r="H107" s="45">
        <v>30</v>
      </c>
      <c r="I107" s="45">
        <f>SUM(G107)+H107</f>
        <v>595.1</v>
      </c>
      <c r="J107" s="47">
        <v>0</v>
      </c>
      <c r="K107" s="25">
        <f>K108+K143</f>
        <v>0</v>
      </c>
      <c r="L107" s="47">
        <v>0</v>
      </c>
      <c r="M107" s="45">
        <f>SUM(G107)</f>
        <v>565.1</v>
      </c>
      <c r="N107" s="45">
        <f>SUM(H107)</f>
        <v>30</v>
      </c>
      <c r="O107" s="80">
        <f>SUM(I107)</f>
        <v>595.1</v>
      </c>
    </row>
    <row r="108" spans="1:16" ht="31.5" x14ac:dyDescent="0.2">
      <c r="A108" s="20" t="s">
        <v>153</v>
      </c>
      <c r="B108" s="21" t="s">
        <v>154</v>
      </c>
      <c r="C108" s="42" t="s">
        <v>51</v>
      </c>
      <c r="D108" s="43" t="s">
        <v>155</v>
      </c>
      <c r="E108" s="43" t="s">
        <v>11</v>
      </c>
      <c r="F108" s="44" t="s">
        <v>11</v>
      </c>
      <c r="G108" s="25">
        <f>G114+G144</f>
        <v>43229.100000000006</v>
      </c>
      <c r="H108" s="38">
        <f>SUM(H109)+H114</f>
        <v>792.3</v>
      </c>
      <c r="I108" s="25">
        <f>I114+I144+I109</f>
        <v>44021.400000000009</v>
      </c>
      <c r="J108" s="26">
        <f>J114+J144</f>
        <v>0</v>
      </c>
      <c r="K108" s="38">
        <f>K114</f>
        <v>0</v>
      </c>
      <c r="L108" s="26">
        <f>L114+L144</f>
        <v>0</v>
      </c>
      <c r="M108" s="25">
        <f>M114+M144</f>
        <v>43229.100000000006</v>
      </c>
      <c r="N108" s="25">
        <f t="shared" ref="N108:N114" si="14">SUM(H108)</f>
        <v>792.3</v>
      </c>
      <c r="O108" s="25">
        <f>O114+O144+O109</f>
        <v>44021.400000000009</v>
      </c>
      <c r="P108" s="17"/>
    </row>
    <row r="109" spans="1:16" ht="15.75" x14ac:dyDescent="0.2">
      <c r="A109" s="20"/>
      <c r="B109" s="84" t="s">
        <v>556</v>
      </c>
      <c r="C109" s="42">
        <v>992</v>
      </c>
      <c r="D109" s="86" t="s">
        <v>555</v>
      </c>
      <c r="E109" s="43"/>
      <c r="F109" s="44"/>
      <c r="G109" s="25"/>
      <c r="H109" s="38">
        <f>SUM(H112)</f>
        <v>1200</v>
      </c>
      <c r="I109" s="38">
        <f>SUM(I112)</f>
        <v>1200</v>
      </c>
      <c r="J109" s="26"/>
      <c r="K109" s="38"/>
      <c r="L109" s="26"/>
      <c r="M109" s="25"/>
      <c r="N109" s="25">
        <f t="shared" si="14"/>
        <v>1200</v>
      </c>
      <c r="O109" s="25">
        <f>SUM(I109)</f>
        <v>1200</v>
      </c>
      <c r="P109" s="17"/>
    </row>
    <row r="110" spans="1:16" ht="31.5" x14ac:dyDescent="0.2">
      <c r="A110" s="20"/>
      <c r="B110" s="85" t="s">
        <v>159</v>
      </c>
      <c r="C110" s="42">
        <v>992</v>
      </c>
      <c r="D110" s="86" t="s">
        <v>555</v>
      </c>
      <c r="E110" s="57" t="s">
        <v>162</v>
      </c>
      <c r="F110" s="44"/>
      <c r="G110" s="25"/>
      <c r="H110" s="38">
        <f>SUM(H112)</f>
        <v>1200</v>
      </c>
      <c r="I110" s="38">
        <f>SUM(I112)</f>
        <v>1200</v>
      </c>
      <c r="J110" s="26"/>
      <c r="K110" s="38"/>
      <c r="L110" s="26"/>
      <c r="M110" s="25"/>
      <c r="N110" s="25">
        <f t="shared" si="14"/>
        <v>1200</v>
      </c>
      <c r="O110" s="25">
        <f>SUM(I110)</f>
        <v>1200</v>
      </c>
      <c r="P110" s="17"/>
    </row>
    <row r="111" spans="1:16" ht="63" x14ac:dyDescent="0.2">
      <c r="A111" s="20"/>
      <c r="B111" s="85" t="s">
        <v>161</v>
      </c>
      <c r="C111" s="42">
        <v>992</v>
      </c>
      <c r="D111" s="86" t="s">
        <v>555</v>
      </c>
      <c r="E111" s="57" t="s">
        <v>558</v>
      </c>
      <c r="F111" s="44"/>
      <c r="G111" s="25"/>
      <c r="H111" s="38">
        <f>SUM(H113)</f>
        <v>1200</v>
      </c>
      <c r="I111" s="38">
        <f>SUM(I113)</f>
        <v>1200</v>
      </c>
      <c r="J111" s="26"/>
      <c r="K111" s="38"/>
      <c r="L111" s="26"/>
      <c r="M111" s="25"/>
      <c r="N111" s="25">
        <f t="shared" si="14"/>
        <v>1200</v>
      </c>
      <c r="O111" s="25">
        <f>SUM(I111)</f>
        <v>1200</v>
      </c>
      <c r="P111" s="17"/>
    </row>
    <row r="112" spans="1:16" ht="31.5" x14ac:dyDescent="0.2">
      <c r="A112" s="20"/>
      <c r="B112" s="85" t="s">
        <v>557</v>
      </c>
      <c r="C112" s="42">
        <v>992</v>
      </c>
      <c r="D112" s="86" t="s">
        <v>555</v>
      </c>
      <c r="E112" s="57" t="s">
        <v>554</v>
      </c>
      <c r="F112" s="44"/>
      <c r="G112" s="25"/>
      <c r="H112" s="38">
        <v>1200</v>
      </c>
      <c r="I112" s="25">
        <f>SUM(H112)</f>
        <v>1200</v>
      </c>
      <c r="J112" s="26"/>
      <c r="K112" s="38"/>
      <c r="L112" s="26"/>
      <c r="M112" s="25"/>
      <c r="N112" s="25">
        <f t="shared" si="14"/>
        <v>1200</v>
      </c>
      <c r="O112" s="25">
        <f>SUM(I112)</f>
        <v>1200</v>
      </c>
      <c r="P112" s="17"/>
    </row>
    <row r="113" spans="1:16" ht="31.5" x14ac:dyDescent="0.2">
      <c r="A113" s="20"/>
      <c r="B113" s="41" t="s">
        <v>40</v>
      </c>
      <c r="C113" s="42">
        <v>992</v>
      </c>
      <c r="D113" s="86" t="s">
        <v>555</v>
      </c>
      <c r="E113" s="57" t="s">
        <v>554</v>
      </c>
      <c r="F113" s="44">
        <v>200</v>
      </c>
      <c r="G113" s="25"/>
      <c r="H113" s="38">
        <v>1200</v>
      </c>
      <c r="I113" s="25">
        <f>SUM(H113)</f>
        <v>1200</v>
      </c>
      <c r="J113" s="26"/>
      <c r="K113" s="38"/>
      <c r="L113" s="26"/>
      <c r="M113" s="25"/>
      <c r="N113" s="25">
        <f t="shared" si="14"/>
        <v>1200</v>
      </c>
      <c r="O113" s="25">
        <f>SUM(I113)</f>
        <v>1200</v>
      </c>
      <c r="P113" s="17"/>
    </row>
    <row r="114" spans="1:16" ht="63" x14ac:dyDescent="0.2">
      <c r="A114" s="33" t="s">
        <v>156</v>
      </c>
      <c r="B114" s="34" t="s">
        <v>157</v>
      </c>
      <c r="C114" s="87" t="s">
        <v>51</v>
      </c>
      <c r="D114" s="88" t="s">
        <v>158</v>
      </c>
      <c r="E114" s="88" t="s">
        <v>11</v>
      </c>
      <c r="F114" s="89" t="s">
        <v>11</v>
      </c>
      <c r="G114" s="38">
        <f>G115+G132</f>
        <v>37185.800000000003</v>
      </c>
      <c r="H114" s="45">
        <f>H115+H131+H132</f>
        <v>-407.70000000000005</v>
      </c>
      <c r="I114" s="38">
        <f>I115+I132</f>
        <v>36778.100000000006</v>
      </c>
      <c r="J114" s="39">
        <f>J115</f>
        <v>0</v>
      </c>
      <c r="K114" s="45">
        <f>K115+K131+K139</f>
        <v>0</v>
      </c>
      <c r="L114" s="39">
        <f>L115</f>
        <v>0</v>
      </c>
      <c r="M114" s="38">
        <f>M115+M132</f>
        <v>37185.800000000003</v>
      </c>
      <c r="N114" s="38">
        <f t="shared" si="14"/>
        <v>-407.70000000000005</v>
      </c>
      <c r="O114" s="38">
        <f>O115+O132</f>
        <v>36778.100000000006</v>
      </c>
    </row>
    <row r="115" spans="1:16" ht="31.5" x14ac:dyDescent="0.2">
      <c r="A115" s="40"/>
      <c r="B115" s="41" t="s">
        <v>159</v>
      </c>
      <c r="C115" s="42" t="s">
        <v>51</v>
      </c>
      <c r="D115" s="43" t="s">
        <v>158</v>
      </c>
      <c r="E115" s="43" t="s">
        <v>160</v>
      </c>
      <c r="F115" s="44" t="s">
        <v>11</v>
      </c>
      <c r="G115" s="45">
        <f>G116+G136+G140</f>
        <v>36422.5</v>
      </c>
      <c r="H115" s="45">
        <f>H116+H125+H128+H136</f>
        <v>-407.70000000000005</v>
      </c>
      <c r="I115" s="45">
        <f>I116+I136+I140</f>
        <v>36014.800000000003</v>
      </c>
      <c r="J115" s="46">
        <f>J116+J136+J140</f>
        <v>0</v>
      </c>
      <c r="K115" s="45">
        <f>K116+K125+K128</f>
        <v>0</v>
      </c>
      <c r="L115" s="46">
        <f>L116+L136+L140</f>
        <v>0</v>
      </c>
      <c r="M115" s="45">
        <f>M116+M136+M140</f>
        <v>36422.5</v>
      </c>
      <c r="N115" s="45">
        <f>N116+N136+N140</f>
        <v>-407.70000000000005</v>
      </c>
      <c r="O115" s="45">
        <f>O116+O136+O140</f>
        <v>36014.800000000003</v>
      </c>
      <c r="P115" s="16"/>
    </row>
    <row r="116" spans="1:16" ht="63" x14ac:dyDescent="0.2">
      <c r="A116" s="40"/>
      <c r="B116" s="41" t="s">
        <v>161</v>
      </c>
      <c r="C116" s="42" t="s">
        <v>51</v>
      </c>
      <c r="D116" s="43" t="s">
        <v>158</v>
      </c>
      <c r="E116" s="43" t="s">
        <v>162</v>
      </c>
      <c r="F116" s="44" t="s">
        <v>11</v>
      </c>
      <c r="G116" s="45">
        <f>G117+G126+G129</f>
        <v>32661.599999999999</v>
      </c>
      <c r="H116" s="45">
        <f>H117</f>
        <v>-407.70000000000005</v>
      </c>
      <c r="I116" s="45">
        <f>I117+I126+I129</f>
        <v>32253.9</v>
      </c>
      <c r="J116" s="46">
        <f>J117+J126+J129</f>
        <v>0</v>
      </c>
      <c r="K116" s="45">
        <f>K117+K121+K123</f>
        <v>0</v>
      </c>
      <c r="L116" s="46">
        <f>L117+L126+L129</f>
        <v>0</v>
      </c>
      <c r="M116" s="45">
        <f>M117+M126+M129</f>
        <v>32661.599999999999</v>
      </c>
      <c r="N116" s="45">
        <f>N117+N126+N129</f>
        <v>-407.70000000000005</v>
      </c>
      <c r="O116" s="45">
        <f>O117+O126+O129</f>
        <v>32253.9</v>
      </c>
      <c r="P116" s="16"/>
    </row>
    <row r="117" spans="1:16" ht="63" x14ac:dyDescent="0.2">
      <c r="A117" s="40"/>
      <c r="B117" s="41" t="s">
        <v>163</v>
      </c>
      <c r="C117" s="42" t="s">
        <v>51</v>
      </c>
      <c r="D117" s="43" t="s">
        <v>158</v>
      </c>
      <c r="E117" s="43" t="s">
        <v>164</v>
      </c>
      <c r="F117" s="44" t="s">
        <v>11</v>
      </c>
      <c r="G117" s="45">
        <f>G118+G122+G124</f>
        <v>17560.900000000001</v>
      </c>
      <c r="H117" s="45">
        <f>SUM(H118+H122)</f>
        <v>-407.70000000000005</v>
      </c>
      <c r="I117" s="45">
        <f>I118+I122+I124</f>
        <v>17153.2</v>
      </c>
      <c r="J117" s="46">
        <f>J118+J122+J124</f>
        <v>0</v>
      </c>
      <c r="K117" s="45">
        <f>K118+K119+K120</f>
        <v>0</v>
      </c>
      <c r="L117" s="46">
        <f>L118+L122+L124</f>
        <v>0</v>
      </c>
      <c r="M117" s="45">
        <f>M118+M122+M124</f>
        <v>17560.900000000001</v>
      </c>
      <c r="N117" s="45">
        <f>N118+N122+N124</f>
        <v>-407.70000000000005</v>
      </c>
      <c r="O117" s="45">
        <f>O118+O122+O124</f>
        <v>17153.2</v>
      </c>
      <c r="P117" s="16"/>
    </row>
    <row r="118" spans="1:16" ht="31.5" x14ac:dyDescent="0.2">
      <c r="A118" s="40"/>
      <c r="B118" s="41" t="s">
        <v>134</v>
      </c>
      <c r="C118" s="42" t="s">
        <v>51</v>
      </c>
      <c r="D118" s="43" t="s">
        <v>158</v>
      </c>
      <c r="E118" s="43" t="s">
        <v>165</v>
      </c>
      <c r="F118" s="44" t="s">
        <v>11</v>
      </c>
      <c r="G118" s="45">
        <f>G119+G120+G121</f>
        <v>10737.1</v>
      </c>
      <c r="H118" s="45">
        <f>SUM(H119+H120)</f>
        <v>185.9</v>
      </c>
      <c r="I118" s="45">
        <f>I119+I120+I121</f>
        <v>10923</v>
      </c>
      <c r="J118" s="46">
        <f>J119+J120+J121</f>
        <v>0</v>
      </c>
      <c r="K118" s="45"/>
      <c r="L118" s="46">
        <f>L119+L120+L121</f>
        <v>0</v>
      </c>
      <c r="M118" s="45">
        <f>SUM(G118)</f>
        <v>10737.1</v>
      </c>
      <c r="N118" s="45">
        <f>N119+N120+N121</f>
        <v>185.9</v>
      </c>
      <c r="O118" s="45">
        <f>SUM(I118)</f>
        <v>10923</v>
      </c>
    </row>
    <row r="119" spans="1:16" ht="78.75" x14ac:dyDescent="0.2">
      <c r="A119" s="40"/>
      <c r="B119" s="41" t="s">
        <v>61</v>
      </c>
      <c r="C119" s="42" t="s">
        <v>51</v>
      </c>
      <c r="D119" s="43" t="s">
        <v>158</v>
      </c>
      <c r="E119" s="43" t="s">
        <v>165</v>
      </c>
      <c r="F119" s="44" t="s">
        <v>62</v>
      </c>
      <c r="G119" s="45">
        <v>9374.7000000000007</v>
      </c>
      <c r="H119" s="45"/>
      <c r="I119" s="45">
        <f>SUM(G119)</f>
        <v>9374.7000000000007</v>
      </c>
      <c r="J119" s="47">
        <v>0</v>
      </c>
      <c r="K119" s="45"/>
      <c r="L119" s="47">
        <v>0</v>
      </c>
      <c r="M119" s="45">
        <f>SUM(G119)</f>
        <v>9374.7000000000007</v>
      </c>
      <c r="N119" s="45">
        <f>SUM(H119)</f>
        <v>0</v>
      </c>
      <c r="O119" s="45">
        <f>SUM(I119)</f>
        <v>9374.7000000000007</v>
      </c>
    </row>
    <row r="120" spans="1:16" ht="31.5" x14ac:dyDescent="0.2">
      <c r="A120" s="40"/>
      <c r="B120" s="41" t="s">
        <v>40</v>
      </c>
      <c r="C120" s="42" t="s">
        <v>51</v>
      </c>
      <c r="D120" s="43" t="s">
        <v>158</v>
      </c>
      <c r="E120" s="43" t="s">
        <v>165</v>
      </c>
      <c r="F120" s="44" t="s">
        <v>41</v>
      </c>
      <c r="G120" s="45">
        <v>1339.4</v>
      </c>
      <c r="H120" s="45">
        <v>185.9</v>
      </c>
      <c r="I120" s="45">
        <f>SUM(G120)+H120</f>
        <v>1525.3000000000002</v>
      </c>
      <c r="J120" s="47">
        <v>0</v>
      </c>
      <c r="K120" s="45"/>
      <c r="L120" s="47">
        <v>0</v>
      </c>
      <c r="M120" s="45">
        <f>SUM(G120)</f>
        <v>1339.4</v>
      </c>
      <c r="N120" s="45">
        <f>SUM(H120)</f>
        <v>185.9</v>
      </c>
      <c r="O120" s="45">
        <f>SUM(I120)</f>
        <v>1525.3000000000002</v>
      </c>
    </row>
    <row r="121" spans="1:16" ht="15.75" x14ac:dyDescent="0.2">
      <c r="A121" s="40"/>
      <c r="B121" s="41" t="s">
        <v>70</v>
      </c>
      <c r="C121" s="42" t="s">
        <v>51</v>
      </c>
      <c r="D121" s="43" t="s">
        <v>158</v>
      </c>
      <c r="E121" s="43" t="s">
        <v>165</v>
      </c>
      <c r="F121" s="44" t="s">
        <v>71</v>
      </c>
      <c r="G121" s="45">
        <v>23</v>
      </c>
      <c r="H121" s="45"/>
      <c r="I121" s="45">
        <v>23</v>
      </c>
      <c r="J121" s="47">
        <v>0</v>
      </c>
      <c r="K121" s="45"/>
      <c r="L121" s="47">
        <v>0</v>
      </c>
      <c r="M121" s="45">
        <v>23</v>
      </c>
      <c r="N121" s="45"/>
      <c r="O121" s="45">
        <v>23</v>
      </c>
    </row>
    <row r="122" spans="1:16" ht="63" x14ac:dyDescent="0.2">
      <c r="A122" s="40"/>
      <c r="B122" s="41" t="s">
        <v>166</v>
      </c>
      <c r="C122" s="42" t="s">
        <v>51</v>
      </c>
      <c r="D122" s="43" t="s">
        <v>158</v>
      </c>
      <c r="E122" s="43" t="s">
        <v>167</v>
      </c>
      <c r="F122" s="44" t="s">
        <v>11</v>
      </c>
      <c r="G122" s="45">
        <f>G123</f>
        <v>5823.8</v>
      </c>
      <c r="H122" s="48">
        <f>SUM(H123)</f>
        <v>-593.6</v>
      </c>
      <c r="I122" s="45">
        <f>I123</f>
        <v>5230.2</v>
      </c>
      <c r="J122" s="46">
        <f>J123</f>
        <v>0</v>
      </c>
      <c r="K122" s="48"/>
      <c r="L122" s="46">
        <f>L123</f>
        <v>0</v>
      </c>
      <c r="M122" s="45">
        <f>M123</f>
        <v>5823.8</v>
      </c>
      <c r="N122" s="45">
        <f>N123</f>
        <v>-593.6</v>
      </c>
      <c r="O122" s="45">
        <f>O123</f>
        <v>5230.2</v>
      </c>
    </row>
    <row r="123" spans="1:16" ht="31.5" x14ac:dyDescent="0.2">
      <c r="A123" s="40"/>
      <c r="B123" s="41" t="s">
        <v>40</v>
      </c>
      <c r="C123" s="42" t="s">
        <v>51</v>
      </c>
      <c r="D123" s="43" t="s">
        <v>158</v>
      </c>
      <c r="E123" s="43" t="s">
        <v>167</v>
      </c>
      <c r="F123" s="44" t="s">
        <v>41</v>
      </c>
      <c r="G123" s="48">
        <v>5823.8</v>
      </c>
      <c r="H123" s="45">
        <v>-593.6</v>
      </c>
      <c r="I123" s="48">
        <f>SUM(G123)+H123</f>
        <v>5230.2</v>
      </c>
      <c r="J123" s="47"/>
      <c r="K123" s="45"/>
      <c r="L123" s="47"/>
      <c r="M123" s="48">
        <f>SUM(G123)</f>
        <v>5823.8</v>
      </c>
      <c r="N123" s="48">
        <f>SUM(H123)</f>
        <v>-593.6</v>
      </c>
      <c r="O123" s="48">
        <f>SUM(M123)+N123</f>
        <v>5230.2</v>
      </c>
    </row>
    <row r="124" spans="1:16" ht="63" x14ac:dyDescent="0.2">
      <c r="A124" s="40"/>
      <c r="B124" s="41" t="s">
        <v>168</v>
      </c>
      <c r="C124" s="42" t="s">
        <v>51</v>
      </c>
      <c r="D124" s="43" t="s">
        <v>158</v>
      </c>
      <c r="E124" s="43" t="s">
        <v>169</v>
      </c>
      <c r="F124" s="44" t="s">
        <v>11</v>
      </c>
      <c r="G124" s="45">
        <f>G125</f>
        <v>1000</v>
      </c>
      <c r="H124" s="45"/>
      <c r="I124" s="45">
        <f>I125</f>
        <v>1000</v>
      </c>
      <c r="J124" s="46">
        <f>J125</f>
        <v>0</v>
      </c>
      <c r="K124" s="45"/>
      <c r="L124" s="46">
        <f>L125</f>
        <v>0</v>
      </c>
      <c r="M124" s="45">
        <f>M125</f>
        <v>1000</v>
      </c>
      <c r="N124" s="45">
        <f>N125</f>
        <v>0</v>
      </c>
      <c r="O124" s="45">
        <f>O125</f>
        <v>1000</v>
      </c>
    </row>
    <row r="125" spans="1:16" ht="31.5" x14ac:dyDescent="0.2">
      <c r="A125" s="40"/>
      <c r="B125" s="41" t="s">
        <v>40</v>
      </c>
      <c r="C125" s="42" t="s">
        <v>51</v>
      </c>
      <c r="D125" s="43" t="s">
        <v>158</v>
      </c>
      <c r="E125" s="43" t="s">
        <v>169</v>
      </c>
      <c r="F125" s="44" t="s">
        <v>41</v>
      </c>
      <c r="G125" s="45">
        <v>1000</v>
      </c>
      <c r="H125" s="45"/>
      <c r="I125" s="45">
        <v>1000</v>
      </c>
      <c r="J125" s="47"/>
      <c r="K125" s="45"/>
      <c r="L125" s="47"/>
      <c r="M125" s="45">
        <v>1000</v>
      </c>
      <c r="N125" s="45"/>
      <c r="O125" s="45">
        <v>1000</v>
      </c>
    </row>
    <row r="126" spans="1:16" ht="37.9" customHeight="1" x14ac:dyDescent="0.2">
      <c r="A126" s="40"/>
      <c r="B126" s="41" t="s">
        <v>170</v>
      </c>
      <c r="C126" s="42" t="s">
        <v>51</v>
      </c>
      <c r="D126" s="43" t="s">
        <v>158</v>
      </c>
      <c r="E126" s="43" t="s">
        <v>171</v>
      </c>
      <c r="F126" s="44" t="s">
        <v>11</v>
      </c>
      <c r="G126" s="45">
        <f t="shared" ref="G126:O127" si="15">G127</f>
        <v>13584.1</v>
      </c>
      <c r="H126" s="45">
        <f t="shared" si="15"/>
        <v>0</v>
      </c>
      <c r="I126" s="45">
        <f t="shared" si="15"/>
        <v>13584.1</v>
      </c>
      <c r="J126" s="46">
        <f t="shared" si="15"/>
        <v>0</v>
      </c>
      <c r="K126" s="45">
        <f t="shared" si="15"/>
        <v>0</v>
      </c>
      <c r="L126" s="46">
        <f t="shared" si="15"/>
        <v>0</v>
      </c>
      <c r="M126" s="45">
        <f t="shared" si="15"/>
        <v>13584.1</v>
      </c>
      <c r="N126" s="45">
        <f t="shared" si="15"/>
        <v>0</v>
      </c>
      <c r="O126" s="45">
        <f t="shared" si="15"/>
        <v>13584.1</v>
      </c>
    </row>
    <row r="127" spans="1:16" ht="94.5" x14ac:dyDescent="0.2">
      <c r="A127" s="40"/>
      <c r="B127" s="41" t="s">
        <v>172</v>
      </c>
      <c r="C127" s="42" t="s">
        <v>51</v>
      </c>
      <c r="D127" s="43" t="s">
        <v>158</v>
      </c>
      <c r="E127" s="43" t="s">
        <v>173</v>
      </c>
      <c r="F127" s="44" t="s">
        <v>11</v>
      </c>
      <c r="G127" s="45">
        <f t="shared" si="15"/>
        <v>13584.1</v>
      </c>
      <c r="H127" s="45"/>
      <c r="I127" s="45">
        <f t="shared" si="15"/>
        <v>13584.1</v>
      </c>
      <c r="J127" s="46">
        <f t="shared" si="15"/>
        <v>0</v>
      </c>
      <c r="K127" s="45"/>
      <c r="L127" s="46">
        <f t="shared" si="15"/>
        <v>0</v>
      </c>
      <c r="M127" s="45">
        <f t="shared" si="15"/>
        <v>13584.1</v>
      </c>
      <c r="N127" s="45">
        <f t="shared" si="15"/>
        <v>0</v>
      </c>
      <c r="O127" s="45">
        <f t="shared" si="15"/>
        <v>13584.1</v>
      </c>
    </row>
    <row r="128" spans="1:16" ht="15.75" x14ac:dyDescent="0.2">
      <c r="A128" s="40"/>
      <c r="B128" s="41" t="s">
        <v>47</v>
      </c>
      <c r="C128" s="42" t="s">
        <v>51</v>
      </c>
      <c r="D128" s="43" t="s">
        <v>158</v>
      </c>
      <c r="E128" s="43" t="s">
        <v>173</v>
      </c>
      <c r="F128" s="44" t="s">
        <v>48</v>
      </c>
      <c r="G128" s="45">
        <f>13584.2-0.1</f>
        <v>13584.1</v>
      </c>
      <c r="H128" s="45">
        <f t="shared" ref="G128:O130" si="16">H129</f>
        <v>0</v>
      </c>
      <c r="I128" s="45">
        <f>13584.2-0.1</f>
        <v>13584.1</v>
      </c>
      <c r="J128" s="47">
        <v>0</v>
      </c>
      <c r="K128" s="45">
        <f t="shared" si="16"/>
        <v>0</v>
      </c>
      <c r="L128" s="47">
        <v>0</v>
      </c>
      <c r="M128" s="45">
        <f>13584.2-0.1</f>
        <v>13584.1</v>
      </c>
      <c r="N128" s="45"/>
      <c r="O128" s="45">
        <f>13584.2-0.1</f>
        <v>13584.1</v>
      </c>
    </row>
    <row r="129" spans="1:15" ht="63" x14ac:dyDescent="0.2">
      <c r="A129" s="40"/>
      <c r="B129" s="41" t="s">
        <v>174</v>
      </c>
      <c r="C129" s="42" t="s">
        <v>51</v>
      </c>
      <c r="D129" s="43" t="s">
        <v>158</v>
      </c>
      <c r="E129" s="43" t="s">
        <v>175</v>
      </c>
      <c r="F129" s="44" t="s">
        <v>11</v>
      </c>
      <c r="G129" s="45">
        <f t="shared" si="16"/>
        <v>1516.6000000000001</v>
      </c>
      <c r="H129" s="45">
        <f t="shared" si="16"/>
        <v>0</v>
      </c>
      <c r="I129" s="45">
        <f t="shared" si="16"/>
        <v>1516.6000000000001</v>
      </c>
      <c r="J129" s="46">
        <f t="shared" si="16"/>
        <v>0</v>
      </c>
      <c r="K129" s="45">
        <f t="shared" si="16"/>
        <v>0</v>
      </c>
      <c r="L129" s="46">
        <f t="shared" si="16"/>
        <v>0</v>
      </c>
      <c r="M129" s="45">
        <f t="shared" si="16"/>
        <v>1516.6000000000001</v>
      </c>
      <c r="N129" s="45">
        <f t="shared" si="16"/>
        <v>0</v>
      </c>
      <c r="O129" s="45">
        <f t="shared" si="16"/>
        <v>1516.6000000000001</v>
      </c>
    </row>
    <row r="130" spans="1:15" ht="78.75" x14ac:dyDescent="0.2">
      <c r="A130" s="40"/>
      <c r="B130" s="41" t="s">
        <v>176</v>
      </c>
      <c r="C130" s="42" t="s">
        <v>51</v>
      </c>
      <c r="D130" s="43" t="s">
        <v>158</v>
      </c>
      <c r="E130" s="43" t="s">
        <v>177</v>
      </c>
      <c r="F130" s="44" t="s">
        <v>11</v>
      </c>
      <c r="G130" s="45">
        <f t="shared" si="16"/>
        <v>1516.6000000000001</v>
      </c>
      <c r="H130" s="45"/>
      <c r="I130" s="45">
        <f t="shared" si="16"/>
        <v>1516.6000000000001</v>
      </c>
      <c r="J130" s="46">
        <f t="shared" si="16"/>
        <v>0</v>
      </c>
      <c r="K130" s="45"/>
      <c r="L130" s="46">
        <f t="shared" si="16"/>
        <v>0</v>
      </c>
      <c r="M130" s="45">
        <f t="shared" si="16"/>
        <v>1516.6000000000001</v>
      </c>
      <c r="N130" s="45">
        <f t="shared" si="16"/>
        <v>0</v>
      </c>
      <c r="O130" s="45">
        <f t="shared" si="16"/>
        <v>1516.6000000000001</v>
      </c>
    </row>
    <row r="131" spans="1:15" ht="15.75" x14ac:dyDescent="0.2">
      <c r="A131" s="40"/>
      <c r="B131" s="41" t="s">
        <v>178</v>
      </c>
      <c r="C131" s="42" t="s">
        <v>51</v>
      </c>
      <c r="D131" s="43" t="s">
        <v>158</v>
      </c>
      <c r="E131" s="43" t="s">
        <v>177</v>
      </c>
      <c r="F131" s="44" t="s">
        <v>48</v>
      </c>
      <c r="G131" s="45">
        <f>1516.7-0.1</f>
        <v>1516.6000000000001</v>
      </c>
      <c r="H131" s="45"/>
      <c r="I131" s="45">
        <f>1516.7-0.1</f>
        <v>1516.6000000000001</v>
      </c>
      <c r="J131" s="47">
        <v>0</v>
      </c>
      <c r="K131" s="45"/>
      <c r="L131" s="47">
        <v>0</v>
      </c>
      <c r="M131" s="45">
        <f>1516.7-0.1</f>
        <v>1516.6000000000001</v>
      </c>
      <c r="N131" s="45"/>
      <c r="O131" s="45">
        <f>1516.7-0.1</f>
        <v>1516.6000000000001</v>
      </c>
    </row>
    <row r="132" spans="1:15" ht="31.5" x14ac:dyDescent="0.2">
      <c r="A132" s="40"/>
      <c r="B132" s="41" t="s">
        <v>66</v>
      </c>
      <c r="C132" s="42">
        <v>992</v>
      </c>
      <c r="D132" s="43" t="s">
        <v>158</v>
      </c>
      <c r="E132" s="43">
        <v>5200000000</v>
      </c>
      <c r="F132" s="44"/>
      <c r="G132" s="45">
        <v>763.3</v>
      </c>
      <c r="H132" s="45"/>
      <c r="I132" s="45">
        <f>SUM(G132)</f>
        <v>763.3</v>
      </c>
      <c r="J132" s="47"/>
      <c r="K132" s="45"/>
      <c r="L132" s="47"/>
      <c r="M132" s="45">
        <f>SUM(G132)</f>
        <v>763.3</v>
      </c>
      <c r="N132" s="45">
        <f t="shared" ref="N132:O134" si="17">SUM(H132)</f>
        <v>0</v>
      </c>
      <c r="O132" s="45">
        <f t="shared" si="17"/>
        <v>763.3</v>
      </c>
    </row>
    <row r="133" spans="1:15" ht="31.5" x14ac:dyDescent="0.2">
      <c r="A133" s="40"/>
      <c r="B133" s="41" t="s">
        <v>80</v>
      </c>
      <c r="C133" s="42">
        <v>992</v>
      </c>
      <c r="D133" s="43" t="s">
        <v>158</v>
      </c>
      <c r="E133" s="43">
        <v>5230000000</v>
      </c>
      <c r="F133" s="44"/>
      <c r="G133" s="45">
        <v>763.3</v>
      </c>
      <c r="H133" s="45"/>
      <c r="I133" s="45">
        <f>SUM(G133)</f>
        <v>763.3</v>
      </c>
      <c r="J133" s="47"/>
      <c r="K133" s="45"/>
      <c r="L133" s="47"/>
      <c r="M133" s="45">
        <f>SUM(G133)</f>
        <v>763.3</v>
      </c>
      <c r="N133" s="45">
        <f t="shared" si="17"/>
        <v>0</v>
      </c>
      <c r="O133" s="45">
        <f t="shared" si="17"/>
        <v>763.3</v>
      </c>
    </row>
    <row r="134" spans="1:15" ht="31.5" x14ac:dyDescent="0.2">
      <c r="A134" s="40"/>
      <c r="B134" s="41" t="s">
        <v>82</v>
      </c>
      <c r="C134" s="42">
        <v>992</v>
      </c>
      <c r="D134" s="43" t="s">
        <v>158</v>
      </c>
      <c r="E134" s="43">
        <v>5230010490</v>
      </c>
      <c r="F134" s="44"/>
      <c r="G134" s="45">
        <v>763.3</v>
      </c>
      <c r="H134" s="45"/>
      <c r="I134" s="45">
        <f>SUM(G134)</f>
        <v>763.3</v>
      </c>
      <c r="J134" s="47"/>
      <c r="K134" s="45"/>
      <c r="L134" s="47"/>
      <c r="M134" s="45">
        <f>SUM(G134)</f>
        <v>763.3</v>
      </c>
      <c r="N134" s="45">
        <f t="shared" si="17"/>
        <v>0</v>
      </c>
      <c r="O134" s="45">
        <f t="shared" si="17"/>
        <v>763.3</v>
      </c>
    </row>
    <row r="135" spans="1:15" ht="31.5" x14ac:dyDescent="0.2">
      <c r="A135" s="40"/>
      <c r="B135" s="41" t="s">
        <v>40</v>
      </c>
      <c r="C135" s="42">
        <v>992</v>
      </c>
      <c r="D135" s="43" t="s">
        <v>158</v>
      </c>
      <c r="E135" s="43">
        <v>5230010490</v>
      </c>
      <c r="F135" s="44">
        <v>200</v>
      </c>
      <c r="G135" s="45">
        <v>763.3</v>
      </c>
      <c r="H135" s="45"/>
      <c r="I135" s="45">
        <f>SUM(G135)</f>
        <v>763.3</v>
      </c>
      <c r="J135" s="47"/>
      <c r="K135" s="45"/>
      <c r="L135" s="47"/>
      <c r="M135" s="45">
        <f>SUM(G135)</f>
        <v>763.3</v>
      </c>
      <c r="N135" s="45">
        <f>SUM(H135)</f>
        <v>0</v>
      </c>
      <c r="O135" s="80">
        <f>SUM(I135)</f>
        <v>763.3</v>
      </c>
    </row>
    <row r="136" spans="1:15" ht="15.75" x14ac:dyDescent="0.2">
      <c r="A136" s="40"/>
      <c r="B136" s="41" t="s">
        <v>179</v>
      </c>
      <c r="C136" s="42" t="s">
        <v>51</v>
      </c>
      <c r="D136" s="43" t="s">
        <v>158</v>
      </c>
      <c r="E136" s="43" t="s">
        <v>180</v>
      </c>
      <c r="F136" s="44" t="s">
        <v>11</v>
      </c>
      <c r="G136" s="45">
        <f t="shared" ref="G136:O138" si="18">G137</f>
        <v>394.4</v>
      </c>
      <c r="H136" s="45">
        <f t="shared" si="18"/>
        <v>0</v>
      </c>
      <c r="I136" s="45">
        <f t="shared" si="18"/>
        <v>394.4</v>
      </c>
      <c r="J136" s="46">
        <f t="shared" si="18"/>
        <v>0</v>
      </c>
      <c r="K136" s="45">
        <f>K137</f>
        <v>0</v>
      </c>
      <c r="L136" s="46">
        <f t="shared" si="18"/>
        <v>0</v>
      </c>
      <c r="M136" s="45">
        <f t="shared" si="18"/>
        <v>394.4</v>
      </c>
      <c r="N136" s="45">
        <f t="shared" si="18"/>
        <v>0</v>
      </c>
      <c r="O136" s="45">
        <f t="shared" si="18"/>
        <v>394.4</v>
      </c>
    </row>
    <row r="137" spans="1:15" ht="31.5" x14ac:dyDescent="0.2">
      <c r="A137" s="40"/>
      <c r="B137" s="41" t="s">
        <v>181</v>
      </c>
      <c r="C137" s="42" t="s">
        <v>51</v>
      </c>
      <c r="D137" s="43" t="s">
        <v>158</v>
      </c>
      <c r="E137" s="43" t="s">
        <v>182</v>
      </c>
      <c r="F137" s="44" t="s">
        <v>11</v>
      </c>
      <c r="G137" s="45">
        <f t="shared" si="18"/>
        <v>394.4</v>
      </c>
      <c r="H137" s="45">
        <f t="shared" si="18"/>
        <v>0</v>
      </c>
      <c r="I137" s="45">
        <f t="shared" si="18"/>
        <v>394.4</v>
      </c>
      <c r="J137" s="46">
        <f t="shared" si="18"/>
        <v>0</v>
      </c>
      <c r="K137" s="45">
        <f>K138</f>
        <v>0</v>
      </c>
      <c r="L137" s="46">
        <f t="shared" si="18"/>
        <v>0</v>
      </c>
      <c r="M137" s="45">
        <f t="shared" si="18"/>
        <v>394.4</v>
      </c>
      <c r="N137" s="45">
        <f t="shared" si="18"/>
        <v>0</v>
      </c>
      <c r="O137" s="45">
        <f t="shared" si="18"/>
        <v>394.4</v>
      </c>
    </row>
    <row r="138" spans="1:15" ht="15.75" x14ac:dyDescent="0.2">
      <c r="A138" s="40"/>
      <c r="B138" s="41" t="s">
        <v>183</v>
      </c>
      <c r="C138" s="42" t="s">
        <v>51</v>
      </c>
      <c r="D138" s="43" t="s">
        <v>158</v>
      </c>
      <c r="E138" s="43" t="s">
        <v>184</v>
      </c>
      <c r="F138" s="44" t="s">
        <v>11</v>
      </c>
      <c r="G138" s="45">
        <f>G139</f>
        <v>394.4</v>
      </c>
      <c r="H138" s="45">
        <f>H139</f>
        <v>0</v>
      </c>
      <c r="I138" s="45">
        <f>I139</f>
        <v>394.4</v>
      </c>
      <c r="J138" s="46">
        <f t="shared" si="18"/>
        <v>0</v>
      </c>
      <c r="K138" s="45"/>
      <c r="L138" s="46">
        <f t="shared" si="18"/>
        <v>0</v>
      </c>
      <c r="M138" s="45">
        <f t="shared" si="18"/>
        <v>394.4</v>
      </c>
      <c r="N138" s="45">
        <f t="shared" si="18"/>
        <v>0</v>
      </c>
      <c r="O138" s="45">
        <f t="shared" si="18"/>
        <v>394.4</v>
      </c>
    </row>
    <row r="139" spans="1:15" ht="31.5" x14ac:dyDescent="0.2">
      <c r="A139" s="40"/>
      <c r="B139" s="41" t="s">
        <v>40</v>
      </c>
      <c r="C139" s="42" t="s">
        <v>51</v>
      </c>
      <c r="D139" s="43" t="s">
        <v>158</v>
      </c>
      <c r="E139" s="43" t="s">
        <v>184</v>
      </c>
      <c r="F139" s="44" t="s">
        <v>41</v>
      </c>
      <c r="G139" s="45">
        <v>394.4</v>
      </c>
      <c r="H139" s="45"/>
      <c r="I139" s="45">
        <f>SUM(G139)</f>
        <v>394.4</v>
      </c>
      <c r="J139" s="47">
        <v>0</v>
      </c>
      <c r="K139" s="45"/>
      <c r="L139" s="47">
        <v>0</v>
      </c>
      <c r="M139" s="45">
        <f>SUM(G139)</f>
        <v>394.4</v>
      </c>
      <c r="N139" s="45">
        <f>SUM(H139)</f>
        <v>0</v>
      </c>
      <c r="O139" s="45">
        <f>SUM(M139)</f>
        <v>394.4</v>
      </c>
    </row>
    <row r="140" spans="1:15" ht="31.5" x14ac:dyDescent="0.2">
      <c r="A140" s="40"/>
      <c r="B140" s="41" t="s">
        <v>185</v>
      </c>
      <c r="C140" s="42" t="s">
        <v>51</v>
      </c>
      <c r="D140" s="43" t="s">
        <v>158</v>
      </c>
      <c r="E140" s="43" t="s">
        <v>186</v>
      </c>
      <c r="F140" s="44" t="s">
        <v>11</v>
      </c>
      <c r="G140" s="45">
        <f t="shared" ref="G140:O142" si="19">G141</f>
        <v>3366.5</v>
      </c>
      <c r="H140" s="45">
        <f t="shared" si="19"/>
        <v>0</v>
      </c>
      <c r="I140" s="45">
        <f t="shared" si="19"/>
        <v>3366.5</v>
      </c>
      <c r="J140" s="46">
        <f t="shared" si="19"/>
        <v>0</v>
      </c>
      <c r="K140" s="45">
        <f>K141</f>
        <v>0</v>
      </c>
      <c r="L140" s="46">
        <f t="shared" si="19"/>
        <v>0</v>
      </c>
      <c r="M140" s="45">
        <f t="shared" si="19"/>
        <v>3366.5</v>
      </c>
      <c r="N140" s="45">
        <f t="shared" si="19"/>
        <v>0</v>
      </c>
      <c r="O140" s="45">
        <f t="shared" si="19"/>
        <v>3366.5</v>
      </c>
    </row>
    <row r="141" spans="1:15" ht="47.25" x14ac:dyDescent="0.2">
      <c r="A141" s="40"/>
      <c r="B141" s="41" t="s">
        <v>187</v>
      </c>
      <c r="C141" s="42" t="s">
        <v>51</v>
      </c>
      <c r="D141" s="43" t="s">
        <v>158</v>
      </c>
      <c r="E141" s="43" t="s">
        <v>188</v>
      </c>
      <c r="F141" s="44" t="s">
        <v>11</v>
      </c>
      <c r="G141" s="45">
        <f t="shared" si="19"/>
        <v>3366.5</v>
      </c>
      <c r="H141" s="45">
        <f t="shared" si="19"/>
        <v>0</v>
      </c>
      <c r="I141" s="45">
        <f t="shared" si="19"/>
        <v>3366.5</v>
      </c>
      <c r="J141" s="46">
        <f t="shared" si="19"/>
        <v>0</v>
      </c>
      <c r="K141" s="45">
        <f>K142</f>
        <v>0</v>
      </c>
      <c r="L141" s="46">
        <f t="shared" si="19"/>
        <v>0</v>
      </c>
      <c r="M141" s="45">
        <f t="shared" si="19"/>
        <v>3366.5</v>
      </c>
      <c r="N141" s="45">
        <f t="shared" si="19"/>
        <v>0</v>
      </c>
      <c r="O141" s="45">
        <f t="shared" si="19"/>
        <v>3366.5</v>
      </c>
    </row>
    <row r="142" spans="1:15" ht="78.75" x14ac:dyDescent="0.2">
      <c r="A142" s="40"/>
      <c r="B142" s="41" t="s">
        <v>189</v>
      </c>
      <c r="C142" s="42" t="s">
        <v>51</v>
      </c>
      <c r="D142" s="43" t="s">
        <v>158</v>
      </c>
      <c r="E142" s="43" t="s">
        <v>190</v>
      </c>
      <c r="F142" s="44" t="s">
        <v>11</v>
      </c>
      <c r="G142" s="45">
        <f>G143</f>
        <v>3366.5</v>
      </c>
      <c r="H142" s="45"/>
      <c r="I142" s="45">
        <f>I143</f>
        <v>3366.5</v>
      </c>
      <c r="J142" s="46">
        <f t="shared" si="19"/>
        <v>0</v>
      </c>
      <c r="K142" s="45"/>
      <c r="L142" s="46">
        <f t="shared" si="19"/>
        <v>0</v>
      </c>
      <c r="M142" s="45">
        <f t="shared" si="19"/>
        <v>3366.5</v>
      </c>
      <c r="N142" s="45">
        <f t="shared" si="19"/>
        <v>0</v>
      </c>
      <c r="O142" s="45">
        <f t="shared" si="19"/>
        <v>3366.5</v>
      </c>
    </row>
    <row r="143" spans="1:15" ht="15.75" x14ac:dyDescent="0.2">
      <c r="A143" s="40"/>
      <c r="B143" s="41" t="s">
        <v>47</v>
      </c>
      <c r="C143" s="42" t="s">
        <v>51</v>
      </c>
      <c r="D143" s="43" t="s">
        <v>158</v>
      </c>
      <c r="E143" s="43" t="s">
        <v>190</v>
      </c>
      <c r="F143" s="44" t="s">
        <v>48</v>
      </c>
      <c r="G143" s="45">
        <v>3366.5</v>
      </c>
      <c r="H143" s="38"/>
      <c r="I143" s="45">
        <v>3366.5</v>
      </c>
      <c r="J143" s="47">
        <v>0</v>
      </c>
      <c r="K143" s="38"/>
      <c r="L143" s="47">
        <v>0</v>
      </c>
      <c r="M143" s="45">
        <v>3366.5</v>
      </c>
      <c r="N143" s="45"/>
      <c r="O143" s="45">
        <v>3366.5</v>
      </c>
    </row>
    <row r="144" spans="1:15" ht="36.6" customHeight="1" x14ac:dyDescent="0.2">
      <c r="A144" s="33" t="s">
        <v>191</v>
      </c>
      <c r="B144" s="34" t="s">
        <v>192</v>
      </c>
      <c r="C144" s="35" t="s">
        <v>51</v>
      </c>
      <c r="D144" s="36" t="s">
        <v>193</v>
      </c>
      <c r="E144" s="36" t="s">
        <v>11</v>
      </c>
      <c r="F144" s="37" t="s">
        <v>11</v>
      </c>
      <c r="G144" s="38">
        <f>G145</f>
        <v>6043.3</v>
      </c>
      <c r="H144" s="45">
        <f>H145+H151+H155</f>
        <v>0</v>
      </c>
      <c r="I144" s="38">
        <f>I145</f>
        <v>6043.3</v>
      </c>
      <c r="J144" s="39">
        <f>J145</f>
        <v>0</v>
      </c>
      <c r="K144" s="45">
        <f>K145+K151+K155</f>
        <v>0</v>
      </c>
      <c r="L144" s="39">
        <f>L145</f>
        <v>0</v>
      </c>
      <c r="M144" s="38">
        <f>M145</f>
        <v>6043.3</v>
      </c>
      <c r="N144" s="38">
        <f>N145</f>
        <v>0</v>
      </c>
      <c r="O144" s="38">
        <f>O145</f>
        <v>6043.3</v>
      </c>
    </row>
    <row r="145" spans="1:16" ht="31.5" x14ac:dyDescent="0.2">
      <c r="A145" s="40"/>
      <c r="B145" s="41" t="s">
        <v>159</v>
      </c>
      <c r="C145" s="42" t="s">
        <v>51</v>
      </c>
      <c r="D145" s="43" t="s">
        <v>193</v>
      </c>
      <c r="E145" s="43" t="s">
        <v>160</v>
      </c>
      <c r="F145" s="44" t="s">
        <v>11</v>
      </c>
      <c r="G145" s="45">
        <f>G146+G152+G156</f>
        <v>6043.3</v>
      </c>
      <c r="H145" s="45">
        <f>H146</f>
        <v>0</v>
      </c>
      <c r="I145" s="45">
        <f>I146+I152+I156</f>
        <v>6043.3</v>
      </c>
      <c r="J145" s="46">
        <f>J146+J152+J156</f>
        <v>0</v>
      </c>
      <c r="K145" s="45">
        <f>K146</f>
        <v>0</v>
      </c>
      <c r="L145" s="46">
        <f>L146+L152+L156</f>
        <v>0</v>
      </c>
      <c r="M145" s="45">
        <f>M146+M152+M156</f>
        <v>6043.3</v>
      </c>
      <c r="N145" s="45">
        <f>N146+N152+N156</f>
        <v>0</v>
      </c>
      <c r="O145" s="45">
        <f>O146+O152+O156</f>
        <v>6043.3</v>
      </c>
    </row>
    <row r="146" spans="1:16" ht="31.5" x14ac:dyDescent="0.2">
      <c r="A146" s="40"/>
      <c r="B146" s="41" t="s">
        <v>194</v>
      </c>
      <c r="C146" s="42" t="s">
        <v>51</v>
      </c>
      <c r="D146" s="43" t="s">
        <v>193</v>
      </c>
      <c r="E146" s="43" t="s">
        <v>195</v>
      </c>
      <c r="F146" s="44" t="s">
        <v>11</v>
      </c>
      <c r="G146" s="45">
        <f>G147</f>
        <v>5928.3</v>
      </c>
      <c r="H146" s="45">
        <f>H147</f>
        <v>0</v>
      </c>
      <c r="I146" s="45">
        <f>I147</f>
        <v>5928.3</v>
      </c>
      <c r="J146" s="46">
        <f>J147</f>
        <v>0</v>
      </c>
      <c r="K146" s="45">
        <f>K147+K149</f>
        <v>0</v>
      </c>
      <c r="L146" s="46">
        <f>L147</f>
        <v>0</v>
      </c>
      <c r="M146" s="45">
        <f>M147</f>
        <v>5928.3</v>
      </c>
      <c r="N146" s="45">
        <f>N147</f>
        <v>0</v>
      </c>
      <c r="O146" s="45">
        <f>O147</f>
        <v>5928.3</v>
      </c>
    </row>
    <row r="147" spans="1:16" ht="47.25" x14ac:dyDescent="0.2">
      <c r="A147" s="40"/>
      <c r="B147" s="41" t="s">
        <v>196</v>
      </c>
      <c r="C147" s="42" t="s">
        <v>51</v>
      </c>
      <c r="D147" s="43" t="s">
        <v>193</v>
      </c>
      <c r="E147" s="43" t="s">
        <v>197</v>
      </c>
      <c r="F147" s="44" t="s">
        <v>11</v>
      </c>
      <c r="G147" s="45">
        <f>G148+G150</f>
        <v>5928.3</v>
      </c>
      <c r="H147" s="45">
        <f>H148</f>
        <v>0</v>
      </c>
      <c r="I147" s="45">
        <f>I148+I150</f>
        <v>5928.3</v>
      </c>
      <c r="J147" s="46">
        <f>J148+J150</f>
        <v>0</v>
      </c>
      <c r="K147" s="45">
        <f>K148</f>
        <v>0</v>
      </c>
      <c r="L147" s="46">
        <f>L148+L150</f>
        <v>0</v>
      </c>
      <c r="M147" s="45">
        <f>M148+M150</f>
        <v>5928.3</v>
      </c>
      <c r="N147" s="45">
        <f>N148+N150</f>
        <v>0</v>
      </c>
      <c r="O147" s="45">
        <f>O148+O150</f>
        <v>5928.3</v>
      </c>
      <c r="P147" s="16"/>
    </row>
    <row r="148" spans="1:16" ht="31.5" x14ac:dyDescent="0.2">
      <c r="A148" s="40"/>
      <c r="B148" s="41" t="s">
        <v>198</v>
      </c>
      <c r="C148" s="42" t="s">
        <v>51</v>
      </c>
      <c r="D148" s="43" t="s">
        <v>193</v>
      </c>
      <c r="E148" s="43" t="s">
        <v>199</v>
      </c>
      <c r="F148" s="44" t="s">
        <v>11</v>
      </c>
      <c r="G148" s="45">
        <f>G149</f>
        <v>1063.5</v>
      </c>
      <c r="H148" s="48">
        <f>SUM(H149)</f>
        <v>0</v>
      </c>
      <c r="I148" s="45">
        <f>I149</f>
        <v>1063.5</v>
      </c>
      <c r="J148" s="46">
        <f>J149</f>
        <v>0</v>
      </c>
      <c r="K148" s="48"/>
      <c r="L148" s="46">
        <f>L149</f>
        <v>0</v>
      </c>
      <c r="M148" s="45">
        <f>M149</f>
        <v>1063.5</v>
      </c>
      <c r="N148" s="45">
        <f>N149</f>
        <v>0</v>
      </c>
      <c r="O148" s="45">
        <f>O149</f>
        <v>1063.5</v>
      </c>
    </row>
    <row r="149" spans="1:16" ht="31.5" x14ac:dyDescent="0.2">
      <c r="A149" s="40"/>
      <c r="B149" s="41" t="s">
        <v>40</v>
      </c>
      <c r="C149" s="42" t="s">
        <v>51</v>
      </c>
      <c r="D149" s="43" t="s">
        <v>193</v>
      </c>
      <c r="E149" s="43" t="s">
        <v>199</v>
      </c>
      <c r="F149" s="44" t="s">
        <v>41</v>
      </c>
      <c r="G149" s="48">
        <v>1063.5</v>
      </c>
      <c r="H149" s="45"/>
      <c r="I149" s="48">
        <f>SUM(G149)+H149</f>
        <v>1063.5</v>
      </c>
      <c r="J149" s="47">
        <v>0</v>
      </c>
      <c r="K149" s="45"/>
      <c r="L149" s="47">
        <v>0</v>
      </c>
      <c r="M149" s="48">
        <f>SUM(G149)</f>
        <v>1063.5</v>
      </c>
      <c r="N149" s="48">
        <f>SUM(H149)</f>
        <v>0</v>
      </c>
      <c r="O149" s="48">
        <f>SUM(I149)</f>
        <v>1063.5</v>
      </c>
    </row>
    <row r="150" spans="1:16" ht="63" x14ac:dyDescent="0.2">
      <c r="A150" s="40"/>
      <c r="B150" s="41" t="s">
        <v>200</v>
      </c>
      <c r="C150" s="42" t="s">
        <v>51</v>
      </c>
      <c r="D150" s="43" t="s">
        <v>193</v>
      </c>
      <c r="E150" s="43" t="s">
        <v>201</v>
      </c>
      <c r="F150" s="44" t="s">
        <v>11</v>
      </c>
      <c r="G150" s="45">
        <f>G151</f>
        <v>4864.8</v>
      </c>
      <c r="H150" s="45"/>
      <c r="I150" s="45">
        <f>I151</f>
        <v>4864.8</v>
      </c>
      <c r="J150" s="46">
        <f>J151</f>
        <v>0</v>
      </c>
      <c r="K150" s="45"/>
      <c r="L150" s="46">
        <f>L151</f>
        <v>0</v>
      </c>
      <c r="M150" s="45">
        <f>M151</f>
        <v>4864.8</v>
      </c>
      <c r="N150" s="45">
        <f>N151</f>
        <v>0</v>
      </c>
      <c r="O150" s="45">
        <f>O151</f>
        <v>4864.8</v>
      </c>
    </row>
    <row r="151" spans="1:16" ht="15.75" x14ac:dyDescent="0.2">
      <c r="A151" s="40"/>
      <c r="B151" s="41" t="s">
        <v>47</v>
      </c>
      <c r="C151" s="42" t="s">
        <v>51</v>
      </c>
      <c r="D151" s="43" t="s">
        <v>193</v>
      </c>
      <c r="E151" s="43" t="s">
        <v>201</v>
      </c>
      <c r="F151" s="44" t="s">
        <v>48</v>
      </c>
      <c r="G151" s="45">
        <v>4864.8</v>
      </c>
      <c r="H151" s="45"/>
      <c r="I151" s="45">
        <v>4864.8</v>
      </c>
      <c r="J151" s="47">
        <v>0</v>
      </c>
      <c r="K151" s="45"/>
      <c r="L151" s="47">
        <v>0</v>
      </c>
      <c r="M151" s="45">
        <v>4864.8</v>
      </c>
      <c r="N151" s="45"/>
      <c r="O151" s="45">
        <v>4864.8</v>
      </c>
    </row>
    <row r="152" spans="1:16" ht="15.75" x14ac:dyDescent="0.2">
      <c r="A152" s="40"/>
      <c r="B152" s="41" t="s">
        <v>202</v>
      </c>
      <c r="C152" s="42" t="s">
        <v>51</v>
      </c>
      <c r="D152" s="43" t="s">
        <v>193</v>
      </c>
      <c r="E152" s="43" t="s">
        <v>203</v>
      </c>
      <c r="F152" s="44" t="s">
        <v>11</v>
      </c>
      <c r="G152" s="45">
        <f t="shared" ref="G152:O154" si="20">G153</f>
        <v>20</v>
      </c>
      <c r="H152" s="45">
        <f t="shared" si="20"/>
        <v>0</v>
      </c>
      <c r="I152" s="45">
        <f t="shared" si="20"/>
        <v>20</v>
      </c>
      <c r="J152" s="46">
        <f t="shared" si="20"/>
        <v>0</v>
      </c>
      <c r="K152" s="45">
        <f>K153</f>
        <v>0</v>
      </c>
      <c r="L152" s="46">
        <f t="shared" si="20"/>
        <v>0</v>
      </c>
      <c r="M152" s="45">
        <f t="shared" si="20"/>
        <v>20</v>
      </c>
      <c r="N152" s="45">
        <f t="shared" si="20"/>
        <v>0</v>
      </c>
      <c r="O152" s="45">
        <f t="shared" si="20"/>
        <v>20</v>
      </c>
    </row>
    <row r="153" spans="1:16" ht="34.9" customHeight="1" x14ac:dyDescent="0.2">
      <c r="A153" s="40"/>
      <c r="B153" s="41" t="s">
        <v>204</v>
      </c>
      <c r="C153" s="42" t="s">
        <v>51</v>
      </c>
      <c r="D153" s="43" t="s">
        <v>193</v>
      </c>
      <c r="E153" s="43" t="s">
        <v>205</v>
      </c>
      <c r="F153" s="44" t="s">
        <v>11</v>
      </c>
      <c r="G153" s="45">
        <f t="shared" si="20"/>
        <v>20</v>
      </c>
      <c r="H153" s="45">
        <f t="shared" si="20"/>
        <v>0</v>
      </c>
      <c r="I153" s="45">
        <f t="shared" si="20"/>
        <v>20</v>
      </c>
      <c r="J153" s="46">
        <f t="shared" si="20"/>
        <v>0</v>
      </c>
      <c r="K153" s="45">
        <f>K154</f>
        <v>0</v>
      </c>
      <c r="L153" s="46">
        <f t="shared" si="20"/>
        <v>0</v>
      </c>
      <c r="M153" s="45">
        <f t="shared" si="20"/>
        <v>20</v>
      </c>
      <c r="N153" s="45">
        <f t="shared" si="20"/>
        <v>0</v>
      </c>
      <c r="O153" s="45">
        <f t="shared" si="20"/>
        <v>20</v>
      </c>
    </row>
    <row r="154" spans="1:16" ht="15.75" x14ac:dyDescent="0.2">
      <c r="A154" s="40"/>
      <c r="B154" s="41" t="s">
        <v>206</v>
      </c>
      <c r="C154" s="42" t="s">
        <v>51</v>
      </c>
      <c r="D154" s="43" t="s">
        <v>193</v>
      </c>
      <c r="E154" s="43" t="s">
        <v>207</v>
      </c>
      <c r="F154" s="44" t="s">
        <v>11</v>
      </c>
      <c r="G154" s="45">
        <f>G155</f>
        <v>20</v>
      </c>
      <c r="H154" s="45"/>
      <c r="I154" s="45">
        <f>I155</f>
        <v>20</v>
      </c>
      <c r="J154" s="46">
        <f t="shared" si="20"/>
        <v>0</v>
      </c>
      <c r="K154" s="45"/>
      <c r="L154" s="46">
        <f t="shared" si="20"/>
        <v>0</v>
      </c>
      <c r="M154" s="45">
        <f t="shared" si="20"/>
        <v>20</v>
      </c>
      <c r="N154" s="45">
        <f t="shared" si="20"/>
        <v>0</v>
      </c>
      <c r="O154" s="45">
        <f t="shared" si="20"/>
        <v>20</v>
      </c>
    </row>
    <row r="155" spans="1:16" ht="31.5" x14ac:dyDescent="0.2">
      <c r="A155" s="40"/>
      <c r="B155" s="41" t="s">
        <v>40</v>
      </c>
      <c r="C155" s="42" t="s">
        <v>51</v>
      </c>
      <c r="D155" s="43" t="s">
        <v>193</v>
      </c>
      <c r="E155" s="43" t="s">
        <v>207</v>
      </c>
      <c r="F155" s="44" t="s">
        <v>41</v>
      </c>
      <c r="G155" s="45">
        <v>20</v>
      </c>
      <c r="H155" s="45"/>
      <c r="I155" s="45">
        <v>20</v>
      </c>
      <c r="J155" s="47">
        <v>0</v>
      </c>
      <c r="K155" s="45"/>
      <c r="L155" s="47">
        <v>0</v>
      </c>
      <c r="M155" s="45">
        <v>20</v>
      </c>
      <c r="N155" s="45"/>
      <c r="O155" s="45">
        <v>20</v>
      </c>
    </row>
    <row r="156" spans="1:16" ht="31.5" x14ac:dyDescent="0.2">
      <c r="A156" s="40"/>
      <c r="B156" s="41" t="s">
        <v>185</v>
      </c>
      <c r="C156" s="42" t="s">
        <v>51</v>
      </c>
      <c r="D156" s="43" t="s">
        <v>193</v>
      </c>
      <c r="E156" s="43" t="s">
        <v>186</v>
      </c>
      <c r="F156" s="44" t="s">
        <v>11</v>
      </c>
      <c r="G156" s="45">
        <f t="shared" ref="G156:O158" si="21">G157</f>
        <v>95</v>
      </c>
      <c r="H156" s="45">
        <f t="shared" si="21"/>
        <v>0</v>
      </c>
      <c r="I156" s="45">
        <f t="shared" si="21"/>
        <v>95</v>
      </c>
      <c r="J156" s="46">
        <f t="shared" si="21"/>
        <v>0</v>
      </c>
      <c r="K156" s="45">
        <f>K157</f>
        <v>0</v>
      </c>
      <c r="L156" s="46">
        <f t="shared" si="21"/>
        <v>0</v>
      </c>
      <c r="M156" s="45">
        <f t="shared" si="21"/>
        <v>95</v>
      </c>
      <c r="N156" s="45">
        <f t="shared" si="21"/>
        <v>0</v>
      </c>
      <c r="O156" s="45">
        <f t="shared" si="21"/>
        <v>95</v>
      </c>
    </row>
    <row r="157" spans="1:16" ht="52.15" customHeight="1" x14ac:dyDescent="0.2">
      <c r="A157" s="40"/>
      <c r="B157" s="41" t="s">
        <v>208</v>
      </c>
      <c r="C157" s="42" t="s">
        <v>51</v>
      </c>
      <c r="D157" s="43" t="s">
        <v>193</v>
      </c>
      <c r="E157" s="43" t="s">
        <v>209</v>
      </c>
      <c r="F157" s="44" t="s">
        <v>11</v>
      </c>
      <c r="G157" s="45">
        <f t="shared" si="21"/>
        <v>95</v>
      </c>
      <c r="H157" s="45">
        <f t="shared" si="21"/>
        <v>0</v>
      </c>
      <c r="I157" s="45">
        <f t="shared" si="21"/>
        <v>95</v>
      </c>
      <c r="J157" s="46">
        <f t="shared" si="21"/>
        <v>0</v>
      </c>
      <c r="K157" s="45">
        <f>K158</f>
        <v>0</v>
      </c>
      <c r="L157" s="46">
        <f t="shared" si="21"/>
        <v>0</v>
      </c>
      <c r="M157" s="45">
        <f t="shared" si="21"/>
        <v>95</v>
      </c>
      <c r="N157" s="45">
        <f t="shared" si="21"/>
        <v>0</v>
      </c>
      <c r="O157" s="45">
        <f t="shared" si="21"/>
        <v>95</v>
      </c>
    </row>
    <row r="158" spans="1:16" ht="20.45" customHeight="1" x14ac:dyDescent="0.2">
      <c r="A158" s="40"/>
      <c r="B158" s="41" t="s">
        <v>210</v>
      </c>
      <c r="C158" s="42" t="s">
        <v>51</v>
      </c>
      <c r="D158" s="43" t="s">
        <v>193</v>
      </c>
      <c r="E158" s="43" t="s">
        <v>211</v>
      </c>
      <c r="F158" s="44" t="s">
        <v>11</v>
      </c>
      <c r="G158" s="45">
        <f>G159</f>
        <v>95</v>
      </c>
      <c r="H158" s="45"/>
      <c r="I158" s="45">
        <f>I159</f>
        <v>95</v>
      </c>
      <c r="J158" s="46">
        <f t="shared" si="21"/>
        <v>0</v>
      </c>
      <c r="K158" s="45"/>
      <c r="L158" s="46">
        <f t="shared" si="21"/>
        <v>0</v>
      </c>
      <c r="M158" s="45">
        <f t="shared" si="21"/>
        <v>95</v>
      </c>
      <c r="N158" s="45">
        <f t="shared" si="21"/>
        <v>0</v>
      </c>
      <c r="O158" s="45">
        <f t="shared" si="21"/>
        <v>95</v>
      </c>
    </row>
    <row r="159" spans="1:16" ht="31.5" x14ac:dyDescent="0.2">
      <c r="A159" s="40"/>
      <c r="B159" s="41" t="s">
        <v>40</v>
      </c>
      <c r="C159" s="42" t="s">
        <v>51</v>
      </c>
      <c r="D159" s="43" t="s">
        <v>193</v>
      </c>
      <c r="E159" s="43" t="s">
        <v>211</v>
      </c>
      <c r="F159" s="44" t="s">
        <v>41</v>
      </c>
      <c r="G159" s="45">
        <v>95</v>
      </c>
      <c r="H159" s="25"/>
      <c r="I159" s="45">
        <v>95</v>
      </c>
      <c r="J159" s="47">
        <v>0</v>
      </c>
      <c r="K159" s="25"/>
      <c r="L159" s="47">
        <v>0</v>
      </c>
      <c r="M159" s="45">
        <v>95</v>
      </c>
      <c r="N159" s="45"/>
      <c r="O159" s="45">
        <v>95</v>
      </c>
    </row>
    <row r="160" spans="1:16" ht="15.75" x14ac:dyDescent="0.2">
      <c r="A160" s="20" t="s">
        <v>212</v>
      </c>
      <c r="B160" s="21" t="s">
        <v>213</v>
      </c>
      <c r="C160" s="22" t="s">
        <v>51</v>
      </c>
      <c r="D160" s="23" t="s">
        <v>214</v>
      </c>
      <c r="E160" s="23" t="s">
        <v>11</v>
      </c>
      <c r="F160" s="24" t="s">
        <v>11</v>
      </c>
      <c r="G160" s="25">
        <f>G161+G167+G189+G195</f>
        <v>63446.2</v>
      </c>
      <c r="H160" s="38">
        <f>H161+H167+H195</f>
        <v>1733.6</v>
      </c>
      <c r="I160" s="25">
        <f t="shared" ref="I160:O160" si="22">I161+I167+I189+I195</f>
        <v>65179.799999999996</v>
      </c>
      <c r="J160" s="26">
        <f t="shared" si="22"/>
        <v>66515.3</v>
      </c>
      <c r="K160" s="26">
        <f t="shared" si="22"/>
        <v>0</v>
      </c>
      <c r="L160" s="26">
        <f t="shared" si="22"/>
        <v>66515.3</v>
      </c>
      <c r="M160" s="25">
        <f t="shared" si="22"/>
        <v>129961.5</v>
      </c>
      <c r="N160" s="25">
        <f t="shared" si="22"/>
        <v>1733.6</v>
      </c>
      <c r="O160" s="76">
        <f t="shared" si="22"/>
        <v>131695.1</v>
      </c>
      <c r="P160" s="17"/>
    </row>
    <row r="161" spans="1:16" ht="15.75" x14ac:dyDescent="0.2">
      <c r="A161" s="33" t="s">
        <v>215</v>
      </c>
      <c r="B161" s="34" t="s">
        <v>216</v>
      </c>
      <c r="C161" s="35" t="s">
        <v>51</v>
      </c>
      <c r="D161" s="36" t="s">
        <v>217</v>
      </c>
      <c r="E161" s="36" t="s">
        <v>11</v>
      </c>
      <c r="F161" s="37" t="s">
        <v>11</v>
      </c>
      <c r="G161" s="38">
        <f t="shared" ref="G161:O165" si="23">G162</f>
        <v>487.6</v>
      </c>
      <c r="H161" s="45">
        <f t="shared" si="23"/>
        <v>0</v>
      </c>
      <c r="I161" s="38">
        <f t="shared" si="23"/>
        <v>487.6</v>
      </c>
      <c r="J161" s="39">
        <f t="shared" si="23"/>
        <v>9262.4</v>
      </c>
      <c r="K161" s="45">
        <f>K162</f>
        <v>0</v>
      </c>
      <c r="L161" s="39">
        <f t="shared" si="23"/>
        <v>9262.4</v>
      </c>
      <c r="M161" s="38">
        <f t="shared" si="23"/>
        <v>9750</v>
      </c>
      <c r="N161" s="38">
        <f t="shared" si="23"/>
        <v>0</v>
      </c>
      <c r="O161" s="38">
        <f t="shared" si="23"/>
        <v>9750</v>
      </c>
    </row>
    <row r="162" spans="1:16" ht="31.5" x14ac:dyDescent="0.2">
      <c r="A162" s="40"/>
      <c r="B162" s="41" t="s">
        <v>218</v>
      </c>
      <c r="C162" s="42" t="s">
        <v>51</v>
      </c>
      <c r="D162" s="43" t="s">
        <v>217</v>
      </c>
      <c r="E162" s="43" t="s">
        <v>219</v>
      </c>
      <c r="F162" s="44" t="s">
        <v>11</v>
      </c>
      <c r="G162" s="45">
        <f t="shared" si="23"/>
        <v>487.6</v>
      </c>
      <c r="H162" s="45">
        <f t="shared" si="23"/>
        <v>0</v>
      </c>
      <c r="I162" s="45">
        <f t="shared" si="23"/>
        <v>487.6</v>
      </c>
      <c r="J162" s="46">
        <f t="shared" si="23"/>
        <v>9262.4</v>
      </c>
      <c r="K162" s="45">
        <f>K163</f>
        <v>0</v>
      </c>
      <c r="L162" s="46">
        <f t="shared" si="23"/>
        <v>9262.4</v>
      </c>
      <c r="M162" s="45">
        <f t="shared" si="23"/>
        <v>9750</v>
      </c>
      <c r="N162" s="45">
        <f t="shared" si="23"/>
        <v>0</v>
      </c>
      <c r="O162" s="45">
        <f t="shared" si="23"/>
        <v>9750</v>
      </c>
    </row>
    <row r="163" spans="1:16" ht="31.5" x14ac:dyDescent="0.2">
      <c r="A163" s="40"/>
      <c r="B163" s="41" t="s">
        <v>185</v>
      </c>
      <c r="C163" s="42" t="s">
        <v>51</v>
      </c>
      <c r="D163" s="43" t="s">
        <v>217</v>
      </c>
      <c r="E163" s="43" t="s">
        <v>220</v>
      </c>
      <c r="F163" s="44" t="s">
        <v>11</v>
      </c>
      <c r="G163" s="45">
        <f t="shared" si="23"/>
        <v>487.6</v>
      </c>
      <c r="H163" s="45">
        <f t="shared" si="23"/>
        <v>0</v>
      </c>
      <c r="I163" s="45">
        <f t="shared" si="23"/>
        <v>487.6</v>
      </c>
      <c r="J163" s="46">
        <f t="shared" si="23"/>
        <v>9262.4</v>
      </c>
      <c r="K163" s="45">
        <f>K164</f>
        <v>0</v>
      </c>
      <c r="L163" s="46">
        <f t="shared" si="23"/>
        <v>9262.4</v>
      </c>
      <c r="M163" s="45">
        <f t="shared" si="23"/>
        <v>9750</v>
      </c>
      <c r="N163" s="45">
        <f t="shared" si="23"/>
        <v>0</v>
      </c>
      <c r="O163" s="45">
        <f t="shared" si="23"/>
        <v>9750</v>
      </c>
    </row>
    <row r="164" spans="1:16" ht="31.5" x14ac:dyDescent="0.2">
      <c r="A164" s="40"/>
      <c r="B164" s="41" t="s">
        <v>221</v>
      </c>
      <c r="C164" s="42" t="s">
        <v>51</v>
      </c>
      <c r="D164" s="43" t="s">
        <v>217</v>
      </c>
      <c r="E164" s="43" t="s">
        <v>222</v>
      </c>
      <c r="F164" s="44" t="s">
        <v>11</v>
      </c>
      <c r="G164" s="45">
        <f t="shared" si="23"/>
        <v>487.6</v>
      </c>
      <c r="H164" s="45">
        <f t="shared" si="23"/>
        <v>0</v>
      </c>
      <c r="I164" s="45">
        <f t="shared" si="23"/>
        <v>487.6</v>
      </c>
      <c r="J164" s="46">
        <f t="shared" si="23"/>
        <v>9262.4</v>
      </c>
      <c r="K164" s="45">
        <f>K165</f>
        <v>0</v>
      </c>
      <c r="L164" s="46">
        <f t="shared" si="23"/>
        <v>9262.4</v>
      </c>
      <c r="M164" s="45">
        <f t="shared" si="23"/>
        <v>9750</v>
      </c>
      <c r="N164" s="45">
        <f t="shared" si="23"/>
        <v>0</v>
      </c>
      <c r="O164" s="45">
        <f t="shared" si="23"/>
        <v>9750</v>
      </c>
    </row>
    <row r="165" spans="1:16" ht="94.5" x14ac:dyDescent="0.2">
      <c r="A165" s="40"/>
      <c r="B165" s="41" t="s">
        <v>223</v>
      </c>
      <c r="C165" s="42" t="s">
        <v>51</v>
      </c>
      <c r="D165" s="43" t="s">
        <v>217</v>
      </c>
      <c r="E165" s="43" t="s">
        <v>224</v>
      </c>
      <c r="F165" s="44" t="s">
        <v>11</v>
      </c>
      <c r="G165" s="45">
        <f>G166</f>
        <v>487.6</v>
      </c>
      <c r="H165" s="45">
        <f>H166</f>
        <v>0</v>
      </c>
      <c r="I165" s="45">
        <f>I166</f>
        <v>487.6</v>
      </c>
      <c r="J165" s="46">
        <f t="shared" si="23"/>
        <v>9262.4</v>
      </c>
      <c r="K165" s="45"/>
      <c r="L165" s="46">
        <f t="shared" si="23"/>
        <v>9262.4</v>
      </c>
      <c r="M165" s="45">
        <f t="shared" si="23"/>
        <v>9750</v>
      </c>
      <c r="N165" s="45">
        <f t="shared" si="23"/>
        <v>0</v>
      </c>
      <c r="O165" s="45">
        <f t="shared" si="23"/>
        <v>9750</v>
      </c>
    </row>
    <row r="166" spans="1:16" ht="31.5" x14ac:dyDescent="0.2">
      <c r="A166" s="40"/>
      <c r="B166" s="41" t="s">
        <v>225</v>
      </c>
      <c r="C166" s="42" t="s">
        <v>51</v>
      </c>
      <c r="D166" s="43" t="s">
        <v>217</v>
      </c>
      <c r="E166" s="43" t="s">
        <v>224</v>
      </c>
      <c r="F166" s="44" t="s">
        <v>226</v>
      </c>
      <c r="G166" s="45">
        <v>487.6</v>
      </c>
      <c r="H166" s="38"/>
      <c r="I166" s="45">
        <v>487.6</v>
      </c>
      <c r="J166" s="47">
        <v>9262.4</v>
      </c>
      <c r="K166" s="38"/>
      <c r="L166" s="47">
        <v>9262.4</v>
      </c>
      <c r="M166" s="45">
        <f>487.6+J166</f>
        <v>9750</v>
      </c>
      <c r="N166" s="45"/>
      <c r="O166" s="45">
        <f>487.6+L166</f>
        <v>9750</v>
      </c>
    </row>
    <row r="167" spans="1:16" ht="15.75" x14ac:dyDescent="0.2">
      <c r="A167" s="33" t="s">
        <v>227</v>
      </c>
      <c r="B167" s="34" t="s">
        <v>228</v>
      </c>
      <c r="C167" s="35" t="s">
        <v>51</v>
      </c>
      <c r="D167" s="36" t="s">
        <v>229</v>
      </c>
      <c r="E167" s="36" t="s">
        <v>11</v>
      </c>
      <c r="F167" s="37" t="s">
        <v>11</v>
      </c>
      <c r="G167" s="38">
        <f>G168+G181</f>
        <v>39118.9</v>
      </c>
      <c r="H167" s="45">
        <f>H168+H181+H187</f>
        <v>1133.5999999999999</v>
      </c>
      <c r="I167" s="38">
        <f>I168+I181+I186</f>
        <v>40252.5</v>
      </c>
      <c r="J167" s="39">
        <f>J168+J181</f>
        <v>43692.5</v>
      </c>
      <c r="K167" s="45">
        <f>K168</f>
        <v>0</v>
      </c>
      <c r="L167" s="39">
        <f>L168+L181</f>
        <v>43692.5</v>
      </c>
      <c r="M167" s="38">
        <f>M168+M181</f>
        <v>82811.399999999994</v>
      </c>
      <c r="N167" s="45">
        <f>N168+N181+N187</f>
        <v>1133.5999999999999</v>
      </c>
      <c r="O167" s="38">
        <f>O168+O181+O186</f>
        <v>83945</v>
      </c>
      <c r="P167" s="15"/>
    </row>
    <row r="168" spans="1:16" ht="47.25" x14ac:dyDescent="0.2">
      <c r="A168" s="40"/>
      <c r="B168" s="41" t="s">
        <v>230</v>
      </c>
      <c r="C168" s="42" t="s">
        <v>51</v>
      </c>
      <c r="D168" s="43" t="s">
        <v>229</v>
      </c>
      <c r="E168" s="43" t="s">
        <v>231</v>
      </c>
      <c r="F168" s="44" t="s">
        <v>11</v>
      </c>
      <c r="G168" s="45">
        <f>G169</f>
        <v>26691.7</v>
      </c>
      <c r="H168" s="45">
        <f>H169+H177</f>
        <v>0</v>
      </c>
      <c r="I168" s="45">
        <f>I169</f>
        <v>26691.7</v>
      </c>
      <c r="J168" s="46">
        <f>J169</f>
        <v>43692.5</v>
      </c>
      <c r="K168" s="45">
        <f>K169+K177</f>
        <v>0</v>
      </c>
      <c r="L168" s="46">
        <f>L169</f>
        <v>43692.5</v>
      </c>
      <c r="M168" s="45">
        <f>M169</f>
        <v>70384.2</v>
      </c>
      <c r="N168" s="45">
        <f>N169</f>
        <v>0</v>
      </c>
      <c r="O168" s="45">
        <f>O169</f>
        <v>70384.2</v>
      </c>
    </row>
    <row r="169" spans="1:16" ht="47.25" x14ac:dyDescent="0.2">
      <c r="A169" s="40"/>
      <c r="B169" s="41" t="s">
        <v>232</v>
      </c>
      <c r="C169" s="42" t="s">
        <v>51</v>
      </c>
      <c r="D169" s="43" t="s">
        <v>229</v>
      </c>
      <c r="E169" s="43" t="s">
        <v>233</v>
      </c>
      <c r="F169" s="44" t="s">
        <v>11</v>
      </c>
      <c r="G169" s="45">
        <f>G170+G178</f>
        <v>26691.7</v>
      </c>
      <c r="H169" s="45">
        <f>H170+H178</f>
        <v>0</v>
      </c>
      <c r="I169" s="45">
        <f>I170+I178</f>
        <v>26691.7</v>
      </c>
      <c r="J169" s="46">
        <f>J170+J178</f>
        <v>43692.5</v>
      </c>
      <c r="K169" s="45">
        <f>K170</f>
        <v>0</v>
      </c>
      <c r="L169" s="46">
        <f>L170+L178</f>
        <v>43692.5</v>
      </c>
      <c r="M169" s="45">
        <f>M170+M178</f>
        <v>70384.2</v>
      </c>
      <c r="N169" s="45">
        <f>N170+N178</f>
        <v>0</v>
      </c>
      <c r="O169" s="45">
        <f>O170+O178</f>
        <v>70384.2</v>
      </c>
    </row>
    <row r="170" spans="1:16" ht="31.5" x14ac:dyDescent="0.2">
      <c r="A170" s="40"/>
      <c r="B170" s="41" t="s">
        <v>234</v>
      </c>
      <c r="C170" s="42" t="s">
        <v>51</v>
      </c>
      <c r="D170" s="43" t="s">
        <v>229</v>
      </c>
      <c r="E170" s="43" t="s">
        <v>235</v>
      </c>
      <c r="F170" s="44" t="s">
        <v>11</v>
      </c>
      <c r="G170" s="45">
        <f>G171+G176+G174</f>
        <v>20581.7</v>
      </c>
      <c r="H170" s="45">
        <f t="shared" ref="H170:O170" si="24">H171+H176+H174</f>
        <v>0</v>
      </c>
      <c r="I170" s="45">
        <f t="shared" si="24"/>
        <v>20581.7</v>
      </c>
      <c r="J170" s="45">
        <f t="shared" si="24"/>
        <v>43692.5</v>
      </c>
      <c r="K170" s="45">
        <f t="shared" si="24"/>
        <v>0</v>
      </c>
      <c r="L170" s="45">
        <f t="shared" si="24"/>
        <v>43692.5</v>
      </c>
      <c r="M170" s="45">
        <f t="shared" si="24"/>
        <v>64274.2</v>
      </c>
      <c r="N170" s="45">
        <f t="shared" si="24"/>
        <v>0</v>
      </c>
      <c r="O170" s="45">
        <f t="shared" si="24"/>
        <v>64274.2</v>
      </c>
    </row>
    <row r="171" spans="1:16" ht="63" x14ac:dyDescent="0.2">
      <c r="A171" s="40"/>
      <c r="B171" s="41" t="s">
        <v>236</v>
      </c>
      <c r="C171" s="42" t="s">
        <v>51</v>
      </c>
      <c r="D171" s="43" t="s">
        <v>229</v>
      </c>
      <c r="E171" s="43" t="s">
        <v>237</v>
      </c>
      <c r="F171" s="44" t="s">
        <v>11</v>
      </c>
      <c r="G171" s="45">
        <f>G172+G173</f>
        <v>20281.7</v>
      </c>
      <c r="H171" s="45">
        <f>H172+H173</f>
        <v>0</v>
      </c>
      <c r="I171" s="45">
        <f t="shared" ref="I171:O171" si="25">I172+I173</f>
        <v>20281.7</v>
      </c>
      <c r="J171" s="46">
        <f t="shared" si="25"/>
        <v>17036</v>
      </c>
      <c r="K171" s="46">
        <f t="shared" si="25"/>
        <v>0</v>
      </c>
      <c r="L171" s="46">
        <f t="shared" si="25"/>
        <v>17036</v>
      </c>
      <c r="M171" s="45">
        <f t="shared" si="25"/>
        <v>37317.699999999997</v>
      </c>
      <c r="N171" s="45">
        <f t="shared" si="25"/>
        <v>0</v>
      </c>
      <c r="O171" s="45">
        <f t="shared" si="25"/>
        <v>37317.699999999997</v>
      </c>
    </row>
    <row r="172" spans="1:16" ht="31.5" x14ac:dyDescent="0.2">
      <c r="A172" s="40"/>
      <c r="B172" s="41" t="s">
        <v>40</v>
      </c>
      <c r="C172" s="42" t="s">
        <v>51</v>
      </c>
      <c r="D172" s="43" t="s">
        <v>229</v>
      </c>
      <c r="E172" s="43" t="s">
        <v>237</v>
      </c>
      <c r="F172" s="44" t="s">
        <v>41</v>
      </c>
      <c r="G172" s="48">
        <v>19201.7</v>
      </c>
      <c r="H172" s="48">
        <v>-60.2</v>
      </c>
      <c r="I172" s="48">
        <f>SUM(G172)+H172</f>
        <v>19141.5</v>
      </c>
      <c r="J172" s="47">
        <v>0</v>
      </c>
      <c r="K172" s="48">
        <f>26656.5-26656.5</f>
        <v>0</v>
      </c>
      <c r="L172" s="47">
        <f>SUM(K172)</f>
        <v>0</v>
      </c>
      <c r="M172" s="48">
        <f>SUM(G172)</f>
        <v>19201.7</v>
      </c>
      <c r="N172" s="48">
        <f>SUM(K172)+H172</f>
        <v>-60.2</v>
      </c>
      <c r="O172" s="45">
        <f>SUM(I172+L172)</f>
        <v>19141.5</v>
      </c>
    </row>
    <row r="173" spans="1:16" ht="31.5" x14ac:dyDescent="0.2">
      <c r="A173" s="40"/>
      <c r="B173" s="41" t="s">
        <v>225</v>
      </c>
      <c r="C173" s="58">
        <v>992</v>
      </c>
      <c r="D173" s="57" t="s">
        <v>229</v>
      </c>
      <c r="E173" s="57" t="s">
        <v>237</v>
      </c>
      <c r="F173" s="59" t="s">
        <v>226</v>
      </c>
      <c r="G173" s="48">
        <v>1080</v>
      </c>
      <c r="H173" s="45">
        <v>60.2</v>
      </c>
      <c r="I173" s="48">
        <f>SUM(G173)+H173</f>
        <v>1140.2</v>
      </c>
      <c r="J173" s="47">
        <v>17036</v>
      </c>
      <c r="K173" s="45"/>
      <c r="L173" s="47">
        <f>SUM(J173)</f>
        <v>17036</v>
      </c>
      <c r="M173" s="48">
        <f>SUM(G173+J173)</f>
        <v>18116</v>
      </c>
      <c r="N173" s="48">
        <f>SUM(K173)+H173</f>
        <v>60.2</v>
      </c>
      <c r="O173" s="48">
        <f>SUM(M173)+N173</f>
        <v>18176.2</v>
      </c>
    </row>
    <row r="174" spans="1:16" ht="110.25" x14ac:dyDescent="0.2">
      <c r="A174" s="40"/>
      <c r="B174" s="56" t="s">
        <v>238</v>
      </c>
      <c r="C174" s="58">
        <v>992</v>
      </c>
      <c r="D174" s="57" t="s">
        <v>229</v>
      </c>
      <c r="E174" s="57" t="s">
        <v>239</v>
      </c>
      <c r="F174" s="59"/>
      <c r="G174" s="48">
        <f t="shared" ref="G174:O174" si="26">G175</f>
        <v>0</v>
      </c>
      <c r="H174" s="45">
        <f t="shared" si="26"/>
        <v>0</v>
      </c>
      <c r="I174" s="48">
        <f t="shared" si="26"/>
        <v>0</v>
      </c>
      <c r="J174" s="47">
        <f t="shared" si="26"/>
        <v>26656.5</v>
      </c>
      <c r="K174" s="45">
        <f t="shared" si="26"/>
        <v>0</v>
      </c>
      <c r="L174" s="47">
        <f t="shared" si="26"/>
        <v>26656.5</v>
      </c>
      <c r="M174" s="48">
        <f t="shared" si="26"/>
        <v>26656.5</v>
      </c>
      <c r="N174" s="48">
        <f t="shared" si="26"/>
        <v>0</v>
      </c>
      <c r="O174" s="45">
        <f t="shared" si="26"/>
        <v>26656.5</v>
      </c>
    </row>
    <row r="175" spans="1:16" ht="31.5" x14ac:dyDescent="0.2">
      <c r="A175" s="40"/>
      <c r="B175" s="56" t="s">
        <v>40</v>
      </c>
      <c r="C175" s="58">
        <v>992</v>
      </c>
      <c r="D175" s="57" t="s">
        <v>229</v>
      </c>
      <c r="E175" s="57" t="s">
        <v>239</v>
      </c>
      <c r="F175" s="59" t="s">
        <v>41</v>
      </c>
      <c r="G175" s="48"/>
      <c r="H175" s="45"/>
      <c r="I175" s="48">
        <f>SUM(G175:H175)</f>
        <v>0</v>
      </c>
      <c r="J175" s="47">
        <v>26656.5</v>
      </c>
      <c r="K175" s="45"/>
      <c r="L175" s="47">
        <f>SUM(J175:K175)</f>
        <v>26656.5</v>
      </c>
      <c r="M175" s="48">
        <f>SUM(J175)</f>
        <v>26656.5</v>
      </c>
      <c r="N175" s="48">
        <f>H175+K175</f>
        <v>0</v>
      </c>
      <c r="O175" s="45">
        <f>I175+L175</f>
        <v>26656.5</v>
      </c>
    </row>
    <row r="176" spans="1:16" ht="78.75" x14ac:dyDescent="0.2">
      <c r="A176" s="40"/>
      <c r="B176" s="41" t="s">
        <v>240</v>
      </c>
      <c r="C176" s="42" t="s">
        <v>51</v>
      </c>
      <c r="D176" s="43" t="s">
        <v>229</v>
      </c>
      <c r="E176" s="43" t="s">
        <v>241</v>
      </c>
      <c r="F176" s="44" t="s">
        <v>11</v>
      </c>
      <c r="G176" s="45">
        <f>G177</f>
        <v>300</v>
      </c>
      <c r="H176" s="45"/>
      <c r="I176" s="45">
        <f>I177</f>
        <v>300</v>
      </c>
      <c r="J176" s="46">
        <f>J177</f>
        <v>0</v>
      </c>
      <c r="K176" s="45"/>
      <c r="L176" s="46">
        <f>L177</f>
        <v>0</v>
      </c>
      <c r="M176" s="45">
        <f>M177</f>
        <v>300</v>
      </c>
      <c r="N176" s="45">
        <f>N177</f>
        <v>0</v>
      </c>
      <c r="O176" s="45">
        <f>O177</f>
        <v>300</v>
      </c>
    </row>
    <row r="177" spans="1:15" ht="31.5" x14ac:dyDescent="0.2">
      <c r="A177" s="40"/>
      <c r="B177" s="41" t="s">
        <v>40</v>
      </c>
      <c r="C177" s="42" t="s">
        <v>51</v>
      </c>
      <c r="D177" s="43" t="s">
        <v>229</v>
      </c>
      <c r="E177" s="43" t="s">
        <v>241</v>
      </c>
      <c r="F177" s="44" t="s">
        <v>41</v>
      </c>
      <c r="G177" s="45">
        <v>300</v>
      </c>
      <c r="H177" s="45">
        <f t="shared" ref="G177:O179" si="27">H178</f>
        <v>0</v>
      </c>
      <c r="I177" s="45">
        <v>300</v>
      </c>
      <c r="J177" s="47">
        <v>0</v>
      </c>
      <c r="K177" s="45">
        <f t="shared" si="27"/>
        <v>0</v>
      </c>
      <c r="L177" s="47">
        <v>0</v>
      </c>
      <c r="M177" s="45">
        <v>300</v>
      </c>
      <c r="N177" s="45"/>
      <c r="O177" s="45">
        <v>300</v>
      </c>
    </row>
    <row r="178" spans="1:15" ht="31.5" x14ac:dyDescent="0.2">
      <c r="A178" s="40"/>
      <c r="B178" s="41" t="s">
        <v>242</v>
      </c>
      <c r="C178" s="42" t="s">
        <v>51</v>
      </c>
      <c r="D178" s="43" t="s">
        <v>229</v>
      </c>
      <c r="E178" s="43" t="s">
        <v>243</v>
      </c>
      <c r="F178" s="44" t="s">
        <v>11</v>
      </c>
      <c r="G178" s="45">
        <f t="shared" si="27"/>
        <v>6110</v>
      </c>
      <c r="H178" s="45">
        <f t="shared" si="27"/>
        <v>0</v>
      </c>
      <c r="I178" s="45">
        <f t="shared" si="27"/>
        <v>6110</v>
      </c>
      <c r="J178" s="46">
        <f t="shared" si="27"/>
        <v>0</v>
      </c>
      <c r="K178" s="45">
        <f t="shared" si="27"/>
        <v>0</v>
      </c>
      <c r="L178" s="46">
        <f t="shared" si="27"/>
        <v>0</v>
      </c>
      <c r="M178" s="45">
        <f t="shared" si="27"/>
        <v>6110</v>
      </c>
      <c r="N178" s="45">
        <f t="shared" si="27"/>
        <v>0</v>
      </c>
      <c r="O178" s="45">
        <f t="shared" si="27"/>
        <v>6110</v>
      </c>
    </row>
    <row r="179" spans="1:15" ht="78.75" x14ac:dyDescent="0.2">
      <c r="A179" s="40"/>
      <c r="B179" s="41" t="s">
        <v>240</v>
      </c>
      <c r="C179" s="42" t="s">
        <v>51</v>
      </c>
      <c r="D179" s="43" t="s">
        <v>229</v>
      </c>
      <c r="E179" s="43" t="s">
        <v>244</v>
      </c>
      <c r="F179" s="44" t="s">
        <v>11</v>
      </c>
      <c r="G179" s="45">
        <f t="shared" si="27"/>
        <v>6110</v>
      </c>
      <c r="H179" s="48"/>
      <c r="I179" s="45">
        <f t="shared" si="27"/>
        <v>6110</v>
      </c>
      <c r="J179" s="46">
        <f t="shared" si="27"/>
        <v>0</v>
      </c>
      <c r="K179" s="48"/>
      <c r="L179" s="46">
        <f t="shared" si="27"/>
        <v>0</v>
      </c>
      <c r="M179" s="45">
        <f t="shared" si="27"/>
        <v>6110</v>
      </c>
      <c r="N179" s="45">
        <f t="shared" si="27"/>
        <v>0</v>
      </c>
      <c r="O179" s="45">
        <f t="shared" si="27"/>
        <v>6110</v>
      </c>
    </row>
    <row r="180" spans="1:15" ht="31.5" x14ac:dyDescent="0.2">
      <c r="A180" s="40"/>
      <c r="B180" s="41" t="s">
        <v>40</v>
      </c>
      <c r="C180" s="42" t="s">
        <v>51</v>
      </c>
      <c r="D180" s="43" t="s">
        <v>229</v>
      </c>
      <c r="E180" s="43" t="s">
        <v>244</v>
      </c>
      <c r="F180" s="44" t="s">
        <v>41</v>
      </c>
      <c r="G180" s="48">
        <f>4810+1300</f>
        <v>6110</v>
      </c>
      <c r="H180" s="45"/>
      <c r="I180" s="48">
        <f>4810+1300</f>
        <v>6110</v>
      </c>
      <c r="J180" s="47">
        <v>0</v>
      </c>
      <c r="K180" s="45"/>
      <c r="L180" s="47">
        <v>0</v>
      </c>
      <c r="M180" s="48">
        <f>4810+1300</f>
        <v>6110</v>
      </c>
      <c r="N180" s="48"/>
      <c r="O180" s="48">
        <f>4810+1300</f>
        <v>6110</v>
      </c>
    </row>
    <row r="181" spans="1:15" ht="31.5" x14ac:dyDescent="0.2">
      <c r="A181" s="40"/>
      <c r="B181" s="41" t="s">
        <v>245</v>
      </c>
      <c r="C181" s="42" t="s">
        <v>51</v>
      </c>
      <c r="D181" s="43" t="s">
        <v>229</v>
      </c>
      <c r="E181" s="43" t="s">
        <v>246</v>
      </c>
      <c r="F181" s="44" t="s">
        <v>11</v>
      </c>
      <c r="G181" s="45">
        <f t="shared" ref="G181:O184" si="28">G182</f>
        <v>12427.2</v>
      </c>
      <c r="H181" s="45">
        <f t="shared" si="28"/>
        <v>0</v>
      </c>
      <c r="I181" s="45">
        <f t="shared" si="28"/>
        <v>12427.2</v>
      </c>
      <c r="J181" s="46">
        <f t="shared" si="28"/>
        <v>0</v>
      </c>
      <c r="K181" s="45">
        <f>K182</f>
        <v>0</v>
      </c>
      <c r="L181" s="46">
        <f t="shared" si="28"/>
        <v>0</v>
      </c>
      <c r="M181" s="45">
        <f t="shared" si="28"/>
        <v>12427.2</v>
      </c>
      <c r="N181" s="45">
        <f t="shared" si="28"/>
        <v>0</v>
      </c>
      <c r="O181" s="45">
        <f t="shared" si="28"/>
        <v>12427.2</v>
      </c>
    </row>
    <row r="182" spans="1:15" ht="15.75" x14ac:dyDescent="0.2">
      <c r="A182" s="40"/>
      <c r="B182" s="41" t="s">
        <v>247</v>
      </c>
      <c r="C182" s="42" t="s">
        <v>51</v>
      </c>
      <c r="D182" s="43" t="s">
        <v>229</v>
      </c>
      <c r="E182" s="43" t="s">
        <v>248</v>
      </c>
      <c r="F182" s="44" t="s">
        <v>11</v>
      </c>
      <c r="G182" s="45">
        <f t="shared" si="28"/>
        <v>12427.2</v>
      </c>
      <c r="H182" s="45">
        <f t="shared" si="28"/>
        <v>0</v>
      </c>
      <c r="I182" s="45">
        <f t="shared" si="28"/>
        <v>12427.2</v>
      </c>
      <c r="J182" s="46">
        <f t="shared" si="28"/>
        <v>0</v>
      </c>
      <c r="K182" s="45">
        <f>K183</f>
        <v>0</v>
      </c>
      <c r="L182" s="46">
        <f t="shared" si="28"/>
        <v>0</v>
      </c>
      <c r="M182" s="45">
        <f t="shared" si="28"/>
        <v>12427.2</v>
      </c>
      <c r="N182" s="45">
        <f t="shared" si="28"/>
        <v>0</v>
      </c>
      <c r="O182" s="45">
        <f t="shared" si="28"/>
        <v>12427.2</v>
      </c>
    </row>
    <row r="183" spans="1:15" ht="47.25" x14ac:dyDescent="0.2">
      <c r="A183" s="40"/>
      <c r="B183" s="41" t="s">
        <v>249</v>
      </c>
      <c r="C183" s="42" t="s">
        <v>51</v>
      </c>
      <c r="D183" s="43" t="s">
        <v>229</v>
      </c>
      <c r="E183" s="43" t="s">
        <v>250</v>
      </c>
      <c r="F183" s="44" t="s">
        <v>11</v>
      </c>
      <c r="G183" s="45">
        <f t="shared" si="28"/>
        <v>12427.2</v>
      </c>
      <c r="H183" s="45"/>
      <c r="I183" s="45">
        <f t="shared" si="28"/>
        <v>12427.2</v>
      </c>
      <c r="J183" s="46">
        <f t="shared" si="28"/>
        <v>0</v>
      </c>
      <c r="K183" s="45">
        <f>K184</f>
        <v>0</v>
      </c>
      <c r="L183" s="46">
        <f t="shared" si="28"/>
        <v>0</v>
      </c>
      <c r="M183" s="45">
        <f t="shared" si="28"/>
        <v>12427.2</v>
      </c>
      <c r="N183" s="45"/>
      <c r="O183" s="45">
        <f t="shared" si="28"/>
        <v>12427.2</v>
      </c>
    </row>
    <row r="184" spans="1:15" ht="31.5" x14ac:dyDescent="0.2">
      <c r="A184" s="40"/>
      <c r="B184" s="41" t="s">
        <v>134</v>
      </c>
      <c r="C184" s="42" t="s">
        <v>51</v>
      </c>
      <c r="D184" s="43" t="s">
        <v>229</v>
      </c>
      <c r="E184" s="43" t="s">
        <v>251</v>
      </c>
      <c r="F184" s="44" t="s">
        <v>11</v>
      </c>
      <c r="G184" s="45">
        <f>G185</f>
        <v>12427.2</v>
      </c>
      <c r="H184" s="45">
        <f>SUM(H185)</f>
        <v>0</v>
      </c>
      <c r="I184" s="45">
        <f>I185</f>
        <v>12427.2</v>
      </c>
      <c r="J184" s="46">
        <f t="shared" si="28"/>
        <v>0</v>
      </c>
      <c r="K184" s="45"/>
      <c r="L184" s="46">
        <f t="shared" si="28"/>
        <v>0</v>
      </c>
      <c r="M184" s="45">
        <f t="shared" si="28"/>
        <v>12427.2</v>
      </c>
      <c r="N184" s="45">
        <f t="shared" si="28"/>
        <v>0</v>
      </c>
      <c r="O184" s="45">
        <f t="shared" si="28"/>
        <v>12427.2</v>
      </c>
    </row>
    <row r="185" spans="1:15" ht="34.9" customHeight="1" x14ac:dyDescent="0.2">
      <c r="A185" s="40"/>
      <c r="B185" s="41" t="s">
        <v>95</v>
      </c>
      <c r="C185" s="42" t="s">
        <v>51</v>
      </c>
      <c r="D185" s="43" t="s">
        <v>229</v>
      </c>
      <c r="E185" s="43" t="s">
        <v>251</v>
      </c>
      <c r="F185" s="44" t="s">
        <v>96</v>
      </c>
      <c r="G185" s="45">
        <v>12427.2</v>
      </c>
      <c r="H185" s="66"/>
      <c r="I185" s="45">
        <f>SUM(G185)</f>
        <v>12427.2</v>
      </c>
      <c r="J185" s="47">
        <v>0</v>
      </c>
      <c r="K185" s="38"/>
      <c r="L185" s="47">
        <v>0</v>
      </c>
      <c r="M185" s="45">
        <f>SUM(G185)</f>
        <v>12427.2</v>
      </c>
      <c r="N185" s="45">
        <f>SUM(H185)</f>
        <v>0</v>
      </c>
      <c r="O185" s="45">
        <f>SUM(M185)</f>
        <v>12427.2</v>
      </c>
    </row>
    <row r="186" spans="1:15" ht="34.9" customHeight="1" x14ac:dyDescent="0.2">
      <c r="A186" s="40"/>
      <c r="B186" s="56" t="s">
        <v>461</v>
      </c>
      <c r="C186" s="42">
        <v>992</v>
      </c>
      <c r="D186" s="43" t="s">
        <v>229</v>
      </c>
      <c r="E186" s="57" t="s">
        <v>462</v>
      </c>
      <c r="F186" s="44"/>
      <c r="G186" s="45"/>
      <c r="H186" s="66">
        <v>1133.5999999999999</v>
      </c>
      <c r="I186" s="66">
        <f>SUM(I187)</f>
        <v>1133.5999999999999</v>
      </c>
      <c r="J186" s="47"/>
      <c r="K186" s="38"/>
      <c r="L186" s="47"/>
      <c r="M186" s="45"/>
      <c r="N186" s="45">
        <f t="shared" ref="N186:O188" si="29">SUM(H186)</f>
        <v>1133.5999999999999</v>
      </c>
      <c r="O186" s="45">
        <f t="shared" si="29"/>
        <v>1133.5999999999999</v>
      </c>
    </row>
    <row r="187" spans="1:15" ht="47.25" customHeight="1" x14ac:dyDescent="0.2">
      <c r="A187" s="40"/>
      <c r="B187" s="56" t="s">
        <v>463</v>
      </c>
      <c r="C187" s="42">
        <v>992</v>
      </c>
      <c r="D187" s="43" t="s">
        <v>229</v>
      </c>
      <c r="E187" s="43">
        <v>1300122640</v>
      </c>
      <c r="F187" s="44"/>
      <c r="G187" s="45"/>
      <c r="H187" s="66">
        <f>SUM(H188)</f>
        <v>1133.5999999999999</v>
      </c>
      <c r="I187" s="66">
        <f>SUM(I188)</f>
        <v>1133.5999999999999</v>
      </c>
      <c r="J187" s="47"/>
      <c r="K187" s="38"/>
      <c r="L187" s="47"/>
      <c r="M187" s="45"/>
      <c r="N187" s="45">
        <f t="shared" si="29"/>
        <v>1133.5999999999999</v>
      </c>
      <c r="O187" s="45">
        <f t="shared" si="29"/>
        <v>1133.5999999999999</v>
      </c>
    </row>
    <row r="188" spans="1:15" ht="34.5" customHeight="1" x14ac:dyDescent="0.2">
      <c r="A188" s="40"/>
      <c r="B188" s="41" t="s">
        <v>95</v>
      </c>
      <c r="C188" s="42">
        <v>992</v>
      </c>
      <c r="D188" s="43" t="s">
        <v>229</v>
      </c>
      <c r="E188" s="43">
        <v>1300122640</v>
      </c>
      <c r="F188" s="44">
        <v>200</v>
      </c>
      <c r="G188" s="45"/>
      <c r="H188" s="66">
        <v>1133.5999999999999</v>
      </c>
      <c r="I188" s="66">
        <f>SUM(H188)</f>
        <v>1133.5999999999999</v>
      </c>
      <c r="J188" s="47"/>
      <c r="K188" s="38"/>
      <c r="L188" s="47"/>
      <c r="M188" s="45"/>
      <c r="N188" s="45">
        <f t="shared" si="29"/>
        <v>1133.5999999999999</v>
      </c>
      <c r="O188" s="45">
        <f t="shared" si="29"/>
        <v>1133.5999999999999</v>
      </c>
    </row>
    <row r="189" spans="1:15" ht="23.25" customHeight="1" x14ac:dyDescent="0.2">
      <c r="A189" s="33" t="s">
        <v>252</v>
      </c>
      <c r="B189" s="34" t="s">
        <v>253</v>
      </c>
      <c r="C189" s="35" t="s">
        <v>51</v>
      </c>
      <c r="D189" s="36" t="s">
        <v>254</v>
      </c>
      <c r="E189" s="36" t="s">
        <v>11</v>
      </c>
      <c r="F189" s="37" t="s">
        <v>11</v>
      </c>
      <c r="G189" s="38">
        <f t="shared" ref="G189:O193" si="30">G190</f>
        <v>1736</v>
      </c>
      <c r="H189" s="45">
        <f t="shared" si="30"/>
        <v>0</v>
      </c>
      <c r="I189" s="38">
        <f t="shared" si="30"/>
        <v>1736</v>
      </c>
      <c r="J189" s="39">
        <f t="shared" si="30"/>
        <v>0</v>
      </c>
      <c r="K189" s="45">
        <f>K190</f>
        <v>0</v>
      </c>
      <c r="L189" s="39">
        <f t="shared" si="30"/>
        <v>0</v>
      </c>
      <c r="M189" s="38">
        <f t="shared" si="30"/>
        <v>1736</v>
      </c>
      <c r="N189" s="38">
        <f t="shared" si="30"/>
        <v>0</v>
      </c>
      <c r="O189" s="38">
        <f t="shared" si="30"/>
        <v>1736</v>
      </c>
    </row>
    <row r="190" spans="1:15" ht="31.5" x14ac:dyDescent="0.2">
      <c r="A190" s="40"/>
      <c r="B190" s="41" t="s">
        <v>97</v>
      </c>
      <c r="C190" s="42" t="s">
        <v>51</v>
      </c>
      <c r="D190" s="43" t="s">
        <v>254</v>
      </c>
      <c r="E190" s="43" t="s">
        <v>98</v>
      </c>
      <c r="F190" s="44" t="s">
        <v>11</v>
      </c>
      <c r="G190" s="45">
        <f t="shared" si="30"/>
        <v>1736</v>
      </c>
      <c r="H190" s="45">
        <f t="shared" si="30"/>
        <v>0</v>
      </c>
      <c r="I190" s="45">
        <f t="shared" si="30"/>
        <v>1736</v>
      </c>
      <c r="J190" s="46">
        <f t="shared" si="30"/>
        <v>0</v>
      </c>
      <c r="K190" s="45">
        <f>K191</f>
        <v>0</v>
      </c>
      <c r="L190" s="46">
        <f t="shared" si="30"/>
        <v>0</v>
      </c>
      <c r="M190" s="45">
        <f t="shared" si="30"/>
        <v>1736</v>
      </c>
      <c r="N190" s="45">
        <f t="shared" si="30"/>
        <v>0</v>
      </c>
      <c r="O190" s="45">
        <f t="shared" si="30"/>
        <v>1736</v>
      </c>
    </row>
    <row r="191" spans="1:15" ht="15.75" x14ac:dyDescent="0.2">
      <c r="A191" s="40"/>
      <c r="B191" s="41" t="s">
        <v>255</v>
      </c>
      <c r="C191" s="42" t="s">
        <v>51</v>
      </c>
      <c r="D191" s="43" t="s">
        <v>254</v>
      </c>
      <c r="E191" s="43" t="s">
        <v>256</v>
      </c>
      <c r="F191" s="44" t="s">
        <v>11</v>
      </c>
      <c r="G191" s="45">
        <f t="shared" si="30"/>
        <v>1736</v>
      </c>
      <c r="H191" s="45">
        <f t="shared" si="30"/>
        <v>0</v>
      </c>
      <c r="I191" s="45">
        <f t="shared" si="30"/>
        <v>1736</v>
      </c>
      <c r="J191" s="46">
        <f t="shared" si="30"/>
        <v>0</v>
      </c>
      <c r="K191" s="45">
        <f>K192</f>
        <v>0</v>
      </c>
      <c r="L191" s="46">
        <f t="shared" si="30"/>
        <v>0</v>
      </c>
      <c r="M191" s="45">
        <f t="shared" si="30"/>
        <v>1736</v>
      </c>
      <c r="N191" s="45">
        <f t="shared" si="30"/>
        <v>0</v>
      </c>
      <c r="O191" s="45">
        <f t="shared" si="30"/>
        <v>1736</v>
      </c>
    </row>
    <row r="192" spans="1:15" ht="31.5" x14ac:dyDescent="0.2">
      <c r="A192" s="40"/>
      <c r="B192" s="41" t="s">
        <v>257</v>
      </c>
      <c r="C192" s="42" t="s">
        <v>51</v>
      </c>
      <c r="D192" s="43" t="s">
        <v>254</v>
      </c>
      <c r="E192" s="43" t="s">
        <v>258</v>
      </c>
      <c r="F192" s="44" t="s">
        <v>11</v>
      </c>
      <c r="G192" s="45">
        <f t="shared" si="30"/>
        <v>1736</v>
      </c>
      <c r="H192" s="45">
        <f t="shared" si="30"/>
        <v>0</v>
      </c>
      <c r="I192" s="45">
        <f t="shared" si="30"/>
        <v>1736</v>
      </c>
      <c r="J192" s="46">
        <f t="shared" si="30"/>
        <v>0</v>
      </c>
      <c r="K192" s="45">
        <f>K193</f>
        <v>0</v>
      </c>
      <c r="L192" s="46">
        <f t="shared" si="30"/>
        <v>0</v>
      </c>
      <c r="M192" s="45">
        <f t="shared" si="30"/>
        <v>1736</v>
      </c>
      <c r="N192" s="45">
        <f t="shared" si="30"/>
        <v>0</v>
      </c>
      <c r="O192" s="45">
        <f t="shared" si="30"/>
        <v>1736</v>
      </c>
    </row>
    <row r="193" spans="1:16" ht="32.450000000000003" customHeight="1" x14ac:dyDescent="0.2">
      <c r="A193" s="40"/>
      <c r="B193" s="41" t="s">
        <v>103</v>
      </c>
      <c r="C193" s="42" t="s">
        <v>51</v>
      </c>
      <c r="D193" s="43" t="s">
        <v>254</v>
      </c>
      <c r="E193" s="43" t="s">
        <v>259</v>
      </c>
      <c r="F193" s="44" t="s">
        <v>11</v>
      </c>
      <c r="G193" s="45">
        <f>G194</f>
        <v>1736</v>
      </c>
      <c r="H193" s="45"/>
      <c r="I193" s="45">
        <f>I194</f>
        <v>1736</v>
      </c>
      <c r="J193" s="46">
        <f t="shared" si="30"/>
        <v>0</v>
      </c>
      <c r="K193" s="45"/>
      <c r="L193" s="46">
        <f t="shared" si="30"/>
        <v>0</v>
      </c>
      <c r="M193" s="45">
        <f t="shared" si="30"/>
        <v>1736</v>
      </c>
      <c r="N193" s="45">
        <f t="shared" si="30"/>
        <v>0</v>
      </c>
      <c r="O193" s="45">
        <f t="shared" si="30"/>
        <v>1736</v>
      </c>
    </row>
    <row r="194" spans="1:16" ht="31.5" x14ac:dyDescent="0.2">
      <c r="A194" s="40"/>
      <c r="B194" s="41" t="s">
        <v>40</v>
      </c>
      <c r="C194" s="42" t="s">
        <v>51</v>
      </c>
      <c r="D194" s="43" t="s">
        <v>254</v>
      </c>
      <c r="E194" s="43" t="s">
        <v>259</v>
      </c>
      <c r="F194" s="44" t="s">
        <v>41</v>
      </c>
      <c r="G194" s="45">
        <v>1736</v>
      </c>
      <c r="H194" s="38"/>
      <c r="I194" s="45">
        <v>1736</v>
      </c>
      <c r="J194" s="47">
        <v>0</v>
      </c>
      <c r="K194" s="38"/>
      <c r="L194" s="47">
        <v>0</v>
      </c>
      <c r="M194" s="45">
        <v>1736</v>
      </c>
      <c r="N194" s="45"/>
      <c r="O194" s="45">
        <v>1736</v>
      </c>
    </row>
    <row r="195" spans="1:16" ht="24" customHeight="1" x14ac:dyDescent="0.2">
      <c r="A195" s="33" t="s">
        <v>260</v>
      </c>
      <c r="B195" s="34" t="s">
        <v>261</v>
      </c>
      <c r="C195" s="35" t="s">
        <v>51</v>
      </c>
      <c r="D195" s="36" t="s">
        <v>262</v>
      </c>
      <c r="E195" s="36" t="s">
        <v>11</v>
      </c>
      <c r="F195" s="37" t="s">
        <v>11</v>
      </c>
      <c r="G195" s="38">
        <f>G196+G221+G218</f>
        <v>22103.699999999997</v>
      </c>
      <c r="H195" s="45">
        <f>H196+H234+H232</f>
        <v>600</v>
      </c>
      <c r="I195" s="38">
        <f>I196+I221+I218</f>
        <v>22703.699999999997</v>
      </c>
      <c r="J195" s="39">
        <f>J196+J221</f>
        <v>13560.400000000001</v>
      </c>
      <c r="K195" s="45">
        <f>K196</f>
        <v>0</v>
      </c>
      <c r="L195" s="39">
        <f>L196+L221</f>
        <v>13560.400000000001</v>
      </c>
      <c r="M195" s="38">
        <f>M196+M221+M218</f>
        <v>35664.1</v>
      </c>
      <c r="N195" s="45">
        <f>N196+N234+N232</f>
        <v>600</v>
      </c>
      <c r="O195" s="38">
        <f>O196+O221+O218+O203</f>
        <v>36264.1</v>
      </c>
      <c r="P195" s="15"/>
    </row>
    <row r="196" spans="1:16" ht="47.25" x14ac:dyDescent="0.2">
      <c r="A196" s="40"/>
      <c r="B196" s="41" t="s">
        <v>230</v>
      </c>
      <c r="C196" s="42" t="s">
        <v>51</v>
      </c>
      <c r="D196" s="43" t="s">
        <v>262</v>
      </c>
      <c r="E196" s="43" t="s">
        <v>231</v>
      </c>
      <c r="F196" s="44" t="s">
        <v>11</v>
      </c>
      <c r="G196" s="45">
        <f>G197+G207</f>
        <v>16481.099999999999</v>
      </c>
      <c r="H196" s="45">
        <f>H197+H207</f>
        <v>0</v>
      </c>
      <c r="I196" s="45">
        <f>I197+I207</f>
        <v>16481.099999999999</v>
      </c>
      <c r="J196" s="46">
        <f>J197+J207</f>
        <v>13560.400000000001</v>
      </c>
      <c r="K196" s="45">
        <f>K197</f>
        <v>0</v>
      </c>
      <c r="L196" s="46">
        <f>L197+L207</f>
        <v>13560.400000000001</v>
      </c>
      <c r="M196" s="45">
        <f>M197+M207</f>
        <v>30041.5</v>
      </c>
      <c r="N196" s="45">
        <f>N197+N207</f>
        <v>0</v>
      </c>
      <c r="O196" s="45">
        <f>O197+O207</f>
        <v>24158</v>
      </c>
      <c r="P196" s="16"/>
    </row>
    <row r="197" spans="1:16" ht="36" customHeight="1" x14ac:dyDescent="0.2">
      <c r="A197" s="40"/>
      <c r="B197" s="41" t="s">
        <v>263</v>
      </c>
      <c r="C197" s="42" t="s">
        <v>51</v>
      </c>
      <c r="D197" s="43" t="s">
        <v>262</v>
      </c>
      <c r="E197" s="43" t="s">
        <v>264</v>
      </c>
      <c r="F197" s="44" t="s">
        <v>11</v>
      </c>
      <c r="G197" s="45">
        <f>G198</f>
        <v>1449.1000000000001</v>
      </c>
      <c r="H197" s="45">
        <f>H198</f>
        <v>0</v>
      </c>
      <c r="I197" s="45">
        <f>I198</f>
        <v>1449.1000000000001</v>
      </c>
      <c r="J197" s="46">
        <f>J198</f>
        <v>13560.400000000001</v>
      </c>
      <c r="K197" s="45">
        <f>K198</f>
        <v>0</v>
      </c>
      <c r="L197" s="46">
        <f>L198</f>
        <v>13560.400000000001</v>
      </c>
      <c r="M197" s="45">
        <f>M198</f>
        <v>15009.5</v>
      </c>
      <c r="N197" s="45">
        <f>N198</f>
        <v>0</v>
      </c>
      <c r="O197" s="45">
        <f>O198</f>
        <v>9126</v>
      </c>
    </row>
    <row r="198" spans="1:16" ht="47.25" x14ac:dyDescent="0.2">
      <c r="A198" s="40"/>
      <c r="B198" s="41" t="s">
        <v>265</v>
      </c>
      <c r="C198" s="42" t="s">
        <v>51</v>
      </c>
      <c r="D198" s="43" t="s">
        <v>262</v>
      </c>
      <c r="E198" s="43" t="s">
        <v>266</v>
      </c>
      <c r="F198" s="44" t="s">
        <v>11</v>
      </c>
      <c r="G198" s="45">
        <f>G205+G199+G201</f>
        <v>1449.1000000000001</v>
      </c>
      <c r="H198" s="45">
        <f>H205+H199+H201+H203</f>
        <v>0</v>
      </c>
      <c r="I198" s="45">
        <f>I205+I199+I201+I203</f>
        <v>1449.1000000000001</v>
      </c>
      <c r="J198" s="46">
        <f>SUM(J205)+J201</f>
        <v>13560.400000000001</v>
      </c>
      <c r="K198" s="45">
        <f>SUM(K201)+K203</f>
        <v>0</v>
      </c>
      <c r="L198" s="46">
        <f>SUM(L205)+L201+L203</f>
        <v>13560.400000000001</v>
      </c>
      <c r="M198" s="45">
        <f>M205+M199+M201</f>
        <v>15009.5</v>
      </c>
      <c r="N198" s="45">
        <f>SUM(H198+K198)</f>
        <v>0</v>
      </c>
      <c r="O198" s="45">
        <f>O205+O199+O201</f>
        <v>9126</v>
      </c>
    </row>
    <row r="199" spans="1:16" ht="31.5" x14ac:dyDescent="0.2">
      <c r="A199" s="40"/>
      <c r="B199" s="69" t="s">
        <v>267</v>
      </c>
      <c r="C199" s="42">
        <v>992</v>
      </c>
      <c r="D199" s="43" t="s">
        <v>262</v>
      </c>
      <c r="E199" s="57" t="s">
        <v>268</v>
      </c>
      <c r="F199" s="44"/>
      <c r="G199" s="45">
        <v>735.3</v>
      </c>
      <c r="H199" s="45">
        <f>SUM(H200)</f>
        <v>0</v>
      </c>
      <c r="I199" s="45">
        <f>SUM(G199)</f>
        <v>735.3</v>
      </c>
      <c r="J199" s="46"/>
      <c r="K199" s="45"/>
      <c r="L199" s="46"/>
      <c r="M199" s="45">
        <f>SUM(G199)</f>
        <v>735.3</v>
      </c>
      <c r="N199" s="45">
        <f>SUM(N200)</f>
        <v>0</v>
      </c>
      <c r="O199" s="45">
        <f>SUM(M199)</f>
        <v>735.3</v>
      </c>
    </row>
    <row r="200" spans="1:16" ht="31.5" x14ac:dyDescent="0.2">
      <c r="A200" s="40"/>
      <c r="B200" s="41" t="s">
        <v>40</v>
      </c>
      <c r="C200" s="42">
        <v>992</v>
      </c>
      <c r="D200" s="43" t="s">
        <v>262</v>
      </c>
      <c r="E200" s="57" t="s">
        <v>268</v>
      </c>
      <c r="F200" s="44">
        <v>200</v>
      </c>
      <c r="G200" s="45">
        <v>735.3</v>
      </c>
      <c r="H200" s="45"/>
      <c r="I200" s="45">
        <f>SUM(G200)</f>
        <v>735.3</v>
      </c>
      <c r="J200" s="46"/>
      <c r="K200" s="45"/>
      <c r="L200" s="46"/>
      <c r="M200" s="45">
        <f>SUM(G200)</f>
        <v>735.3</v>
      </c>
      <c r="N200" s="45">
        <f>SUM(H200)</f>
        <v>0</v>
      </c>
      <c r="O200" s="45">
        <f>SUM(M200)</f>
        <v>735.3</v>
      </c>
    </row>
    <row r="201" spans="1:16" ht="30.75" customHeight="1" x14ac:dyDescent="0.2">
      <c r="A201" s="40"/>
      <c r="B201" s="41" t="s">
        <v>548</v>
      </c>
      <c r="C201" s="42">
        <v>992</v>
      </c>
      <c r="D201" s="43" t="s">
        <v>262</v>
      </c>
      <c r="E201" s="43" t="s">
        <v>547</v>
      </c>
      <c r="F201" s="44"/>
      <c r="G201" s="45">
        <v>294.2</v>
      </c>
      <c r="H201" s="45">
        <v>-294.2</v>
      </c>
      <c r="I201" s="45">
        <f>SUM(G202)+H201</f>
        <v>0</v>
      </c>
      <c r="J201" s="46">
        <f>SUM(J202)</f>
        <v>5589.3</v>
      </c>
      <c r="K201" s="45">
        <v>-5589.3</v>
      </c>
      <c r="L201" s="46">
        <f>SUM(J201)+K201</f>
        <v>0</v>
      </c>
      <c r="M201" s="45">
        <f t="shared" ref="M201:O202" si="31">SUM(G201+J201)</f>
        <v>5883.5</v>
      </c>
      <c r="N201" s="45">
        <f t="shared" si="31"/>
        <v>-5883.5</v>
      </c>
      <c r="O201" s="45">
        <f t="shared" si="31"/>
        <v>0</v>
      </c>
    </row>
    <row r="202" spans="1:16" ht="30.75" customHeight="1" x14ac:dyDescent="0.2">
      <c r="A202" s="40"/>
      <c r="B202" s="41" t="s">
        <v>40</v>
      </c>
      <c r="C202" s="42">
        <v>992</v>
      </c>
      <c r="D202" s="43" t="s">
        <v>262</v>
      </c>
      <c r="E202" s="43" t="s">
        <v>547</v>
      </c>
      <c r="F202" s="44">
        <v>200</v>
      </c>
      <c r="G202" s="45">
        <v>294.2</v>
      </c>
      <c r="H202" s="45">
        <v>-294.2</v>
      </c>
      <c r="I202" s="45">
        <f>294.2+H202</f>
        <v>0</v>
      </c>
      <c r="J202" s="46">
        <v>5589.3</v>
      </c>
      <c r="K202" s="45">
        <v>-5589.3</v>
      </c>
      <c r="L202" s="46">
        <f>SUM(J202)+K202</f>
        <v>0</v>
      </c>
      <c r="M202" s="45">
        <f t="shared" si="31"/>
        <v>5883.5</v>
      </c>
      <c r="N202" s="45">
        <f t="shared" si="31"/>
        <v>-5883.5</v>
      </c>
      <c r="O202" s="45">
        <f t="shared" si="31"/>
        <v>0</v>
      </c>
    </row>
    <row r="203" spans="1:16" ht="30.75" customHeight="1" x14ac:dyDescent="0.2">
      <c r="A203" s="40"/>
      <c r="B203" s="41" t="s">
        <v>548</v>
      </c>
      <c r="C203" s="42">
        <v>992</v>
      </c>
      <c r="D203" s="43" t="s">
        <v>262</v>
      </c>
      <c r="E203" s="43" t="s">
        <v>561</v>
      </c>
      <c r="F203" s="44"/>
      <c r="G203" s="45"/>
      <c r="H203" s="45">
        <v>294.2</v>
      </c>
      <c r="I203" s="45">
        <f>SUM(H203)</f>
        <v>294.2</v>
      </c>
      <c r="J203" s="46"/>
      <c r="K203" s="45">
        <v>5589.3</v>
      </c>
      <c r="L203" s="46">
        <f>SUM(K203)</f>
        <v>5589.3</v>
      </c>
      <c r="M203" s="45"/>
      <c r="N203" s="45">
        <f>SUM(H203)+K203</f>
        <v>5883.5</v>
      </c>
      <c r="O203" s="45">
        <f>SUM(I203)+L203</f>
        <v>5883.5</v>
      </c>
    </row>
    <row r="204" spans="1:16" ht="30.75" customHeight="1" x14ac:dyDescent="0.2">
      <c r="A204" s="40"/>
      <c r="B204" s="41" t="s">
        <v>40</v>
      </c>
      <c r="C204" s="42">
        <v>992</v>
      </c>
      <c r="D204" s="43" t="s">
        <v>262</v>
      </c>
      <c r="E204" s="43" t="s">
        <v>561</v>
      </c>
      <c r="F204" s="44">
        <v>200</v>
      </c>
      <c r="G204" s="45"/>
      <c r="H204" s="45">
        <v>294.2</v>
      </c>
      <c r="I204" s="45">
        <f>SUM(H204)</f>
        <v>294.2</v>
      </c>
      <c r="J204" s="46"/>
      <c r="K204" s="45">
        <v>5589.3</v>
      </c>
      <c r="L204" s="46">
        <f>SUM(K204)</f>
        <v>5589.3</v>
      </c>
      <c r="M204" s="45"/>
      <c r="N204" s="45">
        <f>SUM(H204)+K204</f>
        <v>5883.5</v>
      </c>
      <c r="O204" s="45">
        <f>SUM(I204)+L204</f>
        <v>5883.5</v>
      </c>
    </row>
    <row r="205" spans="1:16" ht="47.25" x14ac:dyDescent="0.2">
      <c r="A205" s="40"/>
      <c r="B205" s="41" t="s">
        <v>269</v>
      </c>
      <c r="C205" s="42" t="s">
        <v>51</v>
      </c>
      <c r="D205" s="43" t="s">
        <v>262</v>
      </c>
      <c r="E205" s="43" t="s">
        <v>270</v>
      </c>
      <c r="F205" s="44" t="s">
        <v>11</v>
      </c>
      <c r="G205" s="45">
        <f>G206</f>
        <v>419.6</v>
      </c>
      <c r="H205" s="45">
        <f>SUM(H206)</f>
        <v>0</v>
      </c>
      <c r="I205" s="45">
        <f>I206</f>
        <v>419.6</v>
      </c>
      <c r="J205" s="46">
        <f>J206</f>
        <v>7971.1</v>
      </c>
      <c r="K205" s="45">
        <f>SUM(K206)</f>
        <v>0</v>
      </c>
      <c r="L205" s="46">
        <f>L206</f>
        <v>7971.1</v>
      </c>
      <c r="M205" s="45">
        <f>M206</f>
        <v>8390.7000000000007</v>
      </c>
      <c r="N205" s="45">
        <f>N206</f>
        <v>0</v>
      </c>
      <c r="O205" s="45">
        <f>O206</f>
        <v>8390.7000000000007</v>
      </c>
    </row>
    <row r="206" spans="1:16" ht="31.5" x14ac:dyDescent="0.2">
      <c r="A206" s="40"/>
      <c r="B206" s="41" t="s">
        <v>40</v>
      </c>
      <c r="C206" s="42" t="s">
        <v>51</v>
      </c>
      <c r="D206" s="43" t="s">
        <v>262</v>
      </c>
      <c r="E206" s="43" t="s">
        <v>270</v>
      </c>
      <c r="F206" s="44" t="s">
        <v>41</v>
      </c>
      <c r="G206" s="45">
        <v>419.6</v>
      </c>
      <c r="H206" s="45"/>
      <c r="I206" s="45">
        <f>419.6+H206</f>
        <v>419.6</v>
      </c>
      <c r="J206" s="47">
        <v>7971.1</v>
      </c>
      <c r="K206" s="45"/>
      <c r="L206" s="47">
        <f>7971.1+K206</f>
        <v>7971.1</v>
      </c>
      <c r="M206" s="45">
        <f>419.6+J206</f>
        <v>8390.7000000000007</v>
      </c>
      <c r="N206" s="45">
        <f>SUM(H206+K206)</f>
        <v>0</v>
      </c>
      <c r="O206" s="45">
        <f>SUM(I206+L206)</f>
        <v>8390.7000000000007</v>
      </c>
    </row>
    <row r="207" spans="1:16" ht="31.5" x14ac:dyDescent="0.2">
      <c r="A207" s="40"/>
      <c r="B207" s="41" t="s">
        <v>185</v>
      </c>
      <c r="C207" s="42" t="s">
        <v>51</v>
      </c>
      <c r="D207" s="43" t="s">
        <v>262</v>
      </c>
      <c r="E207" s="43" t="s">
        <v>271</v>
      </c>
      <c r="F207" s="44" t="s">
        <v>11</v>
      </c>
      <c r="G207" s="45">
        <f>G208+G215+G212</f>
        <v>15032</v>
      </c>
      <c r="H207" s="45">
        <f>H208+H212</f>
        <v>0</v>
      </c>
      <c r="I207" s="45">
        <f>I208+I215+I212</f>
        <v>15032</v>
      </c>
      <c r="J207" s="46">
        <f>J208+J215</f>
        <v>0</v>
      </c>
      <c r="K207" s="45">
        <f>K208</f>
        <v>0</v>
      </c>
      <c r="L207" s="46">
        <f>L208+L215</f>
        <v>0</v>
      </c>
      <c r="M207" s="45">
        <f>M208+M215+M212</f>
        <v>15032</v>
      </c>
      <c r="N207" s="45">
        <f>N208+N212</f>
        <v>0</v>
      </c>
      <c r="O207" s="45">
        <f>O208+O215+O212</f>
        <v>15032</v>
      </c>
    </row>
    <row r="208" spans="1:16" ht="51.6" customHeight="1" x14ac:dyDescent="0.2">
      <c r="A208" s="40"/>
      <c r="B208" s="41" t="s">
        <v>272</v>
      </c>
      <c r="C208" s="42" t="s">
        <v>51</v>
      </c>
      <c r="D208" s="43" t="s">
        <v>262</v>
      </c>
      <c r="E208" s="43" t="s">
        <v>273</v>
      </c>
      <c r="F208" s="44" t="s">
        <v>11</v>
      </c>
      <c r="G208" s="45">
        <f>G209</f>
        <v>8158.5999999999995</v>
      </c>
      <c r="H208" s="45">
        <f>H209+H210</f>
        <v>0</v>
      </c>
      <c r="I208" s="45">
        <f>I209</f>
        <v>8158.5999999999995</v>
      </c>
      <c r="J208" s="46">
        <f>J209</f>
        <v>0</v>
      </c>
      <c r="K208" s="45">
        <f>K209+K210</f>
        <v>0</v>
      </c>
      <c r="L208" s="46">
        <f>L209</f>
        <v>0</v>
      </c>
      <c r="M208" s="45">
        <f>M209</f>
        <v>8158.5999999999995</v>
      </c>
      <c r="N208" s="45">
        <f>N209</f>
        <v>0</v>
      </c>
      <c r="O208" s="45">
        <f>O209</f>
        <v>8158.5999999999995</v>
      </c>
    </row>
    <row r="209" spans="1:15" ht="31.5" x14ac:dyDescent="0.2">
      <c r="A209" s="40"/>
      <c r="B209" s="41" t="s">
        <v>134</v>
      </c>
      <c r="C209" s="42" t="s">
        <v>51</v>
      </c>
      <c r="D209" s="43" t="s">
        <v>262</v>
      </c>
      <c r="E209" s="43" t="s">
        <v>274</v>
      </c>
      <c r="F209" s="44" t="s">
        <v>11</v>
      </c>
      <c r="G209" s="45">
        <f>G210+G211</f>
        <v>8158.5999999999995</v>
      </c>
      <c r="H209" s="45">
        <f>SUM(H211)</f>
        <v>0</v>
      </c>
      <c r="I209" s="45">
        <f>I210+I211</f>
        <v>8158.5999999999995</v>
      </c>
      <c r="J209" s="46">
        <f>J210+J211</f>
        <v>0</v>
      </c>
      <c r="K209" s="45"/>
      <c r="L209" s="46">
        <f>L210+L211</f>
        <v>0</v>
      </c>
      <c r="M209" s="45">
        <f>M210+M211</f>
        <v>8158.5999999999995</v>
      </c>
      <c r="N209" s="45">
        <f>N210+N211</f>
        <v>0</v>
      </c>
      <c r="O209" s="45">
        <f>O210+O211</f>
        <v>8158.5999999999995</v>
      </c>
    </row>
    <row r="210" spans="1:15" ht="78.75" x14ac:dyDescent="0.2">
      <c r="A210" s="40"/>
      <c r="B210" s="41" t="s">
        <v>61</v>
      </c>
      <c r="C210" s="42" t="s">
        <v>51</v>
      </c>
      <c r="D210" s="43" t="s">
        <v>262</v>
      </c>
      <c r="E210" s="43" t="s">
        <v>274</v>
      </c>
      <c r="F210" s="44" t="s">
        <v>62</v>
      </c>
      <c r="G210" s="45">
        <v>7905.2</v>
      </c>
      <c r="H210" s="45"/>
      <c r="I210" s="45">
        <v>7905.2</v>
      </c>
      <c r="J210" s="47">
        <v>0</v>
      </c>
      <c r="K210" s="45"/>
      <c r="L210" s="47">
        <v>0</v>
      </c>
      <c r="M210" s="45">
        <v>7905.2</v>
      </c>
      <c r="N210" s="45"/>
      <c r="O210" s="45">
        <v>7905.2</v>
      </c>
    </row>
    <row r="211" spans="1:15" ht="31.5" x14ac:dyDescent="0.2">
      <c r="A211" s="40"/>
      <c r="B211" s="41" t="s">
        <v>40</v>
      </c>
      <c r="C211" s="42" t="s">
        <v>51</v>
      </c>
      <c r="D211" s="43" t="s">
        <v>262</v>
      </c>
      <c r="E211" s="43" t="s">
        <v>274</v>
      </c>
      <c r="F211" s="44" t="s">
        <v>41</v>
      </c>
      <c r="G211" s="45">
        <v>253.4</v>
      </c>
      <c r="H211" s="45"/>
      <c r="I211" s="45">
        <f>SUM(G211)</f>
        <v>253.4</v>
      </c>
      <c r="J211" s="47">
        <v>0</v>
      </c>
      <c r="K211" s="45"/>
      <c r="L211" s="47">
        <v>0</v>
      </c>
      <c r="M211" s="45">
        <f t="shared" ref="M211:N214" si="32">SUM(G211)</f>
        <v>253.4</v>
      </c>
      <c r="N211" s="45">
        <f t="shared" si="32"/>
        <v>0</v>
      </c>
      <c r="O211" s="45">
        <f>SUM(M211)</f>
        <v>253.4</v>
      </c>
    </row>
    <row r="212" spans="1:15" ht="15.75" x14ac:dyDescent="0.2">
      <c r="A212" s="40"/>
      <c r="B212" s="41" t="s">
        <v>275</v>
      </c>
      <c r="C212" s="42">
        <v>992</v>
      </c>
      <c r="D212" s="43" t="s">
        <v>262</v>
      </c>
      <c r="E212" s="57" t="s">
        <v>276</v>
      </c>
      <c r="F212" s="44"/>
      <c r="G212" s="45">
        <f>SUM(G214)</f>
        <v>600</v>
      </c>
      <c r="H212" s="45"/>
      <c r="I212" s="45">
        <f>SUM(H212)+G212</f>
        <v>600</v>
      </c>
      <c r="J212" s="47"/>
      <c r="K212" s="45"/>
      <c r="L212" s="47"/>
      <c r="M212" s="45">
        <f t="shared" si="32"/>
        <v>600</v>
      </c>
      <c r="N212" s="45">
        <f t="shared" si="32"/>
        <v>0</v>
      </c>
      <c r="O212" s="45">
        <f>SUM(I212)</f>
        <v>600</v>
      </c>
    </row>
    <row r="213" spans="1:15" ht="15.75" x14ac:dyDescent="0.2">
      <c r="A213" s="40"/>
      <c r="B213" s="41" t="s">
        <v>277</v>
      </c>
      <c r="C213" s="42">
        <v>992</v>
      </c>
      <c r="D213" s="43" t="s">
        <v>262</v>
      </c>
      <c r="E213" s="57" t="s">
        <v>276</v>
      </c>
      <c r="F213" s="44"/>
      <c r="G213" s="45">
        <f>SUM(F213)+G214</f>
        <v>600</v>
      </c>
      <c r="H213" s="45"/>
      <c r="I213" s="45">
        <f>SUM(H213)+G213</f>
        <v>600</v>
      </c>
      <c r="J213" s="47"/>
      <c r="K213" s="45"/>
      <c r="L213" s="47"/>
      <c r="M213" s="45">
        <f t="shared" si="32"/>
        <v>600</v>
      </c>
      <c r="N213" s="45">
        <f t="shared" si="32"/>
        <v>0</v>
      </c>
      <c r="O213" s="45">
        <f>SUM(I213)</f>
        <v>600</v>
      </c>
    </row>
    <row r="214" spans="1:15" ht="31.5" x14ac:dyDescent="0.2">
      <c r="A214" s="40"/>
      <c r="B214" s="41" t="s">
        <v>40</v>
      </c>
      <c r="C214" s="42">
        <v>992</v>
      </c>
      <c r="D214" s="43" t="s">
        <v>262</v>
      </c>
      <c r="E214" s="57" t="s">
        <v>278</v>
      </c>
      <c r="F214" s="44">
        <v>200</v>
      </c>
      <c r="G214" s="45">
        <v>600</v>
      </c>
      <c r="H214" s="45"/>
      <c r="I214" s="45">
        <f>SUM(H214)+G214</f>
        <v>600</v>
      </c>
      <c r="J214" s="47"/>
      <c r="K214" s="45"/>
      <c r="L214" s="47"/>
      <c r="M214" s="45">
        <f t="shared" si="32"/>
        <v>600</v>
      </c>
      <c r="N214" s="45">
        <f t="shared" si="32"/>
        <v>0</v>
      </c>
      <c r="O214" s="45">
        <f>SUM(I214)</f>
        <v>600</v>
      </c>
    </row>
    <row r="215" spans="1:15" ht="52.15" customHeight="1" x14ac:dyDescent="0.2">
      <c r="A215" s="40"/>
      <c r="B215" s="41" t="s">
        <v>279</v>
      </c>
      <c r="C215" s="42" t="s">
        <v>51</v>
      </c>
      <c r="D215" s="43" t="s">
        <v>262</v>
      </c>
      <c r="E215" s="43" t="s">
        <v>280</v>
      </c>
      <c r="F215" s="44" t="s">
        <v>11</v>
      </c>
      <c r="G215" s="45">
        <f t="shared" ref="G215:O216" si="33">G216</f>
        <v>6273.4</v>
      </c>
      <c r="H215" s="45">
        <f t="shared" si="33"/>
        <v>0</v>
      </c>
      <c r="I215" s="45">
        <f t="shared" si="33"/>
        <v>6273.4</v>
      </c>
      <c r="J215" s="46">
        <f t="shared" si="33"/>
        <v>0</v>
      </c>
      <c r="K215" s="45">
        <f t="shared" si="33"/>
        <v>0</v>
      </c>
      <c r="L215" s="46">
        <f t="shared" si="33"/>
        <v>0</v>
      </c>
      <c r="M215" s="45">
        <f t="shared" si="33"/>
        <v>6273.4</v>
      </c>
      <c r="N215" s="45">
        <f t="shared" si="33"/>
        <v>0</v>
      </c>
      <c r="O215" s="45">
        <f t="shared" si="33"/>
        <v>6273.4</v>
      </c>
    </row>
    <row r="216" spans="1:15" ht="31.5" x14ac:dyDescent="0.2">
      <c r="A216" s="40"/>
      <c r="B216" s="41" t="s">
        <v>134</v>
      </c>
      <c r="C216" s="42" t="s">
        <v>51</v>
      </c>
      <c r="D216" s="43" t="s">
        <v>262</v>
      </c>
      <c r="E216" s="43" t="s">
        <v>281</v>
      </c>
      <c r="F216" s="44" t="s">
        <v>11</v>
      </c>
      <c r="G216" s="45">
        <f t="shared" si="33"/>
        <v>6273.4</v>
      </c>
      <c r="H216" s="45"/>
      <c r="I216" s="45">
        <f t="shared" si="33"/>
        <v>6273.4</v>
      </c>
      <c r="J216" s="46">
        <f t="shared" si="33"/>
        <v>0</v>
      </c>
      <c r="K216" s="45"/>
      <c r="L216" s="46">
        <f t="shared" si="33"/>
        <v>0</v>
      </c>
      <c r="M216" s="45">
        <f t="shared" si="33"/>
        <v>6273.4</v>
      </c>
      <c r="N216" s="45">
        <f t="shared" si="33"/>
        <v>0</v>
      </c>
      <c r="O216" s="45">
        <f t="shared" si="33"/>
        <v>6273.4</v>
      </c>
    </row>
    <row r="217" spans="1:15" ht="37.9" customHeight="1" x14ac:dyDescent="0.2">
      <c r="A217" s="40"/>
      <c r="B217" s="41" t="s">
        <v>95</v>
      </c>
      <c r="C217" s="42" t="s">
        <v>51</v>
      </c>
      <c r="D217" s="43" t="s">
        <v>262</v>
      </c>
      <c r="E217" s="43" t="s">
        <v>281</v>
      </c>
      <c r="F217" s="44" t="s">
        <v>96</v>
      </c>
      <c r="G217" s="45">
        <v>6273.4</v>
      </c>
      <c r="H217" s="45"/>
      <c r="I217" s="45">
        <v>6273.4</v>
      </c>
      <c r="J217" s="47">
        <v>0</v>
      </c>
      <c r="K217" s="45"/>
      <c r="L217" s="47">
        <v>0</v>
      </c>
      <c r="M217" s="45">
        <v>6273.4</v>
      </c>
      <c r="N217" s="45"/>
      <c r="O217" s="45">
        <v>6273.4</v>
      </c>
    </row>
    <row r="218" spans="1:15" ht="37.9" customHeight="1" x14ac:dyDescent="0.2">
      <c r="A218" s="40"/>
      <c r="B218" s="68" t="s">
        <v>282</v>
      </c>
      <c r="C218" s="42">
        <v>992</v>
      </c>
      <c r="D218" s="43" t="s">
        <v>262</v>
      </c>
      <c r="E218" s="57" t="s">
        <v>248</v>
      </c>
      <c r="F218" s="44"/>
      <c r="G218" s="45">
        <f>SUM(G219)</f>
        <v>1159</v>
      </c>
      <c r="H218" s="45">
        <f>SUM(H219)</f>
        <v>0</v>
      </c>
      <c r="I218" s="45">
        <f>SUM(G218)</f>
        <v>1159</v>
      </c>
      <c r="J218" s="47"/>
      <c r="K218" s="45"/>
      <c r="L218" s="47"/>
      <c r="M218" s="45">
        <f>SUM(G218)</f>
        <v>1159</v>
      </c>
      <c r="N218" s="45">
        <f t="shared" ref="N218:O220" si="34">SUM(H218)</f>
        <v>0</v>
      </c>
      <c r="O218" s="45">
        <f t="shared" si="34"/>
        <v>1159</v>
      </c>
    </row>
    <row r="219" spans="1:15" ht="37.9" customHeight="1" x14ac:dyDescent="0.2">
      <c r="A219" s="40"/>
      <c r="B219" s="67" t="s">
        <v>283</v>
      </c>
      <c r="C219" s="42">
        <v>992</v>
      </c>
      <c r="D219" s="43" t="s">
        <v>262</v>
      </c>
      <c r="E219" s="57" t="s">
        <v>284</v>
      </c>
      <c r="F219" s="44"/>
      <c r="G219" s="45">
        <f>SUM(G220)</f>
        <v>1159</v>
      </c>
      <c r="H219" s="45">
        <f>SUM(H220)</f>
        <v>0</v>
      </c>
      <c r="I219" s="45">
        <f>SUM(G219)</f>
        <v>1159</v>
      </c>
      <c r="J219" s="47"/>
      <c r="K219" s="45"/>
      <c r="L219" s="47"/>
      <c r="M219" s="45">
        <f>SUM(G220)</f>
        <v>1159</v>
      </c>
      <c r="N219" s="45">
        <f t="shared" si="34"/>
        <v>0</v>
      </c>
      <c r="O219" s="45">
        <f t="shared" si="34"/>
        <v>1159</v>
      </c>
    </row>
    <row r="220" spans="1:15" ht="37.9" customHeight="1" x14ac:dyDescent="0.2">
      <c r="A220" s="40"/>
      <c r="B220" s="41" t="s">
        <v>95</v>
      </c>
      <c r="C220" s="42">
        <v>992</v>
      </c>
      <c r="D220" s="43" t="s">
        <v>262</v>
      </c>
      <c r="E220" s="57" t="s">
        <v>284</v>
      </c>
      <c r="F220" s="44">
        <v>600</v>
      </c>
      <c r="G220" s="45">
        <v>1159</v>
      </c>
      <c r="H220" s="45"/>
      <c r="I220" s="45">
        <f>SUM(G220)</f>
        <v>1159</v>
      </c>
      <c r="J220" s="47"/>
      <c r="K220" s="45"/>
      <c r="L220" s="47"/>
      <c r="M220" s="45">
        <f>SUM(G220)</f>
        <v>1159</v>
      </c>
      <c r="N220" s="45">
        <f t="shared" si="34"/>
        <v>0</v>
      </c>
      <c r="O220" s="45">
        <f t="shared" si="34"/>
        <v>1159</v>
      </c>
    </row>
    <row r="221" spans="1:15" ht="31.5" x14ac:dyDescent="0.2">
      <c r="A221" s="40"/>
      <c r="B221" s="41" t="s">
        <v>218</v>
      </c>
      <c r="C221" s="42" t="s">
        <v>51</v>
      </c>
      <c r="D221" s="43" t="s">
        <v>262</v>
      </c>
      <c r="E221" s="43" t="s">
        <v>219</v>
      </c>
      <c r="F221" s="44" t="s">
        <v>11</v>
      </c>
      <c r="G221" s="45">
        <f>G222+G227+G234</f>
        <v>4463.6000000000004</v>
      </c>
      <c r="H221" s="45">
        <f>H222</f>
        <v>0</v>
      </c>
      <c r="I221" s="45">
        <f>I222+I227+I234</f>
        <v>5063.6000000000004</v>
      </c>
      <c r="J221" s="46">
        <f>J222+J227+J234</f>
        <v>0</v>
      </c>
      <c r="K221" s="45">
        <f>K222</f>
        <v>0</v>
      </c>
      <c r="L221" s="46">
        <f>L222+L227+L234</f>
        <v>0</v>
      </c>
      <c r="M221" s="45">
        <f>M222+M227+M234</f>
        <v>4463.6000000000004</v>
      </c>
      <c r="N221" s="45">
        <f>N222+N227+N234</f>
        <v>600</v>
      </c>
      <c r="O221" s="45">
        <f>O222+O227+O234</f>
        <v>5063.6000000000004</v>
      </c>
    </row>
    <row r="222" spans="1:15" ht="31.5" x14ac:dyDescent="0.2">
      <c r="A222" s="40"/>
      <c r="B222" s="41" t="s">
        <v>285</v>
      </c>
      <c r="C222" s="42" t="s">
        <v>51</v>
      </c>
      <c r="D222" s="43" t="s">
        <v>262</v>
      </c>
      <c r="E222" s="43" t="s">
        <v>286</v>
      </c>
      <c r="F222" s="44" t="s">
        <v>11</v>
      </c>
      <c r="G222" s="45">
        <f>G223</f>
        <v>330</v>
      </c>
      <c r="H222" s="45">
        <f>H223</f>
        <v>0</v>
      </c>
      <c r="I222" s="45">
        <f>I223</f>
        <v>330</v>
      </c>
      <c r="J222" s="46">
        <f t="shared" ref="J222:O223" si="35">J223</f>
        <v>0</v>
      </c>
      <c r="K222" s="45">
        <f>K223</f>
        <v>0</v>
      </c>
      <c r="L222" s="46">
        <f t="shared" si="35"/>
        <v>0</v>
      </c>
      <c r="M222" s="45">
        <f t="shared" si="35"/>
        <v>330</v>
      </c>
      <c r="N222" s="45">
        <f t="shared" si="35"/>
        <v>0</v>
      </c>
      <c r="O222" s="45">
        <f t="shared" si="35"/>
        <v>330</v>
      </c>
    </row>
    <row r="223" spans="1:15" ht="31.5" x14ac:dyDescent="0.2">
      <c r="A223" s="40"/>
      <c r="B223" s="41" t="s">
        <v>287</v>
      </c>
      <c r="C223" s="42" t="s">
        <v>51</v>
      </c>
      <c r="D223" s="43" t="s">
        <v>262</v>
      </c>
      <c r="E223" s="43" t="s">
        <v>288</v>
      </c>
      <c r="F223" s="44" t="s">
        <v>11</v>
      </c>
      <c r="G223" s="45">
        <f>G224</f>
        <v>330</v>
      </c>
      <c r="H223" s="45">
        <f>H225+H224</f>
        <v>0</v>
      </c>
      <c r="I223" s="45">
        <f>I224</f>
        <v>330</v>
      </c>
      <c r="J223" s="46">
        <f t="shared" si="35"/>
        <v>0</v>
      </c>
      <c r="K223" s="45">
        <f>K225+K224</f>
        <v>0</v>
      </c>
      <c r="L223" s="46">
        <f t="shared" si="35"/>
        <v>0</v>
      </c>
      <c r="M223" s="45">
        <f t="shared" si="35"/>
        <v>330</v>
      </c>
      <c r="N223" s="45">
        <f t="shared" si="35"/>
        <v>0</v>
      </c>
      <c r="O223" s="45">
        <f t="shared" si="35"/>
        <v>330</v>
      </c>
    </row>
    <row r="224" spans="1:15" ht="31.5" x14ac:dyDescent="0.2">
      <c r="A224" s="40"/>
      <c r="B224" s="41" t="s">
        <v>285</v>
      </c>
      <c r="C224" s="42" t="s">
        <v>51</v>
      </c>
      <c r="D224" s="43" t="s">
        <v>262</v>
      </c>
      <c r="E224" s="43" t="s">
        <v>289</v>
      </c>
      <c r="F224" s="44" t="s">
        <v>11</v>
      </c>
      <c r="G224" s="45">
        <f>G226+G225</f>
        <v>330</v>
      </c>
      <c r="H224" s="45"/>
      <c r="I224" s="45">
        <f>I226+I225</f>
        <v>330</v>
      </c>
      <c r="J224" s="46">
        <f>J226+J225</f>
        <v>0</v>
      </c>
      <c r="K224" s="45"/>
      <c r="L224" s="46">
        <f>L226+L225</f>
        <v>0</v>
      </c>
      <c r="M224" s="45">
        <f>M226+M225</f>
        <v>330</v>
      </c>
      <c r="N224" s="45">
        <f>N226+N225</f>
        <v>0</v>
      </c>
      <c r="O224" s="45">
        <f>O226+O225</f>
        <v>330</v>
      </c>
    </row>
    <row r="225" spans="1:16" ht="31.5" x14ac:dyDescent="0.2">
      <c r="A225" s="40"/>
      <c r="B225" s="41" t="s">
        <v>40</v>
      </c>
      <c r="C225" s="42" t="s">
        <v>51</v>
      </c>
      <c r="D225" s="43" t="s">
        <v>262</v>
      </c>
      <c r="E225" s="43" t="s">
        <v>289</v>
      </c>
      <c r="F225" s="44">
        <v>200</v>
      </c>
      <c r="G225" s="45">
        <v>200</v>
      </c>
      <c r="H225" s="45"/>
      <c r="I225" s="45">
        <v>200</v>
      </c>
      <c r="J225" s="46">
        <v>0</v>
      </c>
      <c r="K225" s="45"/>
      <c r="L225" s="46">
        <v>0</v>
      </c>
      <c r="M225" s="45">
        <v>200</v>
      </c>
      <c r="N225" s="45"/>
      <c r="O225" s="45">
        <v>200</v>
      </c>
    </row>
    <row r="226" spans="1:16" ht="15.75" x14ac:dyDescent="0.2">
      <c r="A226" s="40"/>
      <c r="B226" s="41" t="s">
        <v>70</v>
      </c>
      <c r="C226" s="42" t="s">
        <v>51</v>
      </c>
      <c r="D226" s="43" t="s">
        <v>262</v>
      </c>
      <c r="E226" s="43" t="s">
        <v>289</v>
      </c>
      <c r="F226" s="44" t="s">
        <v>71</v>
      </c>
      <c r="G226" s="45">
        <v>130</v>
      </c>
      <c r="H226" s="45"/>
      <c r="I226" s="45">
        <v>130</v>
      </c>
      <c r="J226" s="47">
        <v>0</v>
      </c>
      <c r="K226" s="45"/>
      <c r="L226" s="47">
        <v>0</v>
      </c>
      <c r="M226" s="45">
        <v>130</v>
      </c>
      <c r="N226" s="45"/>
      <c r="O226" s="45">
        <v>130</v>
      </c>
    </row>
    <row r="227" spans="1:16" ht="31.5" x14ac:dyDescent="0.2">
      <c r="A227" s="40"/>
      <c r="B227" s="41" t="s">
        <v>290</v>
      </c>
      <c r="C227" s="42" t="s">
        <v>51</v>
      </c>
      <c r="D227" s="43" t="s">
        <v>262</v>
      </c>
      <c r="E227" s="43" t="s">
        <v>291</v>
      </c>
      <c r="F227" s="44" t="s">
        <v>11</v>
      </c>
      <c r="G227" s="45">
        <f t="shared" ref="G227:O228" si="36">G228</f>
        <v>3933.6</v>
      </c>
      <c r="H227" s="45">
        <f t="shared" si="36"/>
        <v>0</v>
      </c>
      <c r="I227" s="45">
        <f t="shared" si="36"/>
        <v>3933.6</v>
      </c>
      <c r="J227" s="46">
        <f t="shared" si="36"/>
        <v>0</v>
      </c>
      <c r="K227" s="45">
        <f t="shared" si="36"/>
        <v>0</v>
      </c>
      <c r="L227" s="46">
        <f t="shared" si="36"/>
        <v>0</v>
      </c>
      <c r="M227" s="45">
        <f t="shared" si="36"/>
        <v>3933.6</v>
      </c>
      <c r="N227" s="45">
        <f t="shared" si="36"/>
        <v>0</v>
      </c>
      <c r="O227" s="45">
        <f t="shared" si="36"/>
        <v>3933.6</v>
      </c>
    </row>
    <row r="228" spans="1:16" ht="47.25" x14ac:dyDescent="0.2">
      <c r="A228" s="40"/>
      <c r="B228" s="41" t="s">
        <v>292</v>
      </c>
      <c r="C228" s="42" t="s">
        <v>51</v>
      </c>
      <c r="D228" s="43" t="s">
        <v>262</v>
      </c>
      <c r="E228" s="43" t="s">
        <v>293</v>
      </c>
      <c r="F228" s="44" t="s">
        <v>11</v>
      </c>
      <c r="G228" s="45">
        <f t="shared" si="36"/>
        <v>3933.6</v>
      </c>
      <c r="H228" s="45">
        <f>H229+H230+H232</f>
        <v>0</v>
      </c>
      <c r="I228" s="45">
        <f>I229+H228</f>
        <v>3933.6</v>
      </c>
      <c r="J228" s="46">
        <f t="shared" si="36"/>
        <v>0</v>
      </c>
      <c r="K228" s="45">
        <f>K229+K230</f>
        <v>0</v>
      </c>
      <c r="L228" s="46">
        <f t="shared" si="36"/>
        <v>0</v>
      </c>
      <c r="M228" s="45">
        <f t="shared" si="36"/>
        <v>3933.6</v>
      </c>
      <c r="N228" s="45">
        <f>SUM(H228)</f>
        <v>0</v>
      </c>
      <c r="O228" s="45">
        <f>O229+N228</f>
        <v>3933.6</v>
      </c>
    </row>
    <row r="229" spans="1:16" ht="31.5" x14ac:dyDescent="0.2">
      <c r="A229" s="40"/>
      <c r="B229" s="41" t="s">
        <v>134</v>
      </c>
      <c r="C229" s="42" t="s">
        <v>51</v>
      </c>
      <c r="D229" s="43" t="s">
        <v>262</v>
      </c>
      <c r="E229" s="43" t="s">
        <v>294</v>
      </c>
      <c r="F229" s="44" t="s">
        <v>11</v>
      </c>
      <c r="G229" s="45">
        <f>G230+G231</f>
        <v>3933.6</v>
      </c>
      <c r="H229" s="45"/>
      <c r="I229" s="45">
        <f>I230+I231</f>
        <v>3933.6</v>
      </c>
      <c r="J229" s="46">
        <f>J230+J231</f>
        <v>0</v>
      </c>
      <c r="K229" s="45"/>
      <c r="L229" s="46">
        <f>L230+L231</f>
        <v>0</v>
      </c>
      <c r="M229" s="45">
        <f>M230+M231</f>
        <v>3933.6</v>
      </c>
      <c r="N229" s="45">
        <f>N230+N231</f>
        <v>0</v>
      </c>
      <c r="O229" s="45">
        <f>O230+O231</f>
        <v>3933.6</v>
      </c>
    </row>
    <row r="230" spans="1:16" ht="78.75" x14ac:dyDescent="0.2">
      <c r="A230" s="40"/>
      <c r="B230" s="41" t="s">
        <v>61</v>
      </c>
      <c r="C230" s="42" t="s">
        <v>51</v>
      </c>
      <c r="D230" s="43" t="s">
        <v>262</v>
      </c>
      <c r="E230" s="43" t="s">
        <v>294</v>
      </c>
      <c r="F230" s="44" t="s">
        <v>62</v>
      </c>
      <c r="G230" s="45">
        <v>3788.1</v>
      </c>
      <c r="H230" s="45"/>
      <c r="I230" s="45">
        <v>3788.1</v>
      </c>
      <c r="J230" s="47">
        <v>0</v>
      </c>
      <c r="K230" s="45"/>
      <c r="L230" s="47">
        <v>0</v>
      </c>
      <c r="M230" s="45">
        <v>3788.1</v>
      </c>
      <c r="N230" s="45"/>
      <c r="O230" s="45">
        <v>3788.1</v>
      </c>
    </row>
    <row r="231" spans="1:16" ht="31.5" x14ac:dyDescent="0.2">
      <c r="A231" s="40"/>
      <c r="B231" s="41" t="s">
        <v>40</v>
      </c>
      <c r="C231" s="42" t="s">
        <v>51</v>
      </c>
      <c r="D231" s="43" t="s">
        <v>262</v>
      </c>
      <c r="E231" s="43" t="s">
        <v>294</v>
      </c>
      <c r="F231" s="44" t="s">
        <v>41</v>
      </c>
      <c r="G231" s="45">
        <v>145.5</v>
      </c>
      <c r="H231" s="45"/>
      <c r="I231" s="45">
        <v>145.5</v>
      </c>
      <c r="J231" s="47">
        <v>0</v>
      </c>
      <c r="K231" s="45"/>
      <c r="L231" s="47">
        <v>0</v>
      </c>
      <c r="M231" s="45">
        <v>145.5</v>
      </c>
      <c r="N231" s="45"/>
      <c r="O231" s="45">
        <v>145.5</v>
      </c>
    </row>
    <row r="232" spans="1:16" ht="63" x14ac:dyDescent="0.2">
      <c r="A232" s="40"/>
      <c r="B232" s="56" t="s">
        <v>560</v>
      </c>
      <c r="C232" s="42">
        <v>992</v>
      </c>
      <c r="D232" s="43" t="s">
        <v>262</v>
      </c>
      <c r="E232" s="43" t="s">
        <v>559</v>
      </c>
      <c r="F232" s="44"/>
      <c r="G232" s="45"/>
      <c r="H232" s="45"/>
      <c r="I232" s="45">
        <f>SUM(H232)</f>
        <v>0</v>
      </c>
      <c r="J232" s="47"/>
      <c r="K232" s="45"/>
      <c r="L232" s="47"/>
      <c r="M232" s="45"/>
      <c r="N232" s="45">
        <f>SUM(H232)</f>
        <v>0</v>
      </c>
      <c r="O232" s="45">
        <f>SUM(H232)</f>
        <v>0</v>
      </c>
    </row>
    <row r="233" spans="1:16" ht="15.75" x14ac:dyDescent="0.2">
      <c r="A233" s="40"/>
      <c r="B233" s="41" t="s">
        <v>47</v>
      </c>
      <c r="C233" s="42">
        <v>992</v>
      </c>
      <c r="D233" s="43" t="s">
        <v>262</v>
      </c>
      <c r="E233" s="43" t="s">
        <v>559</v>
      </c>
      <c r="F233" s="44">
        <v>500</v>
      </c>
      <c r="G233" s="45"/>
      <c r="H233" s="45"/>
      <c r="I233" s="45">
        <f>SUM(H233)</f>
        <v>0</v>
      </c>
      <c r="J233" s="47"/>
      <c r="K233" s="45"/>
      <c r="L233" s="47"/>
      <c r="M233" s="45"/>
      <c r="N233" s="45">
        <f>SUM(H233)</f>
        <v>0</v>
      </c>
      <c r="O233" s="45">
        <f>SUM(H233)</f>
        <v>0</v>
      </c>
    </row>
    <row r="234" spans="1:16" ht="63" x14ac:dyDescent="0.2">
      <c r="A234" s="40"/>
      <c r="B234" s="41" t="s">
        <v>295</v>
      </c>
      <c r="C234" s="42" t="s">
        <v>51</v>
      </c>
      <c r="D234" s="43" t="s">
        <v>262</v>
      </c>
      <c r="E234" s="43" t="s">
        <v>296</v>
      </c>
      <c r="F234" s="44" t="s">
        <v>11</v>
      </c>
      <c r="G234" s="45">
        <f t="shared" ref="G234:O236" si="37">G235</f>
        <v>200</v>
      </c>
      <c r="H234" s="45">
        <f t="shared" si="37"/>
        <v>600</v>
      </c>
      <c r="I234" s="45">
        <f t="shared" si="37"/>
        <v>800</v>
      </c>
      <c r="J234" s="46">
        <f t="shared" si="37"/>
        <v>0</v>
      </c>
      <c r="K234" s="45">
        <f>K235</f>
        <v>0</v>
      </c>
      <c r="L234" s="46">
        <f t="shared" si="37"/>
        <v>0</v>
      </c>
      <c r="M234" s="45">
        <f t="shared" si="37"/>
        <v>200</v>
      </c>
      <c r="N234" s="45">
        <f t="shared" si="37"/>
        <v>600</v>
      </c>
      <c r="O234" s="45">
        <f t="shared" si="37"/>
        <v>800</v>
      </c>
    </row>
    <row r="235" spans="1:16" ht="47.25" x14ac:dyDescent="0.2">
      <c r="A235" s="40"/>
      <c r="B235" s="41" t="s">
        <v>297</v>
      </c>
      <c r="C235" s="42" t="s">
        <v>51</v>
      </c>
      <c r="D235" s="43" t="s">
        <v>262</v>
      </c>
      <c r="E235" s="43" t="s">
        <v>298</v>
      </c>
      <c r="F235" s="44" t="s">
        <v>11</v>
      </c>
      <c r="G235" s="45">
        <f t="shared" si="37"/>
        <v>200</v>
      </c>
      <c r="H235" s="45">
        <f>H236</f>
        <v>600</v>
      </c>
      <c r="I235" s="45">
        <f t="shared" si="37"/>
        <v>800</v>
      </c>
      <c r="J235" s="46">
        <f t="shared" si="37"/>
        <v>0</v>
      </c>
      <c r="K235" s="45">
        <f>K236</f>
        <v>0</v>
      </c>
      <c r="L235" s="46">
        <f t="shared" si="37"/>
        <v>0</v>
      </c>
      <c r="M235" s="45">
        <f t="shared" si="37"/>
        <v>200</v>
      </c>
      <c r="N235" s="45">
        <f t="shared" si="37"/>
        <v>600</v>
      </c>
      <c r="O235" s="45">
        <f t="shared" si="37"/>
        <v>800</v>
      </c>
    </row>
    <row r="236" spans="1:16" ht="31.5" x14ac:dyDescent="0.2">
      <c r="A236" s="40"/>
      <c r="B236" s="41" t="s">
        <v>299</v>
      </c>
      <c r="C236" s="42" t="s">
        <v>51</v>
      </c>
      <c r="D236" s="43" t="s">
        <v>262</v>
      </c>
      <c r="E236" s="43" t="s">
        <v>300</v>
      </c>
      <c r="F236" s="44" t="s">
        <v>11</v>
      </c>
      <c r="G236" s="45">
        <f>G237</f>
        <v>200</v>
      </c>
      <c r="H236" s="25">
        <v>600</v>
      </c>
      <c r="I236" s="45">
        <f>I237</f>
        <v>800</v>
      </c>
      <c r="J236" s="46">
        <f t="shared" si="37"/>
        <v>0</v>
      </c>
      <c r="K236" s="45"/>
      <c r="L236" s="46">
        <f t="shared" si="37"/>
        <v>0</v>
      </c>
      <c r="M236" s="45">
        <f t="shared" si="37"/>
        <v>200</v>
      </c>
      <c r="N236" s="45">
        <f t="shared" si="37"/>
        <v>600</v>
      </c>
      <c r="O236" s="45">
        <f t="shared" si="37"/>
        <v>800</v>
      </c>
    </row>
    <row r="237" spans="1:16" ht="31.5" x14ac:dyDescent="0.2">
      <c r="A237" s="40"/>
      <c r="B237" s="41" t="s">
        <v>40</v>
      </c>
      <c r="C237" s="42" t="s">
        <v>51</v>
      </c>
      <c r="D237" s="43" t="s">
        <v>262</v>
      </c>
      <c r="E237" s="43" t="s">
        <v>300</v>
      </c>
      <c r="F237" s="44" t="s">
        <v>41</v>
      </c>
      <c r="G237" s="45">
        <v>200</v>
      </c>
      <c r="H237" s="25">
        <v>600</v>
      </c>
      <c r="I237" s="45">
        <f>200+H237</f>
        <v>800</v>
      </c>
      <c r="J237" s="47"/>
      <c r="K237" s="25"/>
      <c r="L237" s="47"/>
      <c r="M237" s="45">
        <v>200</v>
      </c>
      <c r="N237" s="45">
        <f>SUM(H237)</f>
        <v>600</v>
      </c>
      <c r="O237" s="45">
        <f>200+N237</f>
        <v>800</v>
      </c>
    </row>
    <row r="238" spans="1:16" ht="15.75" x14ac:dyDescent="0.2">
      <c r="A238" s="20" t="s">
        <v>301</v>
      </c>
      <c r="B238" s="21" t="s">
        <v>302</v>
      </c>
      <c r="C238" s="42" t="s">
        <v>51</v>
      </c>
      <c r="D238" s="43" t="s">
        <v>303</v>
      </c>
      <c r="E238" s="43" t="s">
        <v>11</v>
      </c>
      <c r="F238" s="44" t="s">
        <v>11</v>
      </c>
      <c r="G238" s="25">
        <f>G239+G252+G284+G327</f>
        <v>248628.2</v>
      </c>
      <c r="H238" s="25">
        <f>H239+H252+H284+H327</f>
        <v>7614.5999999999995</v>
      </c>
      <c r="I238" s="25">
        <f>I239+I252+I284+I327</f>
        <v>255707.09999999998</v>
      </c>
      <c r="J238" s="26">
        <f>J239+J252+J284+J327</f>
        <v>2425519.4000000004</v>
      </c>
      <c r="K238" s="38">
        <f>K239+K252+K284</f>
        <v>0</v>
      </c>
      <c r="L238" s="26">
        <f>L239+L252+L284+L327</f>
        <v>2425519.4000000004</v>
      </c>
      <c r="M238" s="25">
        <f>M239+M252+M284+M327</f>
        <v>2674147.5999999996</v>
      </c>
      <c r="N238" s="25">
        <f>N239+N252+N284+N327</f>
        <v>7078.9</v>
      </c>
      <c r="O238" s="25">
        <f>O239+O252+O284+O327</f>
        <v>2681226.5</v>
      </c>
      <c r="P238" s="17"/>
    </row>
    <row r="239" spans="1:16" ht="15.75" x14ac:dyDescent="0.2">
      <c r="A239" s="33" t="s">
        <v>304</v>
      </c>
      <c r="B239" s="34" t="s">
        <v>305</v>
      </c>
      <c r="C239" s="42" t="s">
        <v>51</v>
      </c>
      <c r="D239" s="43" t="s">
        <v>306</v>
      </c>
      <c r="E239" s="57" t="s">
        <v>231</v>
      </c>
      <c r="F239" s="44" t="s">
        <v>11</v>
      </c>
      <c r="G239" s="38">
        <f>G245+G240</f>
        <v>8442.5</v>
      </c>
      <c r="H239" s="45">
        <f>H245+H240</f>
        <v>0</v>
      </c>
      <c r="I239" s="38">
        <f>I245+I240</f>
        <v>8442.5</v>
      </c>
      <c r="J239" s="39">
        <f>J245</f>
        <v>0</v>
      </c>
      <c r="K239" s="45">
        <f>K245</f>
        <v>0</v>
      </c>
      <c r="L239" s="39">
        <f>L245</f>
        <v>0</v>
      </c>
      <c r="M239" s="38">
        <f>M245+M240</f>
        <v>8442.5</v>
      </c>
      <c r="N239" s="45">
        <f>N245+N240</f>
        <v>0</v>
      </c>
      <c r="O239" s="38">
        <f>O245+O240</f>
        <v>8442.5</v>
      </c>
    </row>
    <row r="240" spans="1:16" ht="31.5" x14ac:dyDescent="0.2">
      <c r="A240" s="33"/>
      <c r="B240" s="34" t="s">
        <v>307</v>
      </c>
      <c r="C240" s="42">
        <v>992</v>
      </c>
      <c r="D240" s="43" t="s">
        <v>306</v>
      </c>
      <c r="E240" s="57" t="s">
        <v>308</v>
      </c>
      <c r="F240" s="44"/>
      <c r="G240" s="38">
        <f>SUM(G241)</f>
        <v>1070</v>
      </c>
      <c r="H240" s="45">
        <f>SUM(H241)</f>
        <v>0</v>
      </c>
      <c r="I240" s="38">
        <f>SUM(G240)</f>
        <v>1070</v>
      </c>
      <c r="J240" s="39"/>
      <c r="K240" s="45"/>
      <c r="L240" s="39"/>
      <c r="M240" s="38">
        <f t="shared" ref="M240:O243" si="38">SUM(G240)</f>
        <v>1070</v>
      </c>
      <c r="N240" s="38">
        <f t="shared" si="38"/>
        <v>0</v>
      </c>
      <c r="O240" s="38">
        <f t="shared" si="38"/>
        <v>1070</v>
      </c>
    </row>
    <row r="241" spans="1:16" ht="31.5" x14ac:dyDescent="0.2">
      <c r="A241" s="33"/>
      <c r="B241" s="56" t="s">
        <v>309</v>
      </c>
      <c r="C241" s="42">
        <v>992</v>
      </c>
      <c r="D241" s="43" t="s">
        <v>306</v>
      </c>
      <c r="E241" s="57" t="s">
        <v>310</v>
      </c>
      <c r="F241" s="44"/>
      <c r="G241" s="38">
        <f>SUM(G243)+G242</f>
        <v>1070</v>
      </c>
      <c r="H241" s="45">
        <f>SUM(H243)+H242</f>
        <v>0</v>
      </c>
      <c r="I241" s="38">
        <f>SUM(G241)</f>
        <v>1070</v>
      </c>
      <c r="J241" s="39"/>
      <c r="K241" s="45"/>
      <c r="L241" s="39"/>
      <c r="M241" s="38">
        <f>SUM(G241)</f>
        <v>1070</v>
      </c>
      <c r="N241" s="38">
        <f t="shared" si="38"/>
        <v>0</v>
      </c>
      <c r="O241" s="38">
        <f t="shared" si="38"/>
        <v>1070</v>
      </c>
    </row>
    <row r="242" spans="1:16" ht="31.5" x14ac:dyDescent="0.2">
      <c r="A242" s="33"/>
      <c r="B242" s="41" t="s">
        <v>40</v>
      </c>
      <c r="C242" s="42">
        <v>992</v>
      </c>
      <c r="D242" s="43" t="s">
        <v>306</v>
      </c>
      <c r="E242" s="57" t="s">
        <v>310</v>
      </c>
      <c r="F242" s="44">
        <v>200</v>
      </c>
      <c r="G242" s="38">
        <v>151.30000000000001</v>
      </c>
      <c r="H242" s="45"/>
      <c r="I242" s="38">
        <f>SUM(G242)+H242</f>
        <v>151.30000000000001</v>
      </c>
      <c r="J242" s="39"/>
      <c r="K242" s="45"/>
      <c r="L242" s="39"/>
      <c r="M242" s="38">
        <f>SUM(G242)</f>
        <v>151.30000000000001</v>
      </c>
      <c r="N242" s="38">
        <f>SUM(H242)</f>
        <v>0</v>
      </c>
      <c r="O242" s="38">
        <f t="shared" si="38"/>
        <v>151.30000000000001</v>
      </c>
    </row>
    <row r="243" spans="1:16" ht="30" customHeight="1" x14ac:dyDescent="0.2">
      <c r="A243" s="33"/>
      <c r="B243" s="41" t="s">
        <v>225</v>
      </c>
      <c r="C243" s="42">
        <v>992</v>
      </c>
      <c r="D243" s="43" t="s">
        <v>306</v>
      </c>
      <c r="E243" s="57" t="s">
        <v>308</v>
      </c>
      <c r="F243" s="44">
        <v>400</v>
      </c>
      <c r="G243" s="38">
        <v>918.7</v>
      </c>
      <c r="H243" s="45"/>
      <c r="I243" s="38">
        <f>SUM(G243)+H243</f>
        <v>918.7</v>
      </c>
      <c r="J243" s="39"/>
      <c r="K243" s="45"/>
      <c r="L243" s="39"/>
      <c r="M243" s="38">
        <f>SUM(G243)</f>
        <v>918.7</v>
      </c>
      <c r="N243" s="38">
        <f t="shared" si="38"/>
        <v>0</v>
      </c>
      <c r="O243" s="38">
        <f t="shared" si="38"/>
        <v>918.7</v>
      </c>
    </row>
    <row r="244" spans="1:16" ht="15.75" hidden="1" x14ac:dyDescent="0.2">
      <c r="A244" s="33"/>
      <c r="B244" s="34"/>
      <c r="C244" s="35"/>
      <c r="D244" s="36"/>
      <c r="E244" s="36"/>
      <c r="F244" s="37"/>
      <c r="G244" s="38"/>
      <c r="H244" s="45"/>
      <c r="I244" s="38"/>
      <c r="J244" s="39"/>
      <c r="K244" s="45"/>
      <c r="L244" s="39"/>
      <c r="M244" s="38"/>
      <c r="N244" s="38"/>
      <c r="O244" s="38"/>
    </row>
    <row r="245" spans="1:16" ht="31.5" x14ac:dyDescent="0.2">
      <c r="A245" s="40"/>
      <c r="B245" s="41" t="s">
        <v>245</v>
      </c>
      <c r="C245" s="42" t="s">
        <v>51</v>
      </c>
      <c r="D245" s="43" t="s">
        <v>306</v>
      </c>
      <c r="E245" s="43" t="s">
        <v>246</v>
      </c>
      <c r="F245" s="44" t="s">
        <v>11</v>
      </c>
      <c r="G245" s="45">
        <f t="shared" ref="G245:O246" si="39">G246</f>
        <v>7372.5</v>
      </c>
      <c r="H245" s="45">
        <f t="shared" si="39"/>
        <v>0</v>
      </c>
      <c r="I245" s="45">
        <f t="shared" si="39"/>
        <v>7372.5</v>
      </c>
      <c r="J245" s="46">
        <f t="shared" si="39"/>
        <v>0</v>
      </c>
      <c r="K245" s="45">
        <f>K246</f>
        <v>0</v>
      </c>
      <c r="L245" s="46">
        <f t="shared" si="39"/>
        <v>0</v>
      </c>
      <c r="M245" s="45">
        <f t="shared" si="39"/>
        <v>7372.5</v>
      </c>
      <c r="N245" s="45">
        <f t="shared" si="39"/>
        <v>0</v>
      </c>
      <c r="O245" s="45">
        <f t="shared" si="39"/>
        <v>7372.5</v>
      </c>
    </row>
    <row r="246" spans="1:16" ht="31.5" x14ac:dyDescent="0.2">
      <c r="A246" s="40"/>
      <c r="B246" s="41" t="s">
        <v>311</v>
      </c>
      <c r="C246" s="42" t="s">
        <v>51</v>
      </c>
      <c r="D246" s="43" t="s">
        <v>306</v>
      </c>
      <c r="E246" s="43" t="s">
        <v>312</v>
      </c>
      <c r="F246" s="44" t="s">
        <v>11</v>
      </c>
      <c r="G246" s="45">
        <f>G247</f>
        <v>7372.5</v>
      </c>
      <c r="H246" s="45">
        <f>H247+H249</f>
        <v>0</v>
      </c>
      <c r="I246" s="45">
        <f>I247</f>
        <v>7372.5</v>
      </c>
      <c r="J246" s="46">
        <f t="shared" si="39"/>
        <v>0</v>
      </c>
      <c r="K246" s="45">
        <f>K247+K249</f>
        <v>0</v>
      </c>
      <c r="L246" s="46">
        <f t="shared" si="39"/>
        <v>0</v>
      </c>
      <c r="M246" s="45">
        <f t="shared" si="39"/>
        <v>7372.5</v>
      </c>
      <c r="N246" s="45">
        <f t="shared" si="39"/>
        <v>0</v>
      </c>
      <c r="O246" s="45">
        <f t="shared" si="39"/>
        <v>7372.5</v>
      </c>
    </row>
    <row r="247" spans="1:16" ht="31.5" x14ac:dyDescent="0.2">
      <c r="A247" s="40"/>
      <c r="B247" s="41" t="s">
        <v>313</v>
      </c>
      <c r="C247" s="42" t="s">
        <v>51</v>
      </c>
      <c r="D247" s="43" t="s">
        <v>306</v>
      </c>
      <c r="E247" s="43" t="s">
        <v>314</v>
      </c>
      <c r="F247" s="44" t="s">
        <v>11</v>
      </c>
      <c r="G247" s="45">
        <f>G248+G250</f>
        <v>7372.5</v>
      </c>
      <c r="H247" s="45">
        <f>H248+H250</f>
        <v>0</v>
      </c>
      <c r="I247" s="45">
        <f>I248+I250</f>
        <v>7372.5</v>
      </c>
      <c r="J247" s="46">
        <f>J248+J250</f>
        <v>0</v>
      </c>
      <c r="K247" s="45">
        <f>K248</f>
        <v>0</v>
      </c>
      <c r="L247" s="46">
        <f>L248+L250</f>
        <v>0</v>
      </c>
      <c r="M247" s="45">
        <f>M248+M250</f>
        <v>7372.5</v>
      </c>
      <c r="N247" s="45">
        <f>N248+N250</f>
        <v>0</v>
      </c>
      <c r="O247" s="45">
        <f>O248+O250</f>
        <v>7372.5</v>
      </c>
    </row>
    <row r="248" spans="1:16" ht="47.25" x14ac:dyDescent="0.2">
      <c r="A248" s="40"/>
      <c r="B248" s="41" t="s">
        <v>315</v>
      </c>
      <c r="C248" s="42" t="s">
        <v>51</v>
      </c>
      <c r="D248" s="43" t="s">
        <v>306</v>
      </c>
      <c r="E248" s="43" t="s">
        <v>316</v>
      </c>
      <c r="F248" s="44" t="s">
        <v>11</v>
      </c>
      <c r="G248" s="45">
        <f>G249</f>
        <v>2400</v>
      </c>
      <c r="H248" s="45"/>
      <c r="I248" s="45">
        <f>I249</f>
        <v>2400</v>
      </c>
      <c r="J248" s="46">
        <f>J249</f>
        <v>0</v>
      </c>
      <c r="K248" s="45"/>
      <c r="L248" s="46">
        <f>L249</f>
        <v>0</v>
      </c>
      <c r="M248" s="45">
        <f>M249</f>
        <v>2400</v>
      </c>
      <c r="N248" s="45">
        <f>N249</f>
        <v>0</v>
      </c>
      <c r="O248" s="45">
        <f>O249</f>
        <v>2400</v>
      </c>
    </row>
    <row r="249" spans="1:16" ht="31.5" x14ac:dyDescent="0.2">
      <c r="A249" s="40"/>
      <c r="B249" s="41" t="s">
        <v>40</v>
      </c>
      <c r="C249" s="42" t="s">
        <v>51</v>
      </c>
      <c r="D249" s="43" t="s">
        <v>306</v>
      </c>
      <c r="E249" s="43" t="s">
        <v>316</v>
      </c>
      <c r="F249" s="44" t="s">
        <v>41</v>
      </c>
      <c r="G249" s="45">
        <v>2400</v>
      </c>
      <c r="H249" s="45"/>
      <c r="I249" s="45">
        <v>2400</v>
      </c>
      <c r="J249" s="47"/>
      <c r="K249" s="45"/>
      <c r="L249" s="47"/>
      <c r="M249" s="45">
        <v>2400</v>
      </c>
      <c r="N249" s="45"/>
      <c r="O249" s="45">
        <v>2400</v>
      </c>
    </row>
    <row r="250" spans="1:16" ht="47.25" x14ac:dyDescent="0.2">
      <c r="A250" s="40"/>
      <c r="B250" s="41" t="s">
        <v>317</v>
      </c>
      <c r="C250" s="42" t="s">
        <v>51</v>
      </c>
      <c r="D250" s="43" t="s">
        <v>306</v>
      </c>
      <c r="E250" s="43" t="s">
        <v>318</v>
      </c>
      <c r="F250" s="44" t="s">
        <v>11</v>
      </c>
      <c r="G250" s="45">
        <f>G251</f>
        <v>4972.5</v>
      </c>
      <c r="H250" s="45">
        <f>H251</f>
        <v>0</v>
      </c>
      <c r="I250" s="45">
        <f>I251</f>
        <v>4972.5</v>
      </c>
      <c r="J250" s="46">
        <f>J251</f>
        <v>0</v>
      </c>
      <c r="K250" s="48"/>
      <c r="L250" s="46">
        <f>L251</f>
        <v>0</v>
      </c>
      <c r="M250" s="45">
        <f>M251</f>
        <v>4972.5</v>
      </c>
      <c r="N250" s="45">
        <f>N251</f>
        <v>0</v>
      </c>
      <c r="O250" s="45">
        <f>O251</f>
        <v>4972.5</v>
      </c>
    </row>
    <row r="251" spans="1:16" ht="31.5" x14ac:dyDescent="0.2">
      <c r="A251" s="40"/>
      <c r="B251" s="41" t="s">
        <v>40</v>
      </c>
      <c r="C251" s="42" t="s">
        <v>51</v>
      </c>
      <c r="D251" s="43" t="s">
        <v>306</v>
      </c>
      <c r="E251" s="43" t="s">
        <v>318</v>
      </c>
      <c r="F251" s="44" t="s">
        <v>41</v>
      </c>
      <c r="G251" s="48">
        <v>4972.5</v>
      </c>
      <c r="H251" s="66"/>
      <c r="I251" s="48">
        <f>SUM(G251)</f>
        <v>4972.5</v>
      </c>
      <c r="J251" s="47"/>
      <c r="K251" s="38"/>
      <c r="L251" s="47"/>
      <c r="M251" s="48">
        <f>SUM(G251)</f>
        <v>4972.5</v>
      </c>
      <c r="N251" s="48">
        <f>SUM(H251)</f>
        <v>0</v>
      </c>
      <c r="O251" s="48">
        <f>SUM(M251)</f>
        <v>4972.5</v>
      </c>
    </row>
    <row r="252" spans="1:16" ht="15.75" x14ac:dyDescent="0.2">
      <c r="A252" s="33" t="s">
        <v>319</v>
      </c>
      <c r="B252" s="34" t="s">
        <v>320</v>
      </c>
      <c r="C252" s="35" t="s">
        <v>51</v>
      </c>
      <c r="D252" s="36" t="s">
        <v>321</v>
      </c>
      <c r="E252" s="36" t="s">
        <v>11</v>
      </c>
      <c r="F252" s="37" t="s">
        <v>11</v>
      </c>
      <c r="G252" s="38">
        <f t="shared" ref="G252:O252" si="40">G253+G268</f>
        <v>62201.600000000006</v>
      </c>
      <c r="H252" s="45">
        <f t="shared" si="40"/>
        <v>1335.7</v>
      </c>
      <c r="I252" s="38">
        <f t="shared" si="40"/>
        <v>63001.600000000006</v>
      </c>
      <c r="J252" s="39">
        <f t="shared" si="40"/>
        <v>2420884.4000000004</v>
      </c>
      <c r="K252" s="45">
        <f t="shared" si="40"/>
        <v>0</v>
      </c>
      <c r="L252" s="39">
        <f t="shared" si="40"/>
        <v>2420884.4000000004</v>
      </c>
      <c r="M252" s="78">
        <f t="shared" si="40"/>
        <v>2483086</v>
      </c>
      <c r="N252" s="45">
        <f t="shared" si="40"/>
        <v>800</v>
      </c>
      <c r="O252" s="78">
        <f t="shared" si="40"/>
        <v>2483886</v>
      </c>
      <c r="P252" s="15"/>
    </row>
    <row r="253" spans="1:16" ht="31.5" x14ac:dyDescent="0.2">
      <c r="A253" s="40"/>
      <c r="B253" s="41" t="s">
        <v>245</v>
      </c>
      <c r="C253" s="42" t="s">
        <v>51</v>
      </c>
      <c r="D253" s="43" t="s">
        <v>321</v>
      </c>
      <c r="E253" s="43" t="s">
        <v>246</v>
      </c>
      <c r="F253" s="44" t="s">
        <v>11</v>
      </c>
      <c r="G253" s="45">
        <f>G254+G265</f>
        <v>26299.8</v>
      </c>
      <c r="H253" s="45">
        <f>H254+H265</f>
        <v>535.70000000000005</v>
      </c>
      <c r="I253" s="45">
        <f>I254+I265</f>
        <v>26299.800000000003</v>
      </c>
      <c r="J253" s="46">
        <f t="shared" ref="G253:O254" si="41">J254</f>
        <v>2301493.8000000003</v>
      </c>
      <c r="K253" s="45">
        <f t="shared" si="41"/>
        <v>0</v>
      </c>
      <c r="L253" s="46">
        <f t="shared" si="41"/>
        <v>2301493.8000000003</v>
      </c>
      <c r="M253" s="45">
        <f>M254+M265</f>
        <v>2327793.6</v>
      </c>
      <c r="N253" s="45">
        <f>SUM(N265)+N254</f>
        <v>0</v>
      </c>
      <c r="O253" s="45">
        <f>O254+O265</f>
        <v>2327793.6</v>
      </c>
      <c r="P253" s="16"/>
    </row>
    <row r="254" spans="1:16" ht="31.5" x14ac:dyDescent="0.2">
      <c r="A254" s="40"/>
      <c r="B254" s="41" t="s">
        <v>322</v>
      </c>
      <c r="C254" s="42" t="s">
        <v>51</v>
      </c>
      <c r="D254" s="43" t="s">
        <v>321</v>
      </c>
      <c r="E254" s="43" t="s">
        <v>323</v>
      </c>
      <c r="F254" s="44" t="s">
        <v>11</v>
      </c>
      <c r="G254" s="45">
        <f t="shared" si="41"/>
        <v>14792.9</v>
      </c>
      <c r="H254" s="45">
        <f>SUM(H255)</f>
        <v>535.70000000000005</v>
      </c>
      <c r="I254" s="45">
        <f t="shared" si="41"/>
        <v>14792.900000000001</v>
      </c>
      <c r="J254" s="46">
        <f t="shared" si="41"/>
        <v>2301493.8000000003</v>
      </c>
      <c r="K254" s="45">
        <f>SUM(K255)</f>
        <v>0</v>
      </c>
      <c r="L254" s="46">
        <f t="shared" si="41"/>
        <v>2301493.8000000003</v>
      </c>
      <c r="M254" s="45">
        <f t="shared" si="41"/>
        <v>2316286.7000000002</v>
      </c>
      <c r="N254" s="45">
        <f t="shared" si="41"/>
        <v>0</v>
      </c>
      <c r="O254" s="45">
        <f t="shared" si="41"/>
        <v>2316286.7000000002</v>
      </c>
      <c r="P254" s="16"/>
    </row>
    <row r="255" spans="1:16" ht="47.25" x14ac:dyDescent="0.2">
      <c r="A255" s="40"/>
      <c r="B255" s="41" t="s">
        <v>324</v>
      </c>
      <c r="C255" s="42" t="s">
        <v>51</v>
      </c>
      <c r="D255" s="43" t="s">
        <v>321</v>
      </c>
      <c r="E255" s="43" t="s">
        <v>325</v>
      </c>
      <c r="F255" s="44" t="s">
        <v>11</v>
      </c>
      <c r="G255" s="45">
        <f>G256+G259+G261+G263</f>
        <v>14792.9</v>
      </c>
      <c r="H255" s="45">
        <f>H256+H261</f>
        <v>535.70000000000005</v>
      </c>
      <c r="I255" s="45">
        <f>I256+I259+I261+I263</f>
        <v>14792.900000000001</v>
      </c>
      <c r="J255" s="46">
        <f>J256+J259+J261+J263</f>
        <v>2301493.8000000003</v>
      </c>
      <c r="K255" s="45">
        <f>K256</f>
        <v>0</v>
      </c>
      <c r="L255" s="46">
        <f>L256+L259+L261+L263</f>
        <v>2301493.8000000003</v>
      </c>
      <c r="M255" s="45">
        <f>M256+M259+M261+M263</f>
        <v>2316286.7000000002</v>
      </c>
      <c r="N255" s="45">
        <f>N256+N259+N261+N263</f>
        <v>0</v>
      </c>
      <c r="O255" s="45">
        <f>O256+O259+O261+O263</f>
        <v>2316286.7000000002</v>
      </c>
      <c r="P255" s="16"/>
    </row>
    <row r="256" spans="1:16" ht="15.75" x14ac:dyDescent="0.2">
      <c r="A256" s="40"/>
      <c r="B256" s="41" t="s">
        <v>326</v>
      </c>
      <c r="C256" s="42" t="s">
        <v>51</v>
      </c>
      <c r="D256" s="43" t="s">
        <v>321</v>
      </c>
      <c r="E256" s="43" t="s">
        <v>327</v>
      </c>
      <c r="F256" s="44" t="s">
        <v>11</v>
      </c>
      <c r="G256" s="45">
        <f>G257+G258</f>
        <v>1750.4</v>
      </c>
      <c r="H256" s="45">
        <f>SUM(H257)+H258</f>
        <v>535.70000000000005</v>
      </c>
      <c r="I256" s="45">
        <f>I257+I258</f>
        <v>2286.1000000000004</v>
      </c>
      <c r="J256" s="46">
        <f>J257</f>
        <v>1529.5</v>
      </c>
      <c r="K256" s="45">
        <f>SUM(K257)</f>
        <v>0</v>
      </c>
      <c r="L256" s="46">
        <f>L257</f>
        <v>1529.5</v>
      </c>
      <c r="M256" s="45">
        <f>M257+M258</f>
        <v>3279.9</v>
      </c>
      <c r="N256" s="45">
        <f>N257+N258</f>
        <v>535.70000000000005</v>
      </c>
      <c r="O256" s="45">
        <f>O257+O258</f>
        <v>3815.6000000000004</v>
      </c>
    </row>
    <row r="257" spans="1:16" ht="31.5" x14ac:dyDescent="0.2">
      <c r="A257" s="40"/>
      <c r="B257" s="41" t="s">
        <v>40</v>
      </c>
      <c r="C257" s="42" t="s">
        <v>51</v>
      </c>
      <c r="D257" s="43" t="s">
        <v>321</v>
      </c>
      <c r="E257" s="43" t="s">
        <v>327</v>
      </c>
      <c r="F257" s="44" t="s">
        <v>41</v>
      </c>
      <c r="G257" s="45">
        <v>0</v>
      </c>
      <c r="H257" s="45"/>
      <c r="I257" s="45"/>
      <c r="J257" s="47">
        <v>1529.5</v>
      </c>
      <c r="K257" s="45"/>
      <c r="L257" s="45">
        <f>SUM(J257)</f>
        <v>1529.5</v>
      </c>
      <c r="M257" s="45">
        <f>SUM(J257)</f>
        <v>1529.5</v>
      </c>
      <c r="N257" s="45">
        <f>SUM(H257+K257)</f>
        <v>0</v>
      </c>
      <c r="O257" s="45">
        <f>SUM(L257)</f>
        <v>1529.5</v>
      </c>
    </row>
    <row r="258" spans="1:16" ht="31.5" x14ac:dyDescent="0.2">
      <c r="A258" s="40"/>
      <c r="B258" s="41" t="s">
        <v>225</v>
      </c>
      <c r="C258" s="42">
        <v>992</v>
      </c>
      <c r="D258" s="43" t="s">
        <v>321</v>
      </c>
      <c r="E258" s="43" t="s">
        <v>327</v>
      </c>
      <c r="F258" s="44">
        <v>400</v>
      </c>
      <c r="G258" s="45">
        <v>1750.4</v>
      </c>
      <c r="H258" s="45">
        <v>535.70000000000005</v>
      </c>
      <c r="I258" s="45">
        <f>SUM(G258)+H258</f>
        <v>2286.1000000000004</v>
      </c>
      <c r="J258" s="47"/>
      <c r="K258" s="45"/>
      <c r="L258" s="70"/>
      <c r="M258" s="45">
        <f>SUM(G258)</f>
        <v>1750.4</v>
      </c>
      <c r="N258" s="45">
        <f>SUM(H258)</f>
        <v>535.70000000000005</v>
      </c>
      <c r="O258" s="45">
        <f>SUM(M258)+N258</f>
        <v>2286.1000000000004</v>
      </c>
    </row>
    <row r="259" spans="1:16" ht="31.5" x14ac:dyDescent="0.2">
      <c r="A259" s="40"/>
      <c r="B259" s="41" t="s">
        <v>328</v>
      </c>
      <c r="C259" s="42" t="s">
        <v>51</v>
      </c>
      <c r="D259" s="43" t="s">
        <v>321</v>
      </c>
      <c r="E259" s="43" t="s">
        <v>329</v>
      </c>
      <c r="F259" s="44" t="s">
        <v>11</v>
      </c>
      <c r="G259" s="45">
        <f>G260</f>
        <v>11457.5</v>
      </c>
      <c r="H259" s="45"/>
      <c r="I259" s="45">
        <f>I260</f>
        <v>11457.5</v>
      </c>
      <c r="J259" s="46">
        <f>J260</f>
        <v>2280029.1</v>
      </c>
      <c r="K259" s="45"/>
      <c r="L259" s="46">
        <f>L260</f>
        <v>2280029.1</v>
      </c>
      <c r="M259" s="45">
        <f>M260</f>
        <v>2291486.6</v>
      </c>
      <c r="N259" s="45">
        <f>N260</f>
        <v>0</v>
      </c>
      <c r="O259" s="45">
        <f>O260</f>
        <v>2291486.6</v>
      </c>
    </row>
    <row r="260" spans="1:16" ht="31.5" x14ac:dyDescent="0.2">
      <c r="A260" s="40"/>
      <c r="B260" s="41" t="s">
        <v>225</v>
      </c>
      <c r="C260" s="42" t="s">
        <v>51</v>
      </c>
      <c r="D260" s="43" t="s">
        <v>321</v>
      </c>
      <c r="E260" s="43" t="s">
        <v>329</v>
      </c>
      <c r="F260" s="44" t="s">
        <v>226</v>
      </c>
      <c r="G260" s="45">
        <v>11457.5</v>
      </c>
      <c r="H260" s="45"/>
      <c r="I260" s="45">
        <v>11457.5</v>
      </c>
      <c r="J260" s="47">
        <v>2280029.1</v>
      </c>
      <c r="K260" s="45"/>
      <c r="L260" s="47">
        <v>2280029.1</v>
      </c>
      <c r="M260" s="45">
        <f>11457.5+J260</f>
        <v>2291486.6</v>
      </c>
      <c r="N260" s="45"/>
      <c r="O260" s="45">
        <f>11457.5+L260</f>
        <v>2291486.6</v>
      </c>
    </row>
    <row r="261" spans="1:16" ht="15.75" x14ac:dyDescent="0.2">
      <c r="A261" s="40"/>
      <c r="B261" s="41" t="s">
        <v>330</v>
      </c>
      <c r="C261" s="42" t="s">
        <v>51</v>
      </c>
      <c r="D261" s="43" t="s">
        <v>321</v>
      </c>
      <c r="E261" s="43" t="s">
        <v>331</v>
      </c>
      <c r="F261" s="44" t="s">
        <v>11</v>
      </c>
      <c r="G261" s="45">
        <f>G262</f>
        <v>386.1</v>
      </c>
      <c r="H261" s="45">
        <f>SUM(H262)</f>
        <v>0</v>
      </c>
      <c r="I261" s="45">
        <f>I262</f>
        <v>386.1</v>
      </c>
      <c r="J261" s="46">
        <f>J262</f>
        <v>7335.5</v>
      </c>
      <c r="K261" s="45">
        <v>0</v>
      </c>
      <c r="L261" s="46">
        <f>L262</f>
        <v>7335.5</v>
      </c>
      <c r="M261" s="45">
        <f>M262</f>
        <v>7721.6</v>
      </c>
      <c r="N261" s="45">
        <f>N262</f>
        <v>0</v>
      </c>
      <c r="O261" s="45">
        <f>O262</f>
        <v>7721.6</v>
      </c>
    </row>
    <row r="262" spans="1:16" ht="31.5" x14ac:dyDescent="0.2">
      <c r="A262" s="40"/>
      <c r="B262" s="41" t="s">
        <v>225</v>
      </c>
      <c r="C262" s="42" t="s">
        <v>51</v>
      </c>
      <c r="D262" s="43" t="s">
        <v>321</v>
      </c>
      <c r="E262" s="43" t="s">
        <v>331</v>
      </c>
      <c r="F262" s="44" t="s">
        <v>226</v>
      </c>
      <c r="G262" s="45">
        <v>386.1</v>
      </c>
      <c r="H262" s="45"/>
      <c r="I262" s="45">
        <f>SUM(G262)</f>
        <v>386.1</v>
      </c>
      <c r="J262" s="47">
        <f>14200-6864.5</f>
        <v>7335.5</v>
      </c>
      <c r="K262" s="45"/>
      <c r="L262" s="47">
        <f>14200-6864.5</f>
        <v>7335.5</v>
      </c>
      <c r="M262" s="45">
        <f>SUM(J262)+G262</f>
        <v>7721.6</v>
      </c>
      <c r="N262" s="45">
        <f>SUM(H262)</f>
        <v>0</v>
      </c>
      <c r="O262" s="45">
        <f>SUM(L262)+N262+I262</f>
        <v>7721.6</v>
      </c>
    </row>
    <row r="263" spans="1:16" ht="15.75" x14ac:dyDescent="0.2">
      <c r="A263" s="40"/>
      <c r="B263" s="41" t="s">
        <v>332</v>
      </c>
      <c r="C263" s="42" t="s">
        <v>51</v>
      </c>
      <c r="D263" s="43" t="s">
        <v>321</v>
      </c>
      <c r="E263" s="43" t="s">
        <v>333</v>
      </c>
      <c r="F263" s="44" t="s">
        <v>11</v>
      </c>
      <c r="G263" s="45">
        <f>G264</f>
        <v>1198.9000000000001</v>
      </c>
      <c r="H263" s="45">
        <v>-535.70000000000005</v>
      </c>
      <c r="I263" s="45">
        <f>I264</f>
        <v>663.2</v>
      </c>
      <c r="J263" s="46">
        <f>J264</f>
        <v>12599.699999999999</v>
      </c>
      <c r="K263" s="45"/>
      <c r="L263" s="46">
        <f>L264</f>
        <v>12599.699999999999</v>
      </c>
      <c r="M263" s="45">
        <f>M264</f>
        <v>13798.599999999999</v>
      </c>
      <c r="N263" s="45">
        <f>N264</f>
        <v>-535.70000000000005</v>
      </c>
      <c r="O263" s="45">
        <f>O264</f>
        <v>13262.899999999998</v>
      </c>
    </row>
    <row r="264" spans="1:16" ht="31.5" x14ac:dyDescent="0.2">
      <c r="A264" s="40"/>
      <c r="B264" s="41" t="s">
        <v>225</v>
      </c>
      <c r="C264" s="42" t="s">
        <v>51</v>
      </c>
      <c r="D264" s="43" t="s">
        <v>321</v>
      </c>
      <c r="E264" s="43" t="s">
        <v>333</v>
      </c>
      <c r="F264" s="44" t="s">
        <v>226</v>
      </c>
      <c r="G264" s="45">
        <v>1198.9000000000001</v>
      </c>
      <c r="H264" s="45">
        <v>-535.70000000000005</v>
      </c>
      <c r="I264" s="45">
        <f>1198.9+H264</f>
        <v>663.2</v>
      </c>
      <c r="J264" s="47">
        <f>11689.4+910.3</f>
        <v>12599.699999999999</v>
      </c>
      <c r="K264" s="45"/>
      <c r="L264" s="47">
        <f>11689.4+910.3</f>
        <v>12599.699999999999</v>
      </c>
      <c r="M264" s="45">
        <f>1198.9+J264</f>
        <v>13798.599999999999</v>
      </c>
      <c r="N264" s="45">
        <f>SUM(H264)</f>
        <v>-535.70000000000005</v>
      </c>
      <c r="O264" s="45">
        <f>1198.9+L264+N264</f>
        <v>13262.899999999998</v>
      </c>
    </row>
    <row r="265" spans="1:16" ht="47.25" x14ac:dyDescent="0.2">
      <c r="A265" s="40"/>
      <c r="B265" s="65" t="s">
        <v>334</v>
      </c>
      <c r="C265" s="42">
        <v>992</v>
      </c>
      <c r="D265" s="43" t="s">
        <v>321</v>
      </c>
      <c r="E265" s="57" t="s">
        <v>335</v>
      </c>
      <c r="F265" s="44"/>
      <c r="G265" s="45">
        <f t="shared" ref="G265:I266" si="42">SUM(G266)</f>
        <v>11506.9</v>
      </c>
      <c r="H265" s="45">
        <f t="shared" si="42"/>
        <v>0</v>
      </c>
      <c r="I265" s="45">
        <f t="shared" si="42"/>
        <v>11506.9</v>
      </c>
      <c r="J265" s="47"/>
      <c r="K265" s="45"/>
      <c r="L265" s="47"/>
      <c r="M265" s="45">
        <f>SUM(G265)</f>
        <v>11506.9</v>
      </c>
      <c r="N265" s="45">
        <f t="shared" ref="N265:O267" si="43">SUM(H265)</f>
        <v>0</v>
      </c>
      <c r="O265" s="45">
        <f t="shared" si="43"/>
        <v>11506.9</v>
      </c>
    </row>
    <row r="266" spans="1:16" ht="78.75" x14ac:dyDescent="0.2">
      <c r="A266" s="40"/>
      <c r="B266" s="72" t="s">
        <v>336</v>
      </c>
      <c r="C266" s="42">
        <v>992</v>
      </c>
      <c r="D266" s="43" t="s">
        <v>321</v>
      </c>
      <c r="E266" s="57" t="s">
        <v>337</v>
      </c>
      <c r="F266" s="44"/>
      <c r="G266" s="45">
        <f t="shared" si="42"/>
        <v>11506.9</v>
      </c>
      <c r="H266" s="45">
        <f t="shared" si="42"/>
        <v>0</v>
      </c>
      <c r="I266" s="45">
        <f t="shared" si="42"/>
        <v>11506.9</v>
      </c>
      <c r="J266" s="47"/>
      <c r="K266" s="45"/>
      <c r="L266" s="47"/>
      <c r="M266" s="45">
        <f>SUM(G266)</f>
        <v>11506.9</v>
      </c>
      <c r="N266" s="45">
        <f t="shared" si="43"/>
        <v>0</v>
      </c>
      <c r="O266" s="45">
        <f t="shared" si="43"/>
        <v>11506.9</v>
      </c>
    </row>
    <row r="267" spans="1:16" ht="15.75" x14ac:dyDescent="0.2">
      <c r="A267" s="40"/>
      <c r="B267" s="41" t="s">
        <v>338</v>
      </c>
      <c r="C267" s="42">
        <v>992</v>
      </c>
      <c r="D267" s="43" t="s">
        <v>321</v>
      </c>
      <c r="E267" s="57" t="s">
        <v>337</v>
      </c>
      <c r="F267" s="44">
        <v>800</v>
      </c>
      <c r="G267" s="45">
        <v>11506.9</v>
      </c>
      <c r="H267" s="45"/>
      <c r="I267" s="45">
        <f>SUM(G267)+H267</f>
        <v>11506.9</v>
      </c>
      <c r="J267" s="47"/>
      <c r="K267" s="45"/>
      <c r="L267" s="47"/>
      <c r="M267" s="45">
        <f>SUM(G267)</f>
        <v>11506.9</v>
      </c>
      <c r="N267" s="45">
        <f t="shared" si="43"/>
        <v>0</v>
      </c>
      <c r="O267" s="80">
        <f t="shared" si="43"/>
        <v>11506.9</v>
      </c>
    </row>
    <row r="268" spans="1:16" ht="31.5" x14ac:dyDescent="0.2">
      <c r="A268" s="40"/>
      <c r="B268" s="41" t="s">
        <v>339</v>
      </c>
      <c r="C268" s="42" t="s">
        <v>51</v>
      </c>
      <c r="D268" s="43" t="s">
        <v>321</v>
      </c>
      <c r="E268" s="43" t="s">
        <v>340</v>
      </c>
      <c r="F268" s="44" t="s">
        <v>11</v>
      </c>
      <c r="G268" s="45">
        <f>G269+G279+G276</f>
        <v>35901.800000000003</v>
      </c>
      <c r="H268" s="45">
        <f>H269+H276+H279</f>
        <v>800</v>
      </c>
      <c r="I268" s="45">
        <f>I269+I279+I276</f>
        <v>36701.800000000003</v>
      </c>
      <c r="J268" s="46">
        <f t="shared" ref="G268:O269" si="44">J269</f>
        <v>119390.6</v>
      </c>
      <c r="K268" s="45">
        <f t="shared" si="44"/>
        <v>0</v>
      </c>
      <c r="L268" s="46">
        <f t="shared" si="44"/>
        <v>119390.6</v>
      </c>
      <c r="M268" s="45">
        <f>M269+M279+M276</f>
        <v>155292.40000000002</v>
      </c>
      <c r="N268" s="45">
        <f>N269+N276+N279</f>
        <v>800</v>
      </c>
      <c r="O268" s="80">
        <f>O269+O279+O276</f>
        <v>156092.40000000002</v>
      </c>
      <c r="P268" s="16"/>
    </row>
    <row r="269" spans="1:16" ht="15.75" x14ac:dyDescent="0.2">
      <c r="A269" s="40"/>
      <c r="B269" s="41" t="s">
        <v>341</v>
      </c>
      <c r="C269" s="42" t="s">
        <v>51</v>
      </c>
      <c r="D269" s="43" t="s">
        <v>321</v>
      </c>
      <c r="E269" s="43" t="s">
        <v>342</v>
      </c>
      <c r="F269" s="44" t="s">
        <v>11</v>
      </c>
      <c r="G269" s="45">
        <f t="shared" si="44"/>
        <v>25835.800000000003</v>
      </c>
      <c r="H269" s="45">
        <f>H270</f>
        <v>540</v>
      </c>
      <c r="I269" s="45">
        <f t="shared" si="44"/>
        <v>26375.800000000003</v>
      </c>
      <c r="J269" s="46">
        <f t="shared" si="44"/>
        <v>119390.6</v>
      </c>
      <c r="K269" s="45">
        <f>K270+K273</f>
        <v>0</v>
      </c>
      <c r="L269" s="46">
        <f t="shared" si="44"/>
        <v>119390.6</v>
      </c>
      <c r="M269" s="45">
        <f t="shared" si="44"/>
        <v>145226.40000000002</v>
      </c>
      <c r="N269" s="45">
        <f t="shared" si="44"/>
        <v>540</v>
      </c>
      <c r="O269" s="45">
        <f t="shared" si="44"/>
        <v>145766.40000000002</v>
      </c>
      <c r="P269" s="16"/>
    </row>
    <row r="270" spans="1:16" ht="47.25" x14ac:dyDescent="0.2">
      <c r="A270" s="40"/>
      <c r="B270" s="41" t="s">
        <v>343</v>
      </c>
      <c r="C270" s="42" t="s">
        <v>51</v>
      </c>
      <c r="D270" s="43" t="s">
        <v>321</v>
      </c>
      <c r="E270" s="43" t="s">
        <v>344</v>
      </c>
      <c r="F270" s="44" t="s">
        <v>11</v>
      </c>
      <c r="G270" s="45">
        <f>G271+G274</f>
        <v>25835.800000000003</v>
      </c>
      <c r="H270" s="45">
        <f>H271+H274</f>
        <v>540</v>
      </c>
      <c r="I270" s="45">
        <f>I271+I274</f>
        <v>26375.800000000003</v>
      </c>
      <c r="J270" s="46">
        <f>J271+J274</f>
        <v>119390.6</v>
      </c>
      <c r="K270" s="45">
        <f>K271+K274</f>
        <v>0</v>
      </c>
      <c r="L270" s="46">
        <f>L271+L274</f>
        <v>119390.6</v>
      </c>
      <c r="M270" s="45">
        <f>M271+M274</f>
        <v>145226.40000000002</v>
      </c>
      <c r="N270" s="45">
        <f>N271+N274</f>
        <v>540</v>
      </c>
      <c r="O270" s="45">
        <f>O271+O274</f>
        <v>145766.40000000002</v>
      </c>
      <c r="P270" s="16"/>
    </row>
    <row r="271" spans="1:16" ht="47.25" x14ac:dyDescent="0.2">
      <c r="A271" s="40"/>
      <c r="B271" s="41" t="s">
        <v>345</v>
      </c>
      <c r="C271" s="42" t="s">
        <v>51</v>
      </c>
      <c r="D271" s="43" t="s">
        <v>321</v>
      </c>
      <c r="E271" s="43" t="s">
        <v>346</v>
      </c>
      <c r="F271" s="44" t="s">
        <v>11</v>
      </c>
      <c r="G271" s="45">
        <f>G272+G273</f>
        <v>6983.6</v>
      </c>
      <c r="H271" s="45">
        <f>SUM(H272+H273)</f>
        <v>540</v>
      </c>
      <c r="I271" s="45">
        <f>I272+I273</f>
        <v>7523.6</v>
      </c>
      <c r="J271" s="46">
        <f>J272+J273</f>
        <v>0</v>
      </c>
      <c r="K271" s="45"/>
      <c r="L271" s="46">
        <f>L272+L273</f>
        <v>0</v>
      </c>
      <c r="M271" s="45">
        <f>M272+M273</f>
        <v>6983.6</v>
      </c>
      <c r="N271" s="45">
        <f>N272+N273</f>
        <v>540</v>
      </c>
      <c r="O271" s="45">
        <f>O272+O273</f>
        <v>7523.6</v>
      </c>
    </row>
    <row r="272" spans="1:16" ht="31.5" x14ac:dyDescent="0.2">
      <c r="A272" s="40"/>
      <c r="B272" s="41" t="s">
        <v>40</v>
      </c>
      <c r="C272" s="42" t="s">
        <v>51</v>
      </c>
      <c r="D272" s="43" t="s">
        <v>321</v>
      </c>
      <c r="E272" s="43" t="s">
        <v>346</v>
      </c>
      <c r="F272" s="44" t="s">
        <v>41</v>
      </c>
      <c r="G272" s="45">
        <v>1738</v>
      </c>
      <c r="H272" s="60"/>
      <c r="I272" s="45">
        <f>SUM(G272)+H272</f>
        <v>1738</v>
      </c>
      <c r="J272" s="47">
        <v>0</v>
      </c>
      <c r="K272" s="60">
        <f>2803.6+840-1820-983.6-840</f>
        <v>0</v>
      </c>
      <c r="L272" s="47">
        <v>0</v>
      </c>
      <c r="M272" s="45">
        <f>SUM(G272)</f>
        <v>1738</v>
      </c>
      <c r="N272" s="45">
        <f>SUM(H272)</f>
        <v>0</v>
      </c>
      <c r="O272" s="80">
        <f>SUM(I272)</f>
        <v>1738</v>
      </c>
    </row>
    <row r="273" spans="1:16" ht="31.5" x14ac:dyDescent="0.2">
      <c r="A273" s="40"/>
      <c r="B273" s="41" t="s">
        <v>225</v>
      </c>
      <c r="C273" s="42" t="s">
        <v>51</v>
      </c>
      <c r="D273" s="43" t="s">
        <v>321</v>
      </c>
      <c r="E273" s="43" t="s">
        <v>346</v>
      </c>
      <c r="F273" s="44" t="s">
        <v>226</v>
      </c>
      <c r="G273" s="60">
        <v>5245.6</v>
      </c>
      <c r="H273" s="45">
        <v>540</v>
      </c>
      <c r="I273" s="60">
        <f>SUM(G273)+H273</f>
        <v>5785.6</v>
      </c>
      <c r="J273" s="47">
        <v>0</v>
      </c>
      <c r="K273" s="45"/>
      <c r="L273" s="47">
        <v>0</v>
      </c>
      <c r="M273" s="60">
        <f>SUM(G273)</f>
        <v>5245.6</v>
      </c>
      <c r="N273" s="60">
        <f>SUM(H273)</f>
        <v>540</v>
      </c>
      <c r="O273" s="80">
        <f>SUM(M273)+N273</f>
        <v>5785.6</v>
      </c>
    </row>
    <row r="274" spans="1:16" ht="15.75" x14ac:dyDescent="0.2">
      <c r="A274" s="40"/>
      <c r="B274" s="41" t="s">
        <v>347</v>
      </c>
      <c r="C274" s="42" t="s">
        <v>51</v>
      </c>
      <c r="D274" s="43" t="s">
        <v>321</v>
      </c>
      <c r="E274" s="43" t="s">
        <v>348</v>
      </c>
      <c r="F274" s="44" t="s">
        <v>11</v>
      </c>
      <c r="G274" s="45">
        <f>G275</f>
        <v>18852.2</v>
      </c>
      <c r="H274" s="45">
        <f>SUM(H275)</f>
        <v>0</v>
      </c>
      <c r="I274" s="45">
        <f>I275</f>
        <v>18852.2</v>
      </c>
      <c r="J274" s="46">
        <f>J275</f>
        <v>119390.6</v>
      </c>
      <c r="K274" s="70"/>
      <c r="L274" s="46">
        <f>L275</f>
        <v>119390.6</v>
      </c>
      <c r="M274" s="45">
        <f>M275</f>
        <v>138242.80000000002</v>
      </c>
      <c r="N274" s="45">
        <f>N275</f>
        <v>0</v>
      </c>
      <c r="O274" s="45">
        <f>O275</f>
        <v>138242.80000000002</v>
      </c>
    </row>
    <row r="275" spans="1:16" ht="31.5" x14ac:dyDescent="0.2">
      <c r="A275" s="40"/>
      <c r="B275" s="41" t="s">
        <v>225</v>
      </c>
      <c r="C275" s="42" t="s">
        <v>51</v>
      </c>
      <c r="D275" s="43" t="s">
        <v>321</v>
      </c>
      <c r="E275" s="43" t="s">
        <v>348</v>
      </c>
      <c r="F275" s="44" t="s">
        <v>226</v>
      </c>
      <c r="G275" s="45">
        <v>18852.2</v>
      </c>
      <c r="H275" s="45"/>
      <c r="I275" s="45">
        <v>18852.2</v>
      </c>
      <c r="J275" s="47">
        <v>119390.6</v>
      </c>
      <c r="K275" s="70"/>
      <c r="L275" s="47">
        <f>SUM(J275)</f>
        <v>119390.6</v>
      </c>
      <c r="M275" s="45">
        <f>SUM(G275+J275)</f>
        <v>138242.80000000002</v>
      </c>
      <c r="N275" s="45">
        <f>SUM(H275+K275)</f>
        <v>0</v>
      </c>
      <c r="O275" s="45">
        <f>SUM(I275+L275)</f>
        <v>138242.80000000002</v>
      </c>
    </row>
    <row r="276" spans="1:16" ht="15.75" x14ac:dyDescent="0.2">
      <c r="A276" s="40"/>
      <c r="B276" s="41" t="s">
        <v>349</v>
      </c>
      <c r="C276" s="42">
        <v>992</v>
      </c>
      <c r="D276" s="43" t="s">
        <v>321</v>
      </c>
      <c r="E276" s="43">
        <v>1120121140</v>
      </c>
      <c r="F276" s="44"/>
      <c r="G276" s="45">
        <f>SUM(G278)</f>
        <v>8102</v>
      </c>
      <c r="H276" s="45">
        <f>SUM(H278)</f>
        <v>0</v>
      </c>
      <c r="I276" s="45">
        <f>SUM(G276)</f>
        <v>8102</v>
      </c>
      <c r="J276" s="47"/>
      <c r="K276" s="45"/>
      <c r="L276" s="47"/>
      <c r="M276" s="45">
        <f>SUM(G276)</f>
        <v>8102</v>
      </c>
      <c r="N276" s="45">
        <f t="shared" ref="N276:O278" si="45">SUM(H276)</f>
        <v>0</v>
      </c>
      <c r="O276" s="45">
        <f t="shared" si="45"/>
        <v>8102</v>
      </c>
    </row>
    <row r="277" spans="1:16" ht="2.25" customHeight="1" x14ac:dyDescent="0.2">
      <c r="A277" s="40"/>
      <c r="B277" s="41"/>
      <c r="C277" s="42">
        <v>992</v>
      </c>
      <c r="D277" s="43" t="s">
        <v>321</v>
      </c>
      <c r="E277" s="43">
        <v>1120121140</v>
      </c>
      <c r="F277" s="44">
        <v>400</v>
      </c>
      <c r="G277" s="45"/>
      <c r="H277" s="45">
        <f>SUM(H278)</f>
        <v>0</v>
      </c>
      <c r="I277" s="45">
        <f>SUM(H277)</f>
        <v>0</v>
      </c>
      <c r="J277" s="47"/>
      <c r="K277" s="45"/>
      <c r="L277" s="47"/>
      <c r="M277" s="45"/>
      <c r="N277" s="45">
        <f t="shared" si="45"/>
        <v>0</v>
      </c>
      <c r="O277" s="45">
        <f t="shared" si="45"/>
        <v>0</v>
      </c>
    </row>
    <row r="278" spans="1:16" ht="31.5" x14ac:dyDescent="0.2">
      <c r="A278" s="40"/>
      <c r="B278" s="41" t="s">
        <v>225</v>
      </c>
      <c r="C278" s="42">
        <v>992</v>
      </c>
      <c r="D278" s="43" t="s">
        <v>321</v>
      </c>
      <c r="E278" s="43">
        <v>1120121140</v>
      </c>
      <c r="F278" s="44">
        <v>400</v>
      </c>
      <c r="G278" s="45">
        <v>8102</v>
      </c>
      <c r="H278" s="45"/>
      <c r="I278" s="45">
        <f>SUM(G278)</f>
        <v>8102</v>
      </c>
      <c r="J278" s="47"/>
      <c r="K278" s="45"/>
      <c r="L278" s="47"/>
      <c r="M278" s="45">
        <f>SUM(G278)</f>
        <v>8102</v>
      </c>
      <c r="N278" s="45">
        <f t="shared" si="45"/>
        <v>0</v>
      </c>
      <c r="O278" s="45">
        <f t="shared" si="45"/>
        <v>8102</v>
      </c>
    </row>
    <row r="279" spans="1:16" ht="15.75" x14ac:dyDescent="0.2">
      <c r="A279" s="40"/>
      <c r="B279" s="56" t="s">
        <v>350</v>
      </c>
      <c r="C279" s="42">
        <v>992</v>
      </c>
      <c r="D279" s="43" t="s">
        <v>321</v>
      </c>
      <c r="E279" s="43">
        <v>113000000</v>
      </c>
      <c r="F279" s="44"/>
      <c r="G279" s="45">
        <v>1964</v>
      </c>
      <c r="H279" s="38">
        <v>260</v>
      </c>
      <c r="I279" s="45">
        <f>1964+H279</f>
        <v>2224</v>
      </c>
      <c r="J279" s="47"/>
      <c r="K279" s="45"/>
      <c r="L279" s="47"/>
      <c r="M279" s="45">
        <v>1964</v>
      </c>
      <c r="N279" s="45">
        <f>SUM(H279)</f>
        <v>260</v>
      </c>
      <c r="O279" s="45">
        <f>1964+N279</f>
        <v>2224</v>
      </c>
    </row>
    <row r="280" spans="1:16" ht="47.25" x14ac:dyDescent="0.2">
      <c r="A280" s="40"/>
      <c r="B280" s="56" t="s">
        <v>351</v>
      </c>
      <c r="C280" s="42">
        <v>992</v>
      </c>
      <c r="D280" s="43" t="s">
        <v>321</v>
      </c>
      <c r="E280" s="43">
        <v>113010000</v>
      </c>
      <c r="F280" s="44"/>
      <c r="G280" s="45">
        <v>1964</v>
      </c>
      <c r="H280" s="38">
        <v>260</v>
      </c>
      <c r="I280" s="45">
        <f>1964+H280</f>
        <v>2224</v>
      </c>
      <c r="J280" s="47"/>
      <c r="K280" s="45"/>
      <c r="L280" s="47"/>
      <c r="M280" s="45">
        <v>1964</v>
      </c>
      <c r="N280" s="45">
        <f>SUM(H280)</f>
        <v>260</v>
      </c>
      <c r="O280" s="45">
        <f>1964+N280</f>
        <v>2224</v>
      </c>
    </row>
    <row r="281" spans="1:16" ht="15.75" x14ac:dyDescent="0.2">
      <c r="A281" s="40"/>
      <c r="B281" s="56" t="s">
        <v>350</v>
      </c>
      <c r="C281" s="42">
        <v>992</v>
      </c>
      <c r="D281" s="43" t="s">
        <v>321</v>
      </c>
      <c r="E281" s="43">
        <v>1130121070</v>
      </c>
      <c r="F281" s="44"/>
      <c r="G281" s="45">
        <v>1964</v>
      </c>
      <c r="H281" s="38">
        <v>260</v>
      </c>
      <c r="I281" s="45">
        <f>1964+H281</f>
        <v>2224</v>
      </c>
      <c r="J281" s="47"/>
      <c r="K281" s="45"/>
      <c r="L281" s="47"/>
      <c r="M281" s="45">
        <v>1964</v>
      </c>
      <c r="N281" s="45">
        <f>SUM(H281)</f>
        <v>260</v>
      </c>
      <c r="O281" s="45">
        <f>1964+N281</f>
        <v>2224</v>
      </c>
    </row>
    <row r="282" spans="1:16" ht="31.5" x14ac:dyDescent="0.2">
      <c r="A282" s="40"/>
      <c r="B282" s="41" t="s">
        <v>40</v>
      </c>
      <c r="C282" s="42"/>
      <c r="D282" s="43"/>
      <c r="E282" s="43"/>
      <c r="F282" s="44">
        <v>200</v>
      </c>
      <c r="G282" s="45"/>
      <c r="H282" s="38">
        <v>260</v>
      </c>
      <c r="I282" s="45">
        <f>SUM(H282)</f>
        <v>260</v>
      </c>
      <c r="J282" s="47"/>
      <c r="K282" s="45"/>
      <c r="L282" s="47"/>
      <c r="M282" s="45"/>
      <c r="N282" s="45">
        <f>SUM(H282)</f>
        <v>260</v>
      </c>
      <c r="O282" s="45">
        <f>SUM(I282)</f>
        <v>260</v>
      </c>
    </row>
    <row r="283" spans="1:16" ht="31.5" x14ac:dyDescent="0.2">
      <c r="A283" s="40"/>
      <c r="B283" s="41" t="s">
        <v>225</v>
      </c>
      <c r="C283" s="42">
        <v>992</v>
      </c>
      <c r="D283" s="43" t="s">
        <v>321</v>
      </c>
      <c r="E283" s="57" t="s">
        <v>352</v>
      </c>
      <c r="F283" s="44">
        <v>400</v>
      </c>
      <c r="G283" s="45">
        <v>1964</v>
      </c>
      <c r="H283" s="38"/>
      <c r="I283" s="45">
        <f>1964+H283</f>
        <v>1964</v>
      </c>
      <c r="J283" s="47"/>
      <c r="K283" s="38"/>
      <c r="L283" s="47"/>
      <c r="M283" s="45">
        <v>1964</v>
      </c>
      <c r="N283" s="45">
        <f>SUM(H283)</f>
        <v>0</v>
      </c>
      <c r="O283" s="45">
        <f>1964+N283</f>
        <v>1964</v>
      </c>
    </row>
    <row r="284" spans="1:16" ht="15.75" x14ac:dyDescent="0.2">
      <c r="A284" s="33" t="s">
        <v>353</v>
      </c>
      <c r="B284" s="34" t="s">
        <v>354</v>
      </c>
      <c r="C284" s="35" t="s">
        <v>51</v>
      </c>
      <c r="D284" s="36" t="s">
        <v>355</v>
      </c>
      <c r="E284" s="36" t="s">
        <v>11</v>
      </c>
      <c r="F284" s="37" t="s">
        <v>11</v>
      </c>
      <c r="G284" s="38">
        <f>G285+G310+G315+G304+G322</f>
        <v>86619.299999999988</v>
      </c>
      <c r="H284" s="45">
        <f>H285+Z287+H315</f>
        <v>6278.9</v>
      </c>
      <c r="I284" s="38">
        <f>I285+I310+I315+I304+I322</f>
        <v>92898.2</v>
      </c>
      <c r="J284" s="39">
        <f>J285+J310+J315+J304</f>
        <v>4635</v>
      </c>
      <c r="K284" s="45">
        <f>K285+K304+K310+K322+K315</f>
        <v>0</v>
      </c>
      <c r="L284" s="45">
        <f>L285+L304+L310+L322+L315</f>
        <v>4635</v>
      </c>
      <c r="M284" s="38">
        <f>M285+M310+M315+M304+M322</f>
        <v>91254.299999999988</v>
      </c>
      <c r="N284" s="45">
        <f>N285+AF287+N315</f>
        <v>6278.9</v>
      </c>
      <c r="O284" s="38">
        <f>O285+O310+O315+O304+O322</f>
        <v>97533.2</v>
      </c>
      <c r="P284" s="15"/>
    </row>
    <row r="285" spans="1:16" ht="31.5" x14ac:dyDescent="0.2">
      <c r="A285" s="40"/>
      <c r="B285" s="41" t="s">
        <v>245</v>
      </c>
      <c r="C285" s="42" t="s">
        <v>51</v>
      </c>
      <c r="D285" s="43" t="s">
        <v>355</v>
      </c>
      <c r="E285" s="43" t="s">
        <v>246</v>
      </c>
      <c r="F285" s="44" t="s">
        <v>11</v>
      </c>
      <c r="G285" s="45">
        <f t="shared" ref="G285:O286" si="46">G286</f>
        <v>79322.899999999994</v>
      </c>
      <c r="H285" s="45">
        <f t="shared" si="46"/>
        <v>6249.5</v>
      </c>
      <c r="I285" s="45">
        <f t="shared" si="46"/>
        <v>85572.4</v>
      </c>
      <c r="J285" s="46">
        <f t="shared" si="46"/>
        <v>1335</v>
      </c>
      <c r="K285" s="45">
        <f t="shared" si="46"/>
        <v>0</v>
      </c>
      <c r="L285" s="46">
        <f t="shared" si="46"/>
        <v>1335</v>
      </c>
      <c r="M285" s="45">
        <f t="shared" si="46"/>
        <v>80657.899999999994</v>
      </c>
      <c r="N285" s="45">
        <f t="shared" si="46"/>
        <v>6249.5</v>
      </c>
      <c r="O285" s="45">
        <f t="shared" si="46"/>
        <v>86907.4</v>
      </c>
    </row>
    <row r="286" spans="1:16" ht="15.75" x14ac:dyDescent="0.2">
      <c r="A286" s="40"/>
      <c r="B286" s="41" t="s">
        <v>356</v>
      </c>
      <c r="C286" s="42" t="s">
        <v>51</v>
      </c>
      <c r="D286" s="43" t="s">
        <v>355</v>
      </c>
      <c r="E286" s="43" t="s">
        <v>357</v>
      </c>
      <c r="F286" s="44" t="s">
        <v>11</v>
      </c>
      <c r="G286" s="45">
        <f t="shared" si="46"/>
        <v>79322.899999999994</v>
      </c>
      <c r="H286" s="45">
        <f t="shared" si="46"/>
        <v>6249.5</v>
      </c>
      <c r="I286" s="45">
        <f t="shared" si="46"/>
        <v>85572.4</v>
      </c>
      <c r="J286" s="46">
        <f t="shared" si="46"/>
        <v>1335</v>
      </c>
      <c r="K286" s="45">
        <f>K287+K289+K291+K293+K295+K299</f>
        <v>0</v>
      </c>
      <c r="L286" s="46">
        <f t="shared" si="46"/>
        <v>1335</v>
      </c>
      <c r="M286" s="45">
        <f t="shared" si="46"/>
        <v>80657.899999999994</v>
      </c>
      <c r="N286" s="45">
        <f>N287+N296</f>
        <v>6249.5</v>
      </c>
      <c r="O286" s="45">
        <f t="shared" si="46"/>
        <v>86907.4</v>
      </c>
    </row>
    <row r="287" spans="1:16" ht="47.25" x14ac:dyDescent="0.2">
      <c r="A287" s="40"/>
      <c r="B287" s="41" t="s">
        <v>358</v>
      </c>
      <c r="C287" s="42" t="s">
        <v>51</v>
      </c>
      <c r="D287" s="43" t="s">
        <v>355</v>
      </c>
      <c r="E287" s="43" t="s">
        <v>359</v>
      </c>
      <c r="F287" s="44" t="s">
        <v>11</v>
      </c>
      <c r="G287" s="45">
        <f>G288+G290+G292+G294+G298+G300+G296+G302</f>
        <v>79322.899999999994</v>
      </c>
      <c r="H287" s="45">
        <f>H288+H294+H290+H300+H296+H302</f>
        <v>6249.5</v>
      </c>
      <c r="I287" s="45">
        <f>I288+I290+I292+I294+I298+I300+I296+I302</f>
        <v>85572.4</v>
      </c>
      <c r="J287" s="46">
        <f>J288+J290+J292+J294+J298+J300+J302</f>
        <v>1335</v>
      </c>
      <c r="K287" s="45">
        <f>SUM(K302)</f>
        <v>0</v>
      </c>
      <c r="L287" s="46">
        <f>L288+L290+L292+L294+L298+L300+L302</f>
        <v>1335</v>
      </c>
      <c r="M287" s="45">
        <f>SUM(G287+J287)</f>
        <v>80657.899999999994</v>
      </c>
      <c r="N287" s="45">
        <f>SUM(H287+K287)</f>
        <v>6249.5</v>
      </c>
      <c r="O287" s="45">
        <f>SUM(I287+L287)</f>
        <v>86907.4</v>
      </c>
      <c r="P287" s="16"/>
    </row>
    <row r="288" spans="1:16" ht="15.75" x14ac:dyDescent="0.2">
      <c r="A288" s="40"/>
      <c r="B288" s="41" t="s">
        <v>360</v>
      </c>
      <c r="C288" s="42" t="s">
        <v>51</v>
      </c>
      <c r="D288" s="43" t="s">
        <v>355</v>
      </c>
      <c r="E288" s="43" t="s">
        <v>361</v>
      </c>
      <c r="F288" s="44" t="s">
        <v>11</v>
      </c>
      <c r="G288" s="45">
        <f>G289</f>
        <v>54041</v>
      </c>
      <c r="H288" s="45">
        <f>H289</f>
        <v>598</v>
      </c>
      <c r="I288" s="45">
        <f>I289</f>
        <v>54639</v>
      </c>
      <c r="J288" s="46">
        <f>J289</f>
        <v>0</v>
      </c>
      <c r="K288" s="45"/>
      <c r="L288" s="46">
        <f>L289</f>
        <v>0</v>
      </c>
      <c r="M288" s="45">
        <f>M289</f>
        <v>54041</v>
      </c>
      <c r="N288" s="45">
        <f>N289</f>
        <v>598</v>
      </c>
      <c r="O288" s="45">
        <f>O289</f>
        <v>54639</v>
      </c>
    </row>
    <row r="289" spans="1:15" ht="31.5" x14ac:dyDescent="0.2">
      <c r="A289" s="40"/>
      <c r="B289" s="41" t="s">
        <v>40</v>
      </c>
      <c r="C289" s="42" t="s">
        <v>51</v>
      </c>
      <c r="D289" s="43" t="s">
        <v>355</v>
      </c>
      <c r="E289" s="43" t="s">
        <v>361</v>
      </c>
      <c r="F289" s="44" t="s">
        <v>41</v>
      </c>
      <c r="G289" s="45">
        <v>54041</v>
      </c>
      <c r="H289" s="45">
        <v>598</v>
      </c>
      <c r="I289" s="45">
        <f>SUM(G289)+H289</f>
        <v>54639</v>
      </c>
      <c r="J289" s="47"/>
      <c r="K289" s="45"/>
      <c r="L289" s="47"/>
      <c r="M289" s="45">
        <f>SUM(G289)</f>
        <v>54041</v>
      </c>
      <c r="N289" s="45">
        <f>SUM(H289)+K289</f>
        <v>598</v>
      </c>
      <c r="O289" s="45">
        <f>SUM(I289)</f>
        <v>54639</v>
      </c>
    </row>
    <row r="290" spans="1:15" ht="15.75" x14ac:dyDescent="0.2">
      <c r="A290" s="40"/>
      <c r="B290" s="41" t="s">
        <v>362</v>
      </c>
      <c r="C290" s="42" t="s">
        <v>51</v>
      </c>
      <c r="D290" s="43" t="s">
        <v>355</v>
      </c>
      <c r="E290" s="43" t="s">
        <v>363</v>
      </c>
      <c r="F290" s="44" t="s">
        <v>11</v>
      </c>
      <c r="G290" s="45">
        <f>G291</f>
        <v>4842.6000000000004</v>
      </c>
      <c r="H290" s="45">
        <f>H291</f>
        <v>5271.5</v>
      </c>
      <c r="I290" s="45">
        <f>I291</f>
        <v>10114.1</v>
      </c>
      <c r="J290" s="46">
        <f>J291</f>
        <v>75</v>
      </c>
      <c r="K290" s="45">
        <f>SUM(K291)</f>
        <v>0</v>
      </c>
      <c r="L290" s="46">
        <f>L291</f>
        <v>75</v>
      </c>
      <c r="M290" s="45">
        <f>M291</f>
        <v>4917.6000000000004</v>
      </c>
      <c r="N290" s="45">
        <f>N291</f>
        <v>5271.5</v>
      </c>
      <c r="O290" s="45">
        <f>O291</f>
        <v>10189.1</v>
      </c>
    </row>
    <row r="291" spans="1:15" ht="31.5" x14ac:dyDescent="0.2">
      <c r="A291" s="40"/>
      <c r="B291" s="41" t="s">
        <v>40</v>
      </c>
      <c r="C291" s="42" t="s">
        <v>51</v>
      </c>
      <c r="D291" s="43" t="s">
        <v>355</v>
      </c>
      <c r="E291" s="43" t="s">
        <v>363</v>
      </c>
      <c r="F291" s="44" t="s">
        <v>41</v>
      </c>
      <c r="G291" s="45">
        <v>4842.6000000000004</v>
      </c>
      <c r="H291" s="45">
        <v>5271.5</v>
      </c>
      <c r="I291" s="45">
        <f>SUM(G291)+H291</f>
        <v>10114.1</v>
      </c>
      <c r="J291" s="47">
        <v>75</v>
      </c>
      <c r="K291" s="45"/>
      <c r="L291" s="45">
        <f>SUM(J291)</f>
        <v>75</v>
      </c>
      <c r="M291" s="45">
        <f>SUM(G291+J291)</f>
        <v>4917.6000000000004</v>
      </c>
      <c r="N291" s="45">
        <f>SUM(H291)+K291</f>
        <v>5271.5</v>
      </c>
      <c r="O291" s="45">
        <f>SUM(I291+L291)</f>
        <v>10189.1</v>
      </c>
    </row>
    <row r="292" spans="1:15" ht="15.75" x14ac:dyDescent="0.2">
      <c r="A292" s="40"/>
      <c r="B292" s="41" t="s">
        <v>364</v>
      </c>
      <c r="C292" s="42" t="s">
        <v>51</v>
      </c>
      <c r="D292" s="43" t="s">
        <v>355</v>
      </c>
      <c r="E292" s="43" t="s">
        <v>365</v>
      </c>
      <c r="F292" s="44" t="s">
        <v>11</v>
      </c>
      <c r="G292" s="45">
        <f>G293</f>
        <v>2550</v>
      </c>
      <c r="H292" s="45"/>
      <c r="I292" s="45">
        <f>I293</f>
        <v>2550</v>
      </c>
      <c r="J292" s="46">
        <f>J293</f>
        <v>0</v>
      </c>
      <c r="K292" s="45"/>
      <c r="L292" s="46">
        <f>L293</f>
        <v>0</v>
      </c>
      <c r="M292" s="45">
        <f>M293</f>
        <v>2550</v>
      </c>
      <c r="N292" s="45">
        <f>N293</f>
        <v>0</v>
      </c>
      <c r="O292" s="45">
        <f>O293</f>
        <v>2550</v>
      </c>
    </row>
    <row r="293" spans="1:15" ht="31.5" x14ac:dyDescent="0.2">
      <c r="A293" s="40"/>
      <c r="B293" s="41" t="s">
        <v>40</v>
      </c>
      <c r="C293" s="42" t="s">
        <v>51</v>
      </c>
      <c r="D293" s="43" t="s">
        <v>355</v>
      </c>
      <c r="E293" s="43" t="s">
        <v>365</v>
      </c>
      <c r="F293" s="44" t="s">
        <v>41</v>
      </c>
      <c r="G293" s="45">
        <v>2550</v>
      </c>
      <c r="H293" s="45"/>
      <c r="I293" s="45">
        <v>2550</v>
      </c>
      <c r="J293" s="47"/>
      <c r="K293" s="45"/>
      <c r="L293" s="47"/>
      <c r="M293" s="45">
        <v>2550</v>
      </c>
      <c r="N293" s="45"/>
      <c r="O293" s="45">
        <v>2550</v>
      </c>
    </row>
    <row r="294" spans="1:15" ht="15.75" x14ac:dyDescent="0.2">
      <c r="A294" s="40"/>
      <c r="B294" s="41" t="s">
        <v>366</v>
      </c>
      <c r="C294" s="42" t="s">
        <v>51</v>
      </c>
      <c r="D294" s="43" t="s">
        <v>355</v>
      </c>
      <c r="E294" s="43" t="s">
        <v>367</v>
      </c>
      <c r="F294" s="44" t="s">
        <v>11</v>
      </c>
      <c r="G294" s="45">
        <f>G295</f>
        <v>1597.4</v>
      </c>
      <c r="H294" s="45">
        <f>H295</f>
        <v>0</v>
      </c>
      <c r="I294" s="45">
        <f>I295</f>
        <v>1597.4</v>
      </c>
      <c r="J294" s="46">
        <f>J295</f>
        <v>0</v>
      </c>
      <c r="K294" s="45"/>
      <c r="L294" s="46">
        <f>L295</f>
        <v>0</v>
      </c>
      <c r="M294" s="45">
        <f>M295</f>
        <v>1597.4</v>
      </c>
      <c r="N294" s="45">
        <f>N295</f>
        <v>0</v>
      </c>
      <c r="O294" s="45">
        <f>O295</f>
        <v>1597.4</v>
      </c>
    </row>
    <row r="295" spans="1:15" ht="31.5" x14ac:dyDescent="0.2">
      <c r="A295" s="40"/>
      <c r="B295" s="41" t="s">
        <v>40</v>
      </c>
      <c r="C295" s="42" t="s">
        <v>51</v>
      </c>
      <c r="D295" s="43" t="s">
        <v>355</v>
      </c>
      <c r="E295" s="43" t="s">
        <v>367</v>
      </c>
      <c r="F295" s="44" t="s">
        <v>41</v>
      </c>
      <c r="G295" s="45">
        <v>1597.4</v>
      </c>
      <c r="H295" s="45"/>
      <c r="I295" s="45">
        <f>SUM(G295)</f>
        <v>1597.4</v>
      </c>
      <c r="J295" s="47"/>
      <c r="K295" s="45"/>
      <c r="L295" s="47"/>
      <c r="M295" s="45">
        <f t="shared" ref="M295:O297" si="47">SUM(G295)</f>
        <v>1597.4</v>
      </c>
      <c r="N295" s="45">
        <f t="shared" si="47"/>
        <v>0</v>
      </c>
      <c r="O295" s="45">
        <f t="shared" si="47"/>
        <v>1597.4</v>
      </c>
    </row>
    <row r="296" spans="1:15" ht="31.5" x14ac:dyDescent="0.2">
      <c r="A296" s="40"/>
      <c r="B296" s="56" t="s">
        <v>368</v>
      </c>
      <c r="C296" s="42">
        <v>992</v>
      </c>
      <c r="D296" s="43" t="s">
        <v>355</v>
      </c>
      <c r="E296" s="57" t="s">
        <v>369</v>
      </c>
      <c r="F296" s="44"/>
      <c r="G296" s="45">
        <v>700</v>
      </c>
      <c r="H296" s="45"/>
      <c r="I296" s="45">
        <f>SUM(G296)</f>
        <v>700</v>
      </c>
      <c r="J296" s="47"/>
      <c r="K296" s="45"/>
      <c r="L296" s="47"/>
      <c r="M296" s="45">
        <f t="shared" si="47"/>
        <v>700</v>
      </c>
      <c r="N296" s="45">
        <f t="shared" si="47"/>
        <v>0</v>
      </c>
      <c r="O296" s="45">
        <f t="shared" si="47"/>
        <v>700</v>
      </c>
    </row>
    <row r="297" spans="1:15" ht="31.5" x14ac:dyDescent="0.2">
      <c r="A297" s="40"/>
      <c r="B297" s="41" t="s">
        <v>40</v>
      </c>
      <c r="C297" s="42">
        <v>992</v>
      </c>
      <c r="D297" s="43" t="s">
        <v>355</v>
      </c>
      <c r="E297" s="57" t="s">
        <v>369</v>
      </c>
      <c r="F297" s="44">
        <v>200</v>
      </c>
      <c r="G297" s="45">
        <v>700</v>
      </c>
      <c r="H297" s="45"/>
      <c r="I297" s="45">
        <f>SUM(G297)</f>
        <v>700</v>
      </c>
      <c r="J297" s="47"/>
      <c r="K297" s="45"/>
      <c r="L297" s="47"/>
      <c r="M297" s="45">
        <f t="shared" si="47"/>
        <v>700</v>
      </c>
      <c r="N297" s="45">
        <f t="shared" si="47"/>
        <v>0</v>
      </c>
      <c r="O297" s="45">
        <f t="shared" si="47"/>
        <v>700</v>
      </c>
    </row>
    <row r="298" spans="1:15" ht="31.5" x14ac:dyDescent="0.2">
      <c r="A298" s="40"/>
      <c r="B298" s="41" t="s">
        <v>370</v>
      </c>
      <c r="C298" s="42" t="s">
        <v>51</v>
      </c>
      <c r="D298" s="43" t="s">
        <v>355</v>
      </c>
      <c r="E298" s="43" t="s">
        <v>371</v>
      </c>
      <c r="F298" s="44" t="s">
        <v>11</v>
      </c>
      <c r="G298" s="45">
        <f>G299</f>
        <v>4100</v>
      </c>
      <c r="H298" s="45"/>
      <c r="I298" s="45">
        <f>I299</f>
        <v>4100</v>
      </c>
      <c r="J298" s="46">
        <f>J299</f>
        <v>0</v>
      </c>
      <c r="K298" s="45"/>
      <c r="L298" s="46">
        <f>L299</f>
        <v>0</v>
      </c>
      <c r="M298" s="45">
        <f>M299</f>
        <v>4100</v>
      </c>
      <c r="N298" s="45">
        <f>N299</f>
        <v>0</v>
      </c>
      <c r="O298" s="45">
        <f>O299</f>
        <v>4100</v>
      </c>
    </row>
    <row r="299" spans="1:15" ht="31.5" x14ac:dyDescent="0.2">
      <c r="A299" s="40"/>
      <c r="B299" s="41" t="s">
        <v>40</v>
      </c>
      <c r="C299" s="42" t="s">
        <v>51</v>
      </c>
      <c r="D299" s="43" t="s">
        <v>355</v>
      </c>
      <c r="E299" s="43" t="s">
        <v>371</v>
      </c>
      <c r="F299" s="44" t="s">
        <v>41</v>
      </c>
      <c r="G299" s="45">
        <v>4100</v>
      </c>
      <c r="H299" s="45"/>
      <c r="I299" s="45">
        <v>4100</v>
      </c>
      <c r="J299" s="47"/>
      <c r="K299" s="45"/>
      <c r="L299" s="47"/>
      <c r="M299" s="45">
        <v>4100</v>
      </c>
      <c r="N299" s="45"/>
      <c r="O299" s="45">
        <v>4100</v>
      </c>
    </row>
    <row r="300" spans="1:15" ht="47.25" x14ac:dyDescent="0.2">
      <c r="A300" s="40"/>
      <c r="B300" s="41" t="s">
        <v>372</v>
      </c>
      <c r="C300" s="42" t="s">
        <v>51</v>
      </c>
      <c r="D300" s="43" t="s">
        <v>355</v>
      </c>
      <c r="E300" s="43" t="s">
        <v>373</v>
      </c>
      <c r="F300" s="44" t="s">
        <v>11</v>
      </c>
      <c r="G300" s="45">
        <f>G301</f>
        <v>11425.5</v>
      </c>
      <c r="H300" s="48">
        <f>SUM(H301)</f>
        <v>380</v>
      </c>
      <c r="I300" s="45">
        <f>I301</f>
        <v>11805.5</v>
      </c>
      <c r="J300" s="46">
        <f>J301</f>
        <v>0</v>
      </c>
      <c r="K300" s="48">
        <f>SUM(K301)</f>
        <v>0</v>
      </c>
      <c r="L300" s="46">
        <f>L301</f>
        <v>0</v>
      </c>
      <c r="M300" s="45">
        <f>M301</f>
        <v>11425.5</v>
      </c>
      <c r="N300" s="45">
        <f>N301</f>
        <v>380</v>
      </c>
      <c r="O300" s="45">
        <f>SUM(M300+N300)</f>
        <v>11805.5</v>
      </c>
    </row>
    <row r="301" spans="1:15" ht="31.5" x14ac:dyDescent="0.2">
      <c r="A301" s="40"/>
      <c r="B301" s="41" t="s">
        <v>40</v>
      </c>
      <c r="C301" s="42" t="s">
        <v>51</v>
      </c>
      <c r="D301" s="43" t="s">
        <v>355</v>
      </c>
      <c r="E301" s="43" t="s">
        <v>373</v>
      </c>
      <c r="F301" s="44" t="s">
        <v>41</v>
      </c>
      <c r="G301" s="48">
        <v>11425.5</v>
      </c>
      <c r="H301" s="48">
        <v>380</v>
      </c>
      <c r="I301" s="48">
        <f>SUM(G301)+H301</f>
        <v>11805.5</v>
      </c>
      <c r="J301" s="47">
        <v>0</v>
      </c>
      <c r="K301" s="48"/>
      <c r="L301" s="47">
        <f>SUM(K301)</f>
        <v>0</v>
      </c>
      <c r="M301" s="48">
        <f>SUM(G301)</f>
        <v>11425.5</v>
      </c>
      <c r="N301" s="48">
        <f>SUM(H301)</f>
        <v>380</v>
      </c>
      <c r="O301" s="48">
        <f>SUM(I301)</f>
        <v>11805.5</v>
      </c>
    </row>
    <row r="302" spans="1:15" ht="126" x14ac:dyDescent="0.2">
      <c r="A302" s="40"/>
      <c r="B302" s="56" t="s">
        <v>551</v>
      </c>
      <c r="C302" s="42">
        <v>992</v>
      </c>
      <c r="D302" s="43" t="s">
        <v>355</v>
      </c>
      <c r="E302" s="43" t="s">
        <v>550</v>
      </c>
      <c r="F302" s="44"/>
      <c r="G302" s="48">
        <f>SUM(G303)</f>
        <v>66.400000000000006</v>
      </c>
      <c r="H302" s="60">
        <f>SUM(H303)</f>
        <v>0</v>
      </c>
      <c r="I302" s="48">
        <f>SUM(G302)</f>
        <v>66.400000000000006</v>
      </c>
      <c r="J302" s="47">
        <f>SUM(J303)</f>
        <v>1260</v>
      </c>
      <c r="K302" s="48">
        <f>SUM(K303)</f>
        <v>0</v>
      </c>
      <c r="L302" s="48">
        <f>SUM(L303)</f>
        <v>1260</v>
      </c>
      <c r="M302" s="48">
        <f t="shared" ref="M302:O303" si="48">SUM(G302+J302)</f>
        <v>1326.4</v>
      </c>
      <c r="N302" s="48">
        <f t="shared" si="48"/>
        <v>0</v>
      </c>
      <c r="O302" s="48">
        <f t="shared" si="48"/>
        <v>1326.4</v>
      </c>
    </row>
    <row r="303" spans="1:15" ht="31.5" x14ac:dyDescent="0.2">
      <c r="A303" s="40"/>
      <c r="B303" s="41" t="s">
        <v>40</v>
      </c>
      <c r="C303" s="42">
        <v>992</v>
      </c>
      <c r="D303" s="43" t="s">
        <v>355</v>
      </c>
      <c r="E303" s="43" t="s">
        <v>550</v>
      </c>
      <c r="F303" s="44">
        <v>200</v>
      </c>
      <c r="G303" s="48">
        <v>66.400000000000006</v>
      </c>
      <c r="H303" s="60"/>
      <c r="I303" s="48">
        <f>SUM(G303)</f>
        <v>66.400000000000006</v>
      </c>
      <c r="J303" s="47">
        <v>1260</v>
      </c>
      <c r="K303" s="48"/>
      <c r="L303" s="47">
        <f>SUM(J303)</f>
        <v>1260</v>
      </c>
      <c r="M303" s="48">
        <f t="shared" si="48"/>
        <v>1326.4</v>
      </c>
      <c r="N303" s="48">
        <f t="shared" si="48"/>
        <v>0</v>
      </c>
      <c r="O303" s="48">
        <f t="shared" si="48"/>
        <v>1326.4</v>
      </c>
    </row>
    <row r="304" spans="1:15" ht="15.75" x14ac:dyDescent="0.2">
      <c r="A304" s="40"/>
      <c r="B304" s="56" t="s">
        <v>374</v>
      </c>
      <c r="C304" s="42">
        <v>992</v>
      </c>
      <c r="D304" s="43" t="s">
        <v>355</v>
      </c>
      <c r="E304" s="57" t="s">
        <v>375</v>
      </c>
      <c r="F304" s="44"/>
      <c r="G304" s="48">
        <f t="shared" ref="G304:O306" si="49">G305</f>
        <v>3478.2</v>
      </c>
      <c r="H304" s="48">
        <f t="shared" si="49"/>
        <v>0</v>
      </c>
      <c r="I304" s="48">
        <f t="shared" si="49"/>
        <v>3478.2</v>
      </c>
      <c r="J304" s="47">
        <f t="shared" si="49"/>
        <v>3300</v>
      </c>
      <c r="K304" s="48">
        <f t="shared" si="49"/>
        <v>0</v>
      </c>
      <c r="L304" s="47">
        <f t="shared" si="49"/>
        <v>3300</v>
      </c>
      <c r="M304" s="48">
        <f t="shared" si="49"/>
        <v>6778.2</v>
      </c>
      <c r="N304" s="48">
        <f t="shared" si="49"/>
        <v>0</v>
      </c>
      <c r="O304" s="48">
        <f t="shared" si="49"/>
        <v>6778.2</v>
      </c>
    </row>
    <row r="305" spans="1:15" ht="31.5" x14ac:dyDescent="0.2">
      <c r="A305" s="40"/>
      <c r="B305" s="56" t="s">
        <v>376</v>
      </c>
      <c r="C305" s="42">
        <v>992</v>
      </c>
      <c r="D305" s="43" t="s">
        <v>355</v>
      </c>
      <c r="E305" s="57" t="s">
        <v>377</v>
      </c>
      <c r="F305" s="44"/>
      <c r="G305" s="48">
        <f t="shared" ref="G305:M305" si="50">G306+G308</f>
        <v>3478.2</v>
      </c>
      <c r="H305" s="48">
        <f t="shared" si="50"/>
        <v>0</v>
      </c>
      <c r="I305" s="48">
        <f t="shared" si="50"/>
        <v>3478.2</v>
      </c>
      <c r="J305" s="47">
        <f t="shared" si="50"/>
        <v>3300</v>
      </c>
      <c r="K305" s="48">
        <f t="shared" si="50"/>
        <v>0</v>
      </c>
      <c r="L305" s="47">
        <f t="shared" si="50"/>
        <v>3300</v>
      </c>
      <c r="M305" s="48">
        <f t="shared" si="50"/>
        <v>6778.2</v>
      </c>
      <c r="N305" s="48">
        <f>SUM(H305)+K305</f>
        <v>0</v>
      </c>
      <c r="O305" s="48">
        <f>O306+O308</f>
        <v>6778.2</v>
      </c>
    </row>
    <row r="306" spans="1:15" ht="15.75" x14ac:dyDescent="0.2">
      <c r="A306" s="40"/>
      <c r="B306" s="56" t="s">
        <v>378</v>
      </c>
      <c r="C306" s="42">
        <v>992</v>
      </c>
      <c r="D306" s="43" t="s">
        <v>355</v>
      </c>
      <c r="E306" s="57" t="s">
        <v>379</v>
      </c>
      <c r="F306" s="44"/>
      <c r="G306" s="48">
        <f t="shared" si="49"/>
        <v>1914.2</v>
      </c>
      <c r="H306" s="48">
        <f t="shared" si="49"/>
        <v>0</v>
      </c>
      <c r="I306" s="48">
        <f t="shared" si="49"/>
        <v>1914.2</v>
      </c>
      <c r="J306" s="47">
        <f t="shared" si="49"/>
        <v>0</v>
      </c>
      <c r="K306" s="45"/>
      <c r="L306" s="47">
        <f t="shared" si="49"/>
        <v>0</v>
      </c>
      <c r="M306" s="48">
        <f t="shared" si="49"/>
        <v>1914.2</v>
      </c>
      <c r="N306" s="48">
        <f t="shared" si="49"/>
        <v>0</v>
      </c>
      <c r="O306" s="48">
        <f t="shared" si="49"/>
        <v>1914.2</v>
      </c>
    </row>
    <row r="307" spans="1:15" ht="31.5" x14ac:dyDescent="0.2">
      <c r="A307" s="40"/>
      <c r="B307" s="41" t="s">
        <v>40</v>
      </c>
      <c r="C307" s="42">
        <v>992</v>
      </c>
      <c r="D307" s="43" t="s">
        <v>355</v>
      </c>
      <c r="E307" s="57" t="s">
        <v>379</v>
      </c>
      <c r="F307" s="44">
        <v>200</v>
      </c>
      <c r="G307" s="48">
        <v>1914.2</v>
      </c>
      <c r="H307" s="45"/>
      <c r="I307" s="48">
        <f>SUM(G307)+H307</f>
        <v>1914.2</v>
      </c>
      <c r="J307" s="47">
        <v>0</v>
      </c>
      <c r="K307" s="45"/>
      <c r="L307" s="47">
        <f>SUM(K307)</f>
        <v>0</v>
      </c>
      <c r="M307" s="48">
        <f>SUM(G307)</f>
        <v>1914.2</v>
      </c>
      <c r="N307" s="45">
        <f>SUM(H307)+K307</f>
        <v>0</v>
      </c>
      <c r="O307" s="48">
        <f>SUM(I307)+L307</f>
        <v>1914.2</v>
      </c>
    </row>
    <row r="308" spans="1:15" ht="47.25" x14ac:dyDescent="0.2">
      <c r="A308" s="40"/>
      <c r="B308" s="41" t="s">
        <v>372</v>
      </c>
      <c r="C308" s="42">
        <v>992</v>
      </c>
      <c r="D308" s="43" t="s">
        <v>355</v>
      </c>
      <c r="E308" s="57" t="s">
        <v>549</v>
      </c>
      <c r="F308" s="44"/>
      <c r="G308" s="48">
        <f>SUM(G309)</f>
        <v>1564</v>
      </c>
      <c r="H308" s="45">
        <f>SUM(H309)</f>
        <v>0</v>
      </c>
      <c r="I308" s="48">
        <f>SUM(G308)</f>
        <v>1564</v>
      </c>
      <c r="J308" s="47">
        <f>SUM(J309)</f>
        <v>3300</v>
      </c>
      <c r="K308" s="45"/>
      <c r="L308" s="47">
        <v>3300</v>
      </c>
      <c r="M308" s="48">
        <f t="shared" ref="M308:O309" si="51">SUM(G308+J308)</f>
        <v>4864</v>
      </c>
      <c r="N308" s="45">
        <f t="shared" si="51"/>
        <v>0</v>
      </c>
      <c r="O308" s="48">
        <f t="shared" si="51"/>
        <v>4864</v>
      </c>
    </row>
    <row r="309" spans="1:15" ht="31.5" x14ac:dyDescent="0.2">
      <c r="A309" s="40"/>
      <c r="B309" s="41" t="s">
        <v>40</v>
      </c>
      <c r="C309" s="42">
        <v>992</v>
      </c>
      <c r="D309" s="43" t="s">
        <v>355</v>
      </c>
      <c r="E309" s="57" t="s">
        <v>549</v>
      </c>
      <c r="F309" s="44">
        <v>200</v>
      </c>
      <c r="G309" s="48">
        <v>1564</v>
      </c>
      <c r="H309" s="45"/>
      <c r="I309" s="48">
        <f>SUM(G309)</f>
        <v>1564</v>
      </c>
      <c r="J309" s="47">
        <v>3300</v>
      </c>
      <c r="K309" s="45"/>
      <c r="L309" s="47">
        <v>3300</v>
      </c>
      <c r="M309" s="48">
        <f t="shared" si="51"/>
        <v>4864</v>
      </c>
      <c r="N309" s="45">
        <f t="shared" si="51"/>
        <v>0</v>
      </c>
      <c r="O309" s="48">
        <f t="shared" si="51"/>
        <v>4864</v>
      </c>
    </row>
    <row r="310" spans="1:15" ht="47.25" x14ac:dyDescent="0.2">
      <c r="A310" s="40"/>
      <c r="B310" s="41" t="s">
        <v>105</v>
      </c>
      <c r="C310" s="42" t="s">
        <v>51</v>
      </c>
      <c r="D310" s="43" t="s">
        <v>355</v>
      </c>
      <c r="E310" s="43" t="s">
        <v>106</v>
      </c>
      <c r="F310" s="44" t="s">
        <v>11</v>
      </c>
      <c r="G310" s="45">
        <f>G311</f>
        <v>300</v>
      </c>
      <c r="H310" s="45"/>
      <c r="I310" s="45">
        <f>I311</f>
        <v>300</v>
      </c>
      <c r="J310" s="46">
        <f t="shared" ref="G310:O313" si="52">J311</f>
        <v>0</v>
      </c>
      <c r="K310" s="45"/>
      <c r="L310" s="46">
        <f t="shared" si="52"/>
        <v>0</v>
      </c>
      <c r="M310" s="45">
        <f t="shared" si="52"/>
        <v>300</v>
      </c>
      <c r="N310" s="45"/>
      <c r="O310" s="45">
        <f t="shared" si="52"/>
        <v>300</v>
      </c>
    </row>
    <row r="311" spans="1:15" ht="31.5" x14ac:dyDescent="0.2">
      <c r="A311" s="40"/>
      <c r="B311" s="41" t="s">
        <v>107</v>
      </c>
      <c r="C311" s="42" t="s">
        <v>51</v>
      </c>
      <c r="D311" s="43" t="s">
        <v>355</v>
      </c>
      <c r="E311" s="43" t="s">
        <v>108</v>
      </c>
      <c r="F311" s="44" t="s">
        <v>11</v>
      </c>
      <c r="G311" s="45">
        <f t="shared" si="52"/>
        <v>300</v>
      </c>
      <c r="H311" s="45">
        <f t="shared" si="52"/>
        <v>0</v>
      </c>
      <c r="I311" s="45">
        <f t="shared" si="52"/>
        <v>300</v>
      </c>
      <c r="J311" s="46">
        <f t="shared" si="52"/>
        <v>0</v>
      </c>
      <c r="K311" s="45">
        <f>K312</f>
        <v>0</v>
      </c>
      <c r="L311" s="46">
        <f t="shared" si="52"/>
        <v>0</v>
      </c>
      <c r="M311" s="45">
        <f t="shared" si="52"/>
        <v>300</v>
      </c>
      <c r="N311" s="45">
        <f t="shared" si="52"/>
        <v>0</v>
      </c>
      <c r="O311" s="45">
        <f t="shared" si="52"/>
        <v>300</v>
      </c>
    </row>
    <row r="312" spans="1:15" ht="31.5" x14ac:dyDescent="0.2">
      <c r="A312" s="40"/>
      <c r="B312" s="41" t="s">
        <v>109</v>
      </c>
      <c r="C312" s="42" t="s">
        <v>51</v>
      </c>
      <c r="D312" s="43" t="s">
        <v>355</v>
      </c>
      <c r="E312" s="43" t="s">
        <v>110</v>
      </c>
      <c r="F312" s="44" t="s">
        <v>11</v>
      </c>
      <c r="G312" s="45">
        <f t="shared" si="52"/>
        <v>300</v>
      </c>
      <c r="H312" s="45">
        <f t="shared" si="52"/>
        <v>0</v>
      </c>
      <c r="I312" s="45">
        <f t="shared" si="52"/>
        <v>300</v>
      </c>
      <c r="J312" s="46">
        <f t="shared" si="52"/>
        <v>0</v>
      </c>
      <c r="K312" s="45">
        <f>K313</f>
        <v>0</v>
      </c>
      <c r="L312" s="46">
        <f t="shared" si="52"/>
        <v>0</v>
      </c>
      <c r="M312" s="45">
        <f t="shared" si="52"/>
        <v>300</v>
      </c>
      <c r="N312" s="45">
        <f t="shared" si="52"/>
        <v>0</v>
      </c>
      <c r="O312" s="45">
        <f t="shared" si="52"/>
        <v>300</v>
      </c>
    </row>
    <row r="313" spans="1:15" ht="31.5" x14ac:dyDescent="0.2">
      <c r="A313" s="40"/>
      <c r="B313" s="41" t="s">
        <v>114</v>
      </c>
      <c r="C313" s="42" t="s">
        <v>51</v>
      </c>
      <c r="D313" s="43" t="s">
        <v>355</v>
      </c>
      <c r="E313" s="43" t="s">
        <v>115</v>
      </c>
      <c r="F313" s="44" t="s">
        <v>11</v>
      </c>
      <c r="G313" s="45">
        <f>G314</f>
        <v>300</v>
      </c>
      <c r="H313" s="45"/>
      <c r="I313" s="45">
        <f>I314</f>
        <v>300</v>
      </c>
      <c r="J313" s="46">
        <f t="shared" si="52"/>
        <v>0</v>
      </c>
      <c r="K313" s="45"/>
      <c r="L313" s="46">
        <f t="shared" si="52"/>
        <v>0</v>
      </c>
      <c r="M313" s="45">
        <f t="shared" si="52"/>
        <v>300</v>
      </c>
      <c r="N313" s="45">
        <f t="shared" si="52"/>
        <v>0</v>
      </c>
      <c r="O313" s="45">
        <f t="shared" si="52"/>
        <v>300</v>
      </c>
    </row>
    <row r="314" spans="1:15" ht="31.5" x14ac:dyDescent="0.2">
      <c r="A314" s="40"/>
      <c r="B314" s="41" t="s">
        <v>40</v>
      </c>
      <c r="C314" s="42" t="s">
        <v>51</v>
      </c>
      <c r="D314" s="43" t="s">
        <v>355</v>
      </c>
      <c r="E314" s="43" t="s">
        <v>115</v>
      </c>
      <c r="F314" s="44" t="s">
        <v>41</v>
      </c>
      <c r="G314" s="45">
        <v>300</v>
      </c>
      <c r="H314" s="45"/>
      <c r="I314" s="45">
        <v>300</v>
      </c>
      <c r="J314" s="47">
        <v>0</v>
      </c>
      <c r="K314" s="45"/>
      <c r="L314" s="47">
        <v>0</v>
      </c>
      <c r="M314" s="45">
        <v>300</v>
      </c>
      <c r="N314" s="45"/>
      <c r="O314" s="45">
        <v>300</v>
      </c>
    </row>
    <row r="315" spans="1:15" ht="63" x14ac:dyDescent="0.2">
      <c r="A315" s="40"/>
      <c r="B315" s="41" t="s">
        <v>380</v>
      </c>
      <c r="C315" s="42" t="s">
        <v>51</v>
      </c>
      <c r="D315" s="43" t="s">
        <v>355</v>
      </c>
      <c r="E315" s="43" t="s">
        <v>381</v>
      </c>
      <c r="F315" s="44" t="s">
        <v>11</v>
      </c>
      <c r="G315" s="45">
        <f t="shared" ref="G315:O317" si="53">G316</f>
        <v>679.7</v>
      </c>
      <c r="H315" s="45">
        <f t="shared" si="53"/>
        <v>29.400000000000006</v>
      </c>
      <c r="I315" s="45">
        <f t="shared" si="53"/>
        <v>709.09999999999991</v>
      </c>
      <c r="J315" s="46">
        <f t="shared" si="53"/>
        <v>0</v>
      </c>
      <c r="K315" s="45">
        <f>K316</f>
        <v>0</v>
      </c>
      <c r="L315" s="46">
        <f t="shared" si="53"/>
        <v>0</v>
      </c>
      <c r="M315" s="45">
        <f t="shared" si="53"/>
        <v>679.7</v>
      </c>
      <c r="N315" s="45">
        <f t="shared" si="53"/>
        <v>29.400000000000006</v>
      </c>
      <c r="O315" s="45">
        <f t="shared" si="53"/>
        <v>709.09999999999991</v>
      </c>
    </row>
    <row r="316" spans="1:15" ht="47.25" x14ac:dyDescent="0.2">
      <c r="A316" s="40"/>
      <c r="B316" s="41" t="s">
        <v>382</v>
      </c>
      <c r="C316" s="42" t="s">
        <v>51</v>
      </c>
      <c r="D316" s="43" t="s">
        <v>355</v>
      </c>
      <c r="E316" s="43" t="s">
        <v>383</v>
      </c>
      <c r="F316" s="44" t="s">
        <v>11</v>
      </c>
      <c r="G316" s="45">
        <f>G317+G320</f>
        <v>679.7</v>
      </c>
      <c r="H316" s="45">
        <f>H317+H320</f>
        <v>29.400000000000006</v>
      </c>
      <c r="I316" s="45">
        <f>I317+I320</f>
        <v>709.09999999999991</v>
      </c>
      <c r="J316" s="46">
        <f t="shared" si="53"/>
        <v>0</v>
      </c>
      <c r="K316" s="45">
        <f>K317</f>
        <v>0</v>
      </c>
      <c r="L316" s="46">
        <f t="shared" si="53"/>
        <v>0</v>
      </c>
      <c r="M316" s="45">
        <f>M317+M320</f>
        <v>679.7</v>
      </c>
      <c r="N316" s="45">
        <f>N317+N320</f>
        <v>29.400000000000006</v>
      </c>
      <c r="O316" s="45">
        <f>O317+O320</f>
        <v>709.09999999999991</v>
      </c>
    </row>
    <row r="317" spans="1:15" ht="63" x14ac:dyDescent="0.2">
      <c r="A317" s="40"/>
      <c r="B317" s="41" t="s">
        <v>384</v>
      </c>
      <c r="C317" s="42" t="s">
        <v>51</v>
      </c>
      <c r="D317" s="43" t="s">
        <v>355</v>
      </c>
      <c r="E317" s="57" t="s">
        <v>545</v>
      </c>
      <c r="F317" s="44" t="s">
        <v>11</v>
      </c>
      <c r="G317" s="45">
        <f>G318</f>
        <v>280</v>
      </c>
      <c r="H317" s="45">
        <f>H318+H319</f>
        <v>29.400000000000006</v>
      </c>
      <c r="I317" s="45">
        <f>I318+I319</f>
        <v>309.39999999999998</v>
      </c>
      <c r="J317" s="46">
        <f t="shared" si="53"/>
        <v>0</v>
      </c>
      <c r="K317" s="45"/>
      <c r="L317" s="46">
        <f t="shared" si="53"/>
        <v>0</v>
      </c>
      <c r="M317" s="45">
        <f t="shared" si="53"/>
        <v>280</v>
      </c>
      <c r="N317" s="45">
        <f>N318+N319</f>
        <v>29.400000000000006</v>
      </c>
      <c r="O317" s="45">
        <f>O318+O319</f>
        <v>309.39999999999998</v>
      </c>
    </row>
    <row r="318" spans="1:15" ht="31.5" x14ac:dyDescent="0.2">
      <c r="A318" s="40"/>
      <c r="B318" s="41" t="s">
        <v>40</v>
      </c>
      <c r="C318" s="42" t="s">
        <v>51</v>
      </c>
      <c r="D318" s="43" t="s">
        <v>355</v>
      </c>
      <c r="E318" s="57" t="s">
        <v>545</v>
      </c>
      <c r="F318" s="44" t="s">
        <v>41</v>
      </c>
      <c r="G318" s="45">
        <v>280</v>
      </c>
      <c r="H318" s="66">
        <f>29.4-200</f>
        <v>-170.6</v>
      </c>
      <c r="I318" s="45">
        <f>280+H318</f>
        <v>109.4</v>
      </c>
      <c r="J318" s="47">
        <v>0</v>
      </c>
      <c r="K318" s="38"/>
      <c r="L318" s="47">
        <v>0</v>
      </c>
      <c r="M318" s="45">
        <f>SUM(G318)</f>
        <v>280</v>
      </c>
      <c r="N318" s="45">
        <f t="shared" ref="N318:N325" si="54">SUM(H318)</f>
        <v>-170.6</v>
      </c>
      <c r="O318" s="45">
        <f>SUM(I318)</f>
        <v>109.4</v>
      </c>
    </row>
    <row r="319" spans="1:15" ht="31.5" x14ac:dyDescent="0.2">
      <c r="A319" s="40"/>
      <c r="B319" s="41" t="s">
        <v>112</v>
      </c>
      <c r="C319" s="42">
        <v>992</v>
      </c>
      <c r="D319" s="43" t="s">
        <v>355</v>
      </c>
      <c r="E319" s="57" t="s">
        <v>545</v>
      </c>
      <c r="F319" s="44">
        <v>300</v>
      </c>
      <c r="G319" s="45"/>
      <c r="H319" s="66">
        <v>200</v>
      </c>
      <c r="I319" s="45">
        <f>SUM(H319)</f>
        <v>200</v>
      </c>
      <c r="J319" s="47"/>
      <c r="K319" s="38"/>
      <c r="L319" s="47"/>
      <c r="M319" s="45"/>
      <c r="N319" s="45">
        <f>SUM(H319)</f>
        <v>200</v>
      </c>
      <c r="O319" s="45">
        <f>SUM(I319)</f>
        <v>200</v>
      </c>
    </row>
    <row r="320" spans="1:15" ht="31.5" x14ac:dyDescent="0.2">
      <c r="A320" s="40"/>
      <c r="B320" s="41" t="s">
        <v>385</v>
      </c>
      <c r="C320" s="42">
        <v>992</v>
      </c>
      <c r="D320" s="43" t="s">
        <v>355</v>
      </c>
      <c r="E320" s="43">
        <v>1400124240</v>
      </c>
      <c r="F320" s="44"/>
      <c r="G320" s="45">
        <v>399.7</v>
      </c>
      <c r="H320" s="66"/>
      <c r="I320" s="45">
        <f t="shared" ref="I320:I325" si="55">SUM(G320)</f>
        <v>399.7</v>
      </c>
      <c r="J320" s="47"/>
      <c r="K320" s="38"/>
      <c r="L320" s="47"/>
      <c r="M320" s="45">
        <f>SUM(G320)</f>
        <v>399.7</v>
      </c>
      <c r="N320" s="45">
        <f t="shared" si="54"/>
        <v>0</v>
      </c>
      <c r="O320" s="45">
        <f t="shared" ref="O320:O325" si="56">SUM(I320)</f>
        <v>399.7</v>
      </c>
    </row>
    <row r="321" spans="1:15" ht="31.5" x14ac:dyDescent="0.2">
      <c r="A321" s="40"/>
      <c r="B321" s="41" t="s">
        <v>40</v>
      </c>
      <c r="C321" s="42">
        <v>992</v>
      </c>
      <c r="D321" s="43" t="s">
        <v>355</v>
      </c>
      <c r="E321" s="43">
        <v>1400124240</v>
      </c>
      <c r="F321" s="44">
        <v>200</v>
      </c>
      <c r="G321" s="45">
        <v>399.7</v>
      </c>
      <c r="H321" s="66"/>
      <c r="I321" s="45">
        <f t="shared" si="55"/>
        <v>399.7</v>
      </c>
      <c r="J321" s="47"/>
      <c r="K321" s="38"/>
      <c r="L321" s="47"/>
      <c r="M321" s="45">
        <f>SUM(G321)</f>
        <v>399.7</v>
      </c>
      <c r="N321" s="45">
        <f t="shared" si="54"/>
        <v>0</v>
      </c>
      <c r="O321" s="45">
        <f t="shared" si="56"/>
        <v>399.7</v>
      </c>
    </row>
    <row r="322" spans="1:15" ht="31.5" x14ac:dyDescent="0.2">
      <c r="A322" s="40"/>
      <c r="B322" s="41" t="s">
        <v>66</v>
      </c>
      <c r="C322" s="42">
        <v>992</v>
      </c>
      <c r="D322" s="43" t="s">
        <v>355</v>
      </c>
      <c r="E322" s="43">
        <v>5200000000</v>
      </c>
      <c r="F322" s="44"/>
      <c r="G322" s="45">
        <v>2838.5</v>
      </c>
      <c r="H322" s="66">
        <f>SUM(H324)</f>
        <v>0</v>
      </c>
      <c r="I322" s="45">
        <f t="shared" si="55"/>
        <v>2838.5</v>
      </c>
      <c r="J322" s="47"/>
      <c r="K322" s="38"/>
      <c r="L322" s="47"/>
      <c r="M322" s="45">
        <v>2838.5</v>
      </c>
      <c r="N322" s="45">
        <f t="shared" si="54"/>
        <v>0</v>
      </c>
      <c r="O322" s="45">
        <f t="shared" si="56"/>
        <v>2838.5</v>
      </c>
    </row>
    <row r="323" spans="1:15" ht="31.5" x14ac:dyDescent="0.2">
      <c r="A323" s="40"/>
      <c r="B323" s="41" t="s">
        <v>80</v>
      </c>
      <c r="C323" s="42">
        <v>992</v>
      </c>
      <c r="D323" s="43" t="s">
        <v>355</v>
      </c>
      <c r="E323" s="43">
        <v>5230000000</v>
      </c>
      <c r="F323" s="44"/>
      <c r="G323" s="45">
        <v>2838.5</v>
      </c>
      <c r="H323" s="66">
        <f>SUM(H325)</f>
        <v>0</v>
      </c>
      <c r="I323" s="45">
        <f t="shared" si="55"/>
        <v>2838.5</v>
      </c>
      <c r="J323" s="47"/>
      <c r="K323" s="38"/>
      <c r="L323" s="47"/>
      <c r="M323" s="45">
        <f>SUM(M325)</f>
        <v>2838.5</v>
      </c>
      <c r="N323" s="45">
        <f t="shared" si="54"/>
        <v>0</v>
      </c>
      <c r="O323" s="45">
        <f t="shared" si="56"/>
        <v>2838.5</v>
      </c>
    </row>
    <row r="324" spans="1:15" ht="31.5" x14ac:dyDescent="0.2">
      <c r="A324" s="40"/>
      <c r="B324" s="41" t="s">
        <v>82</v>
      </c>
      <c r="C324" s="42">
        <v>992</v>
      </c>
      <c r="D324" s="43" t="s">
        <v>355</v>
      </c>
      <c r="E324" s="43">
        <v>5230010490</v>
      </c>
      <c r="F324" s="44"/>
      <c r="G324" s="45">
        <v>2838.5</v>
      </c>
      <c r="H324" s="66">
        <f>SUM(H325)</f>
        <v>0</v>
      </c>
      <c r="I324" s="45">
        <f t="shared" si="55"/>
        <v>2838.5</v>
      </c>
      <c r="J324" s="47"/>
      <c r="K324" s="38"/>
      <c r="L324" s="47"/>
      <c r="M324" s="45">
        <f>SUM(G324)</f>
        <v>2838.5</v>
      </c>
      <c r="N324" s="45">
        <f t="shared" si="54"/>
        <v>0</v>
      </c>
      <c r="O324" s="45">
        <f t="shared" si="56"/>
        <v>2838.5</v>
      </c>
    </row>
    <row r="325" spans="1:15" ht="29.25" customHeight="1" x14ac:dyDescent="0.2">
      <c r="A325" s="40"/>
      <c r="B325" s="41" t="s">
        <v>40</v>
      </c>
      <c r="C325" s="42">
        <v>992</v>
      </c>
      <c r="D325" s="43" t="s">
        <v>355</v>
      </c>
      <c r="E325" s="43">
        <v>5230010490</v>
      </c>
      <c r="F325" s="44">
        <v>200</v>
      </c>
      <c r="G325" s="45">
        <v>2838.5</v>
      </c>
      <c r="H325" s="66"/>
      <c r="I325" s="45">
        <f t="shared" si="55"/>
        <v>2838.5</v>
      </c>
      <c r="J325" s="47"/>
      <c r="K325" s="38"/>
      <c r="L325" s="47"/>
      <c r="M325" s="45">
        <f>SUM(G325)</f>
        <v>2838.5</v>
      </c>
      <c r="N325" s="45">
        <f t="shared" si="54"/>
        <v>0</v>
      </c>
      <c r="O325" s="45">
        <f t="shared" si="56"/>
        <v>2838.5</v>
      </c>
    </row>
    <row r="326" spans="1:15" ht="31.5" hidden="1" x14ac:dyDescent="0.2">
      <c r="A326" s="40"/>
      <c r="B326" s="41" t="s">
        <v>40</v>
      </c>
      <c r="C326" s="42"/>
      <c r="D326" s="43"/>
      <c r="E326" s="43"/>
      <c r="F326" s="44"/>
      <c r="G326" s="45"/>
      <c r="H326" s="38"/>
      <c r="I326" s="45"/>
      <c r="J326" s="47"/>
      <c r="K326" s="38"/>
      <c r="L326" s="47"/>
      <c r="M326" s="45"/>
      <c r="N326" s="45"/>
      <c r="O326" s="45"/>
    </row>
    <row r="327" spans="1:15" ht="31.5" x14ac:dyDescent="0.2">
      <c r="A327" s="33" t="s">
        <v>386</v>
      </c>
      <c r="B327" s="34" t="s">
        <v>387</v>
      </c>
      <c r="C327" s="35" t="s">
        <v>51</v>
      </c>
      <c r="D327" s="36" t="s">
        <v>388</v>
      </c>
      <c r="E327" s="36" t="s">
        <v>11</v>
      </c>
      <c r="F327" s="37" t="s">
        <v>11</v>
      </c>
      <c r="G327" s="38">
        <f t="shared" ref="G327:O328" si="57">G328</f>
        <v>91364.800000000003</v>
      </c>
      <c r="H327" s="45">
        <f t="shared" si="57"/>
        <v>0</v>
      </c>
      <c r="I327" s="38">
        <f t="shared" si="57"/>
        <v>91364.800000000003</v>
      </c>
      <c r="J327" s="39">
        <f t="shared" si="57"/>
        <v>0</v>
      </c>
      <c r="K327" s="45">
        <f t="shared" si="57"/>
        <v>0</v>
      </c>
      <c r="L327" s="39">
        <f t="shared" si="57"/>
        <v>0</v>
      </c>
      <c r="M327" s="38">
        <f t="shared" si="57"/>
        <v>91364.800000000003</v>
      </c>
      <c r="N327" s="38">
        <f t="shared" si="57"/>
        <v>0</v>
      </c>
      <c r="O327" s="78">
        <f t="shared" si="57"/>
        <v>91364.800000000003</v>
      </c>
    </row>
    <row r="328" spans="1:15" ht="31.5" x14ac:dyDescent="0.2">
      <c r="A328" s="40"/>
      <c r="B328" s="41" t="s">
        <v>245</v>
      </c>
      <c r="C328" s="42" t="s">
        <v>51</v>
      </c>
      <c r="D328" s="43" t="s">
        <v>388</v>
      </c>
      <c r="E328" s="43" t="s">
        <v>246</v>
      </c>
      <c r="F328" s="44" t="s">
        <v>11</v>
      </c>
      <c r="G328" s="45">
        <f t="shared" si="57"/>
        <v>91364.800000000003</v>
      </c>
      <c r="H328" s="45">
        <f>H329+H332</f>
        <v>0</v>
      </c>
      <c r="I328" s="45">
        <f t="shared" si="57"/>
        <v>91364.800000000003</v>
      </c>
      <c r="J328" s="46">
        <f t="shared" si="57"/>
        <v>0</v>
      </c>
      <c r="K328" s="45">
        <f>K329+K332</f>
        <v>0</v>
      </c>
      <c r="L328" s="46">
        <f t="shared" si="57"/>
        <v>0</v>
      </c>
      <c r="M328" s="45">
        <f t="shared" si="57"/>
        <v>91364.800000000003</v>
      </c>
      <c r="N328" s="45">
        <f t="shared" si="57"/>
        <v>0</v>
      </c>
      <c r="O328" s="45">
        <f t="shared" si="57"/>
        <v>91364.800000000003</v>
      </c>
    </row>
    <row r="329" spans="1:15" ht="15.75" x14ac:dyDescent="0.2">
      <c r="A329" s="40"/>
      <c r="B329" s="41" t="s">
        <v>247</v>
      </c>
      <c r="C329" s="42" t="s">
        <v>51</v>
      </c>
      <c r="D329" s="43" t="s">
        <v>388</v>
      </c>
      <c r="E329" s="43" t="s">
        <v>248</v>
      </c>
      <c r="F329" s="44" t="s">
        <v>11</v>
      </c>
      <c r="G329" s="45">
        <f>G330+G333</f>
        <v>91364.800000000003</v>
      </c>
      <c r="H329" s="45">
        <f>SUM(H333)</f>
        <v>0</v>
      </c>
      <c r="I329" s="45">
        <f>I330+I333</f>
        <v>91364.800000000003</v>
      </c>
      <c r="J329" s="46">
        <f>J330+J333</f>
        <v>0</v>
      </c>
      <c r="K329" s="45">
        <f t="shared" ref="G329:O331" si="58">K330</f>
        <v>0</v>
      </c>
      <c r="L329" s="46">
        <f>L330+L333</f>
        <v>0</v>
      </c>
      <c r="M329" s="45">
        <f>M330+M333+M336+M338</f>
        <v>91364.800000000003</v>
      </c>
      <c r="N329" s="45">
        <f>N330+N333</f>
        <v>0</v>
      </c>
      <c r="O329" s="45">
        <f>O330+O333</f>
        <v>91364.800000000003</v>
      </c>
    </row>
    <row r="330" spans="1:15" ht="31.5" x14ac:dyDescent="0.2">
      <c r="A330" s="40"/>
      <c r="B330" s="41" t="s">
        <v>389</v>
      </c>
      <c r="C330" s="42" t="s">
        <v>51</v>
      </c>
      <c r="D330" s="43" t="s">
        <v>388</v>
      </c>
      <c r="E330" s="43" t="s">
        <v>390</v>
      </c>
      <c r="F330" s="44" t="s">
        <v>11</v>
      </c>
      <c r="G330" s="45">
        <f t="shared" si="58"/>
        <v>7768.7</v>
      </c>
      <c r="H330" s="45">
        <f t="shared" si="58"/>
        <v>0</v>
      </c>
      <c r="I330" s="45">
        <f t="shared" si="58"/>
        <v>7768.7</v>
      </c>
      <c r="J330" s="46">
        <f t="shared" si="58"/>
        <v>0</v>
      </c>
      <c r="K330" s="45">
        <f t="shared" si="58"/>
        <v>0</v>
      </c>
      <c r="L330" s="46">
        <f t="shared" si="58"/>
        <v>0</v>
      </c>
      <c r="M330" s="45">
        <f t="shared" si="58"/>
        <v>7768.7</v>
      </c>
      <c r="N330" s="45">
        <f t="shared" si="58"/>
        <v>0</v>
      </c>
      <c r="O330" s="45">
        <f t="shared" si="58"/>
        <v>7768.7</v>
      </c>
    </row>
    <row r="331" spans="1:15" ht="31.5" x14ac:dyDescent="0.2">
      <c r="A331" s="40"/>
      <c r="B331" s="41" t="s">
        <v>134</v>
      </c>
      <c r="C331" s="42" t="s">
        <v>51</v>
      </c>
      <c r="D331" s="43" t="s">
        <v>388</v>
      </c>
      <c r="E331" s="43" t="s">
        <v>391</v>
      </c>
      <c r="F331" s="44" t="s">
        <v>11</v>
      </c>
      <c r="G331" s="45">
        <f t="shared" si="58"/>
        <v>7768.7</v>
      </c>
      <c r="H331" s="45"/>
      <c r="I331" s="45">
        <f t="shared" si="58"/>
        <v>7768.7</v>
      </c>
      <c r="J331" s="46">
        <f t="shared" si="58"/>
        <v>0</v>
      </c>
      <c r="K331" s="45"/>
      <c r="L331" s="46">
        <f t="shared" si="58"/>
        <v>0</v>
      </c>
      <c r="M331" s="45">
        <f t="shared" si="58"/>
        <v>7768.7</v>
      </c>
      <c r="N331" s="45">
        <f t="shared" si="58"/>
        <v>0</v>
      </c>
      <c r="O331" s="45">
        <f t="shared" si="58"/>
        <v>7768.7</v>
      </c>
    </row>
    <row r="332" spans="1:15" ht="33.6" customHeight="1" x14ac:dyDescent="0.2">
      <c r="A332" s="40"/>
      <c r="B332" s="41" t="s">
        <v>95</v>
      </c>
      <c r="C332" s="42" t="s">
        <v>51</v>
      </c>
      <c r="D332" s="43" t="s">
        <v>388</v>
      </c>
      <c r="E332" s="43" t="s">
        <v>391</v>
      </c>
      <c r="F332" s="44" t="s">
        <v>96</v>
      </c>
      <c r="G332" s="45">
        <v>7768.7</v>
      </c>
      <c r="H332" s="45"/>
      <c r="I332" s="45">
        <v>7768.7</v>
      </c>
      <c r="J332" s="47">
        <v>0</v>
      </c>
      <c r="K332" s="45"/>
      <c r="L332" s="47">
        <v>0</v>
      </c>
      <c r="M332" s="45">
        <v>7768.7</v>
      </c>
      <c r="N332" s="45"/>
      <c r="O332" s="45">
        <v>7768.7</v>
      </c>
    </row>
    <row r="333" spans="1:15" ht="47.25" x14ac:dyDescent="0.2">
      <c r="A333" s="40"/>
      <c r="B333" s="41" t="s">
        <v>249</v>
      </c>
      <c r="C333" s="42" t="s">
        <v>51</v>
      </c>
      <c r="D333" s="43" t="s">
        <v>388</v>
      </c>
      <c r="E333" s="43" t="s">
        <v>250</v>
      </c>
      <c r="F333" s="44" t="s">
        <v>11</v>
      </c>
      <c r="G333" s="45">
        <f>G334+G336+G338</f>
        <v>83596.100000000006</v>
      </c>
      <c r="H333" s="45">
        <f>H334+H338+H336</f>
        <v>0</v>
      </c>
      <c r="I333" s="45">
        <f>I334+I338+I336</f>
        <v>83596.100000000006</v>
      </c>
      <c r="J333" s="46">
        <f t="shared" ref="G333:O334" si="59">J334</f>
        <v>0</v>
      </c>
      <c r="K333" s="45">
        <f t="shared" si="59"/>
        <v>0</v>
      </c>
      <c r="L333" s="46">
        <f t="shared" si="59"/>
        <v>0</v>
      </c>
      <c r="M333" s="45">
        <f t="shared" si="59"/>
        <v>81676.100000000006</v>
      </c>
      <c r="N333" s="45">
        <f>N334+N338+N336</f>
        <v>0</v>
      </c>
      <c r="O333" s="45">
        <f>O334+O338+O336</f>
        <v>83596.100000000006</v>
      </c>
    </row>
    <row r="334" spans="1:15" ht="31.5" x14ac:dyDescent="0.2">
      <c r="A334" s="40"/>
      <c r="B334" s="41" t="s">
        <v>134</v>
      </c>
      <c r="C334" s="42" t="s">
        <v>51</v>
      </c>
      <c r="D334" s="43" t="s">
        <v>388</v>
      </c>
      <c r="E334" s="43" t="s">
        <v>251</v>
      </c>
      <c r="F334" s="44" t="s">
        <v>11</v>
      </c>
      <c r="G334" s="45">
        <f t="shared" si="59"/>
        <v>81676.100000000006</v>
      </c>
      <c r="H334" s="45">
        <f t="shared" si="59"/>
        <v>0</v>
      </c>
      <c r="I334" s="45">
        <f t="shared" si="59"/>
        <v>81676.100000000006</v>
      </c>
      <c r="J334" s="46">
        <f t="shared" si="59"/>
        <v>0</v>
      </c>
      <c r="K334" s="45"/>
      <c r="L334" s="46">
        <f t="shared" si="59"/>
        <v>0</v>
      </c>
      <c r="M334" s="45">
        <f t="shared" si="59"/>
        <v>81676.100000000006</v>
      </c>
      <c r="N334" s="45">
        <f t="shared" si="59"/>
        <v>0</v>
      </c>
      <c r="O334" s="45">
        <f t="shared" si="59"/>
        <v>81676.100000000006</v>
      </c>
    </row>
    <row r="335" spans="1:15" ht="33.6" customHeight="1" x14ac:dyDescent="0.2">
      <c r="A335" s="40"/>
      <c r="B335" s="41" t="s">
        <v>95</v>
      </c>
      <c r="C335" s="42" t="s">
        <v>51</v>
      </c>
      <c r="D335" s="43" t="s">
        <v>388</v>
      </c>
      <c r="E335" s="43" t="s">
        <v>251</v>
      </c>
      <c r="F335" s="44" t="s">
        <v>96</v>
      </c>
      <c r="G335" s="45">
        <v>81676.100000000006</v>
      </c>
      <c r="H335" s="45"/>
      <c r="I335" s="45">
        <f>SUM(G335)+H335</f>
        <v>81676.100000000006</v>
      </c>
      <c r="J335" s="47">
        <v>0</v>
      </c>
      <c r="K335" s="25"/>
      <c r="L335" s="47">
        <v>0</v>
      </c>
      <c r="M335" s="45">
        <f>SUM(G335)</f>
        <v>81676.100000000006</v>
      </c>
      <c r="N335" s="45">
        <f>SUM(H335)</f>
        <v>0</v>
      </c>
      <c r="O335" s="45">
        <f>SUM(M335)+N335</f>
        <v>81676.100000000006</v>
      </c>
    </row>
    <row r="336" spans="1:15" ht="33.6" customHeight="1" x14ac:dyDescent="0.2">
      <c r="A336" s="40"/>
      <c r="B336" s="71" t="s">
        <v>392</v>
      </c>
      <c r="C336" s="42">
        <v>992</v>
      </c>
      <c r="D336" s="43" t="s">
        <v>388</v>
      </c>
      <c r="E336" s="57" t="s">
        <v>393</v>
      </c>
      <c r="F336" s="44"/>
      <c r="G336" s="45">
        <f>SUM(G337)</f>
        <v>779</v>
      </c>
      <c r="H336" s="45"/>
      <c r="I336" s="45">
        <f>SUM(G336)</f>
        <v>779</v>
      </c>
      <c r="J336" s="47"/>
      <c r="K336" s="25"/>
      <c r="L336" s="47"/>
      <c r="M336" s="45">
        <f>SUM(G336)</f>
        <v>779</v>
      </c>
      <c r="N336" s="45">
        <f t="shared" ref="N336:O339" si="60">SUM(H336)</f>
        <v>0</v>
      </c>
      <c r="O336" s="45">
        <f t="shared" si="60"/>
        <v>779</v>
      </c>
    </row>
    <row r="337" spans="1:16" ht="33.6" customHeight="1" x14ac:dyDescent="0.2">
      <c r="A337" s="40"/>
      <c r="B337" s="41" t="s">
        <v>95</v>
      </c>
      <c r="C337" s="42">
        <v>992</v>
      </c>
      <c r="D337" s="43" t="s">
        <v>388</v>
      </c>
      <c r="E337" s="57" t="s">
        <v>393</v>
      </c>
      <c r="F337" s="44">
        <v>600</v>
      </c>
      <c r="G337" s="45">
        <v>779</v>
      </c>
      <c r="H337" s="45"/>
      <c r="I337" s="45">
        <f>SUM(G337)</f>
        <v>779</v>
      </c>
      <c r="J337" s="47"/>
      <c r="K337" s="25"/>
      <c r="L337" s="47"/>
      <c r="M337" s="45">
        <f>SUM(G337)</f>
        <v>779</v>
      </c>
      <c r="N337" s="45">
        <f t="shared" si="60"/>
        <v>0</v>
      </c>
      <c r="O337" s="45">
        <f t="shared" si="60"/>
        <v>779</v>
      </c>
    </row>
    <row r="338" spans="1:16" ht="51" customHeight="1" x14ac:dyDescent="0.2">
      <c r="A338" s="40"/>
      <c r="B338" s="41" t="s">
        <v>283</v>
      </c>
      <c r="C338" s="42">
        <v>992</v>
      </c>
      <c r="D338" s="43" t="s">
        <v>388</v>
      </c>
      <c r="E338" s="57" t="s">
        <v>284</v>
      </c>
      <c r="F338" s="44"/>
      <c r="G338" s="45">
        <f>SUM(G339)</f>
        <v>1141</v>
      </c>
      <c r="H338" s="45">
        <f>SUM(H339)</f>
        <v>0</v>
      </c>
      <c r="I338" s="45">
        <f>SUM(G338)</f>
        <v>1141</v>
      </c>
      <c r="J338" s="47"/>
      <c r="K338" s="25"/>
      <c r="L338" s="47"/>
      <c r="M338" s="45">
        <f>SUM(G338)</f>
        <v>1141</v>
      </c>
      <c r="N338" s="45">
        <f t="shared" si="60"/>
        <v>0</v>
      </c>
      <c r="O338" s="45">
        <f t="shared" si="60"/>
        <v>1141</v>
      </c>
    </row>
    <row r="339" spans="1:16" ht="33.6" customHeight="1" x14ac:dyDescent="0.2">
      <c r="A339" s="40"/>
      <c r="B339" s="41" t="s">
        <v>95</v>
      </c>
      <c r="C339" s="42">
        <v>992</v>
      </c>
      <c r="D339" s="43" t="s">
        <v>388</v>
      </c>
      <c r="E339" s="57" t="s">
        <v>284</v>
      </c>
      <c r="F339" s="44">
        <v>600</v>
      </c>
      <c r="G339" s="45">
        <v>1141</v>
      </c>
      <c r="H339" s="45"/>
      <c r="I339" s="45">
        <f>SUM(G339)</f>
        <v>1141</v>
      </c>
      <c r="J339" s="47"/>
      <c r="K339" s="25"/>
      <c r="L339" s="47"/>
      <c r="M339" s="45">
        <f>SUM(G339)</f>
        <v>1141</v>
      </c>
      <c r="N339" s="45">
        <f t="shared" si="60"/>
        <v>0</v>
      </c>
      <c r="O339" s="45">
        <f t="shared" si="60"/>
        <v>1141</v>
      </c>
    </row>
    <row r="340" spans="1:16" ht="15.75" x14ac:dyDescent="0.2">
      <c r="A340" s="20" t="s">
        <v>394</v>
      </c>
      <c r="B340" s="21" t="s">
        <v>395</v>
      </c>
      <c r="C340" s="22" t="s">
        <v>51</v>
      </c>
      <c r="D340" s="23" t="s">
        <v>396</v>
      </c>
      <c r="E340" s="23" t="s">
        <v>11</v>
      </c>
      <c r="F340" s="24" t="s">
        <v>11</v>
      </c>
      <c r="G340" s="25">
        <f>G341</f>
        <v>13912.1</v>
      </c>
      <c r="H340" s="38">
        <f>H341</f>
        <v>77</v>
      </c>
      <c r="I340" s="25">
        <f>I341</f>
        <v>13989.1</v>
      </c>
      <c r="J340" s="26">
        <f>J341</f>
        <v>156</v>
      </c>
      <c r="K340" s="38">
        <f>K341+K354</f>
        <v>0</v>
      </c>
      <c r="L340" s="26">
        <f>L341</f>
        <v>156</v>
      </c>
      <c r="M340" s="25">
        <f>M341</f>
        <v>14068.1</v>
      </c>
      <c r="N340" s="25">
        <f>N341</f>
        <v>77</v>
      </c>
      <c r="O340" s="25">
        <f>O341</f>
        <v>14145.1</v>
      </c>
      <c r="P340" s="17"/>
    </row>
    <row r="341" spans="1:16" ht="15.75" x14ac:dyDescent="0.2">
      <c r="A341" s="33" t="s">
        <v>397</v>
      </c>
      <c r="B341" s="34" t="s">
        <v>398</v>
      </c>
      <c r="C341" s="35" t="s">
        <v>51</v>
      </c>
      <c r="D341" s="36" t="s">
        <v>399</v>
      </c>
      <c r="E341" s="36" t="s">
        <v>11</v>
      </c>
      <c r="F341" s="37" t="s">
        <v>11</v>
      </c>
      <c r="G341" s="38">
        <f>G342+G357</f>
        <v>13912.1</v>
      </c>
      <c r="H341" s="45">
        <f>H342+H347</f>
        <v>77</v>
      </c>
      <c r="I341" s="38">
        <f>I342+I357</f>
        <v>13989.1</v>
      </c>
      <c r="J341" s="39">
        <f>J342+J357</f>
        <v>156</v>
      </c>
      <c r="K341" s="45">
        <f>K342+K347</f>
        <v>0</v>
      </c>
      <c r="L341" s="39">
        <f>L342+L357</f>
        <v>156</v>
      </c>
      <c r="M341" s="38">
        <f>M342+M357</f>
        <v>14068.1</v>
      </c>
      <c r="N341" s="38">
        <f>N342+N357</f>
        <v>77</v>
      </c>
      <c r="O341" s="38">
        <f>O342+O357</f>
        <v>14145.1</v>
      </c>
      <c r="P341" s="15"/>
    </row>
    <row r="342" spans="1:16" ht="31.5" x14ac:dyDescent="0.2">
      <c r="A342" s="40"/>
      <c r="B342" s="41" t="s">
        <v>400</v>
      </c>
      <c r="C342" s="42" t="s">
        <v>51</v>
      </c>
      <c r="D342" s="43" t="s">
        <v>399</v>
      </c>
      <c r="E342" s="43" t="s">
        <v>401</v>
      </c>
      <c r="F342" s="44" t="s">
        <v>11</v>
      </c>
      <c r="G342" s="45">
        <f>G343+G348</f>
        <v>13832.1</v>
      </c>
      <c r="H342" s="45">
        <f>H343+H345+H348+H353</f>
        <v>77</v>
      </c>
      <c r="I342" s="45">
        <f>I343+I348</f>
        <v>13909.1</v>
      </c>
      <c r="J342" s="45">
        <f>J343+J345+J355</f>
        <v>156</v>
      </c>
      <c r="K342" s="45">
        <f>K343+K345+K348+K355</f>
        <v>0</v>
      </c>
      <c r="L342" s="45">
        <f>L343+L345+L355</f>
        <v>156</v>
      </c>
      <c r="M342" s="45">
        <f>M343+M348</f>
        <v>13988.1</v>
      </c>
      <c r="N342" s="45">
        <f>N343+N348+K342</f>
        <v>77</v>
      </c>
      <c r="O342" s="45">
        <f>O343+O348</f>
        <v>14065.1</v>
      </c>
    </row>
    <row r="343" spans="1:16" ht="47.25" x14ac:dyDescent="0.2">
      <c r="A343" s="40"/>
      <c r="B343" s="41" t="s">
        <v>402</v>
      </c>
      <c r="C343" s="42" t="s">
        <v>51</v>
      </c>
      <c r="D343" s="43" t="s">
        <v>399</v>
      </c>
      <c r="E343" s="43" t="s">
        <v>403</v>
      </c>
      <c r="F343" s="44" t="s">
        <v>11</v>
      </c>
      <c r="G343" s="45">
        <f>G344+G346</f>
        <v>2346.5</v>
      </c>
      <c r="H343" s="45">
        <f>H344</f>
        <v>0</v>
      </c>
      <c r="I343" s="45">
        <f>I344+I346</f>
        <v>2346.5</v>
      </c>
      <c r="J343" s="46">
        <f>J344+J346</f>
        <v>0</v>
      </c>
      <c r="K343" s="45">
        <f>K344</f>
        <v>0</v>
      </c>
      <c r="L343" s="46">
        <f>L344+L346</f>
        <v>0</v>
      </c>
      <c r="M343" s="45">
        <f>M344+M346</f>
        <v>2346.5</v>
      </c>
      <c r="N343" s="45">
        <f>N344+N346</f>
        <v>0</v>
      </c>
      <c r="O343" s="45">
        <f>O344+O346</f>
        <v>2346.5</v>
      </c>
    </row>
    <row r="344" spans="1:16" ht="47.25" x14ac:dyDescent="0.2">
      <c r="A344" s="40"/>
      <c r="B344" s="41" t="s">
        <v>404</v>
      </c>
      <c r="C344" s="42" t="s">
        <v>51</v>
      </c>
      <c r="D344" s="43" t="s">
        <v>399</v>
      </c>
      <c r="E344" s="43" t="s">
        <v>405</v>
      </c>
      <c r="F344" s="44" t="s">
        <v>11</v>
      </c>
      <c r="G344" s="45">
        <f>G345</f>
        <v>1500</v>
      </c>
      <c r="H344" s="45"/>
      <c r="I344" s="45">
        <f>I345</f>
        <v>1500</v>
      </c>
      <c r="J344" s="46">
        <f>J345</f>
        <v>0</v>
      </c>
      <c r="K344" s="45"/>
      <c r="L344" s="46">
        <f>L345</f>
        <v>0</v>
      </c>
      <c r="M344" s="45">
        <f>M345</f>
        <v>1500</v>
      </c>
      <c r="N344" s="45">
        <f>N345</f>
        <v>0</v>
      </c>
      <c r="O344" s="45">
        <f>O345</f>
        <v>1500</v>
      </c>
    </row>
    <row r="345" spans="1:16" ht="78.75" x14ac:dyDescent="0.2">
      <c r="A345" s="40"/>
      <c r="B345" s="41" t="s">
        <v>61</v>
      </c>
      <c r="C345" s="42" t="s">
        <v>51</v>
      </c>
      <c r="D345" s="43" t="s">
        <v>399</v>
      </c>
      <c r="E345" s="43" t="s">
        <v>405</v>
      </c>
      <c r="F345" s="44" t="s">
        <v>62</v>
      </c>
      <c r="G345" s="45">
        <v>1500</v>
      </c>
      <c r="H345" s="45"/>
      <c r="I345" s="45">
        <v>1500</v>
      </c>
      <c r="J345" s="47">
        <v>0</v>
      </c>
      <c r="K345" s="45"/>
      <c r="L345" s="47">
        <v>0</v>
      </c>
      <c r="M345" s="45">
        <v>1500</v>
      </c>
      <c r="N345" s="45"/>
      <c r="O345" s="45">
        <v>1500</v>
      </c>
    </row>
    <row r="346" spans="1:16" ht="47.25" x14ac:dyDescent="0.2">
      <c r="A346" s="40"/>
      <c r="B346" s="41" t="s">
        <v>406</v>
      </c>
      <c r="C346" s="42" t="s">
        <v>51</v>
      </c>
      <c r="D346" s="43" t="s">
        <v>399</v>
      </c>
      <c r="E346" s="43" t="s">
        <v>407</v>
      </c>
      <c r="F346" s="44" t="s">
        <v>11</v>
      </c>
      <c r="G346" s="45">
        <f>G347</f>
        <v>846.5</v>
      </c>
      <c r="H346" s="45"/>
      <c r="I346" s="45">
        <f>I347</f>
        <v>846.5</v>
      </c>
      <c r="J346" s="46">
        <f>J347</f>
        <v>0</v>
      </c>
      <c r="K346" s="45"/>
      <c r="L346" s="46">
        <f>L347</f>
        <v>0</v>
      </c>
      <c r="M346" s="45">
        <f>M347</f>
        <v>846.5</v>
      </c>
      <c r="N346" s="45">
        <f>N347</f>
        <v>0</v>
      </c>
      <c r="O346" s="45">
        <f>O347</f>
        <v>846.5</v>
      </c>
    </row>
    <row r="347" spans="1:16" ht="31.5" x14ac:dyDescent="0.2">
      <c r="A347" s="40"/>
      <c r="B347" s="41" t="s">
        <v>408</v>
      </c>
      <c r="C347" s="42" t="s">
        <v>51</v>
      </c>
      <c r="D347" s="43" t="s">
        <v>399</v>
      </c>
      <c r="E347" s="43" t="s">
        <v>407</v>
      </c>
      <c r="F347" s="44" t="s">
        <v>41</v>
      </c>
      <c r="G347" s="45">
        <v>846.5</v>
      </c>
      <c r="H347" s="45"/>
      <c r="I347" s="45">
        <v>846.5</v>
      </c>
      <c r="J347" s="47">
        <v>0</v>
      </c>
      <c r="K347" s="45"/>
      <c r="L347" s="47">
        <v>0</v>
      </c>
      <c r="M347" s="45">
        <v>846.5</v>
      </c>
      <c r="N347" s="45"/>
      <c r="O347" s="45">
        <v>846.5</v>
      </c>
    </row>
    <row r="348" spans="1:16" ht="49.15" customHeight="1" x14ac:dyDescent="0.2">
      <c r="A348" s="40"/>
      <c r="B348" s="41" t="s">
        <v>409</v>
      </c>
      <c r="C348" s="42" t="s">
        <v>51</v>
      </c>
      <c r="D348" s="43" t="s">
        <v>399</v>
      </c>
      <c r="E348" s="43" t="s">
        <v>410</v>
      </c>
      <c r="F348" s="44" t="s">
        <v>11</v>
      </c>
      <c r="G348" s="45">
        <f>G349+G353</f>
        <v>11485.6</v>
      </c>
      <c r="H348" s="45">
        <f>H349</f>
        <v>77</v>
      </c>
      <c r="I348" s="45">
        <f>I349+I353</f>
        <v>11562.6</v>
      </c>
      <c r="J348" s="46">
        <f>J349+J353+J355</f>
        <v>156</v>
      </c>
      <c r="K348" s="45">
        <f>K349+K350+K355</f>
        <v>0</v>
      </c>
      <c r="L348" s="46">
        <f>L349+L353+L355</f>
        <v>156</v>
      </c>
      <c r="M348" s="45">
        <f>M349+M353</f>
        <v>11641.6</v>
      </c>
      <c r="N348" s="45">
        <f>N349+N353</f>
        <v>77</v>
      </c>
      <c r="O348" s="45">
        <f>O349+O353+O355</f>
        <v>11718.6</v>
      </c>
    </row>
    <row r="349" spans="1:16" ht="31.5" x14ac:dyDescent="0.2">
      <c r="A349" s="40"/>
      <c r="B349" s="41" t="s">
        <v>134</v>
      </c>
      <c r="C349" s="42" t="s">
        <v>51</v>
      </c>
      <c r="D349" s="43" t="s">
        <v>399</v>
      </c>
      <c r="E349" s="43" t="s">
        <v>411</v>
      </c>
      <c r="F349" s="44" t="s">
        <v>11</v>
      </c>
      <c r="G349" s="45">
        <f>G350+G351+G352</f>
        <v>10600.5</v>
      </c>
      <c r="H349" s="45">
        <f>H350+H351+H352</f>
        <v>77</v>
      </c>
      <c r="I349" s="45">
        <f>I350+I351+I352</f>
        <v>10677.5</v>
      </c>
      <c r="J349" s="46">
        <f>J350+J351+J352</f>
        <v>0</v>
      </c>
      <c r="K349" s="45">
        <f>SUM(K351)</f>
        <v>0</v>
      </c>
      <c r="L349" s="46">
        <f>L350+L351+L352</f>
        <v>0</v>
      </c>
      <c r="M349" s="45">
        <f>M350+M351+M352</f>
        <v>10600.5</v>
      </c>
      <c r="N349" s="45">
        <f>N350+N351+N352</f>
        <v>77</v>
      </c>
      <c r="O349" s="45">
        <f>O350+O351+O352</f>
        <v>10677.5</v>
      </c>
    </row>
    <row r="350" spans="1:16" ht="78.75" x14ac:dyDescent="0.2">
      <c r="A350" s="40"/>
      <c r="B350" s="41" t="s">
        <v>61</v>
      </c>
      <c r="C350" s="42" t="s">
        <v>51</v>
      </c>
      <c r="D350" s="43" t="s">
        <v>399</v>
      </c>
      <c r="E350" s="43" t="s">
        <v>411</v>
      </c>
      <c r="F350" s="44" t="s">
        <v>62</v>
      </c>
      <c r="G350" s="45">
        <v>8018.2</v>
      </c>
      <c r="H350" s="45"/>
      <c r="I350" s="45">
        <f>SUM(G350)</f>
        <v>8018.2</v>
      </c>
      <c r="J350" s="47">
        <v>0</v>
      </c>
      <c r="K350" s="45"/>
      <c r="L350" s="47">
        <v>0</v>
      </c>
      <c r="M350" s="45">
        <f>SUM(G350)</f>
        <v>8018.2</v>
      </c>
      <c r="N350" s="45">
        <f>SUM(H350)</f>
        <v>0</v>
      </c>
      <c r="O350" s="45">
        <f>SUM(I350)</f>
        <v>8018.2</v>
      </c>
    </row>
    <row r="351" spans="1:16" ht="31.5" x14ac:dyDescent="0.2">
      <c r="A351" s="40"/>
      <c r="B351" s="41" t="s">
        <v>40</v>
      </c>
      <c r="C351" s="42" t="s">
        <v>51</v>
      </c>
      <c r="D351" s="43" t="s">
        <v>399</v>
      </c>
      <c r="E351" s="43" t="s">
        <v>411</v>
      </c>
      <c r="F351" s="44" t="s">
        <v>41</v>
      </c>
      <c r="G351" s="45">
        <v>2578.6</v>
      </c>
      <c r="H351" s="45">
        <v>77</v>
      </c>
      <c r="I351" s="45">
        <f>SUM(G351)+H351</f>
        <v>2655.6</v>
      </c>
      <c r="J351" s="47">
        <v>0</v>
      </c>
      <c r="K351" s="45"/>
      <c r="L351" s="46">
        <f>K351</f>
        <v>0</v>
      </c>
      <c r="M351" s="45">
        <f>SUM(G351)</f>
        <v>2578.6</v>
      </c>
      <c r="N351" s="45">
        <f>SUM(H351+K351)</f>
        <v>77</v>
      </c>
      <c r="O351" s="45">
        <f>SUM(I351)</f>
        <v>2655.6</v>
      </c>
    </row>
    <row r="352" spans="1:16" ht="15.75" x14ac:dyDescent="0.2">
      <c r="A352" s="40"/>
      <c r="B352" s="41" t="s">
        <v>338</v>
      </c>
      <c r="C352" s="42" t="s">
        <v>51</v>
      </c>
      <c r="D352" s="43" t="s">
        <v>399</v>
      </c>
      <c r="E352" s="43" t="s">
        <v>411</v>
      </c>
      <c r="F352" s="44" t="s">
        <v>71</v>
      </c>
      <c r="G352" s="45">
        <v>3.7</v>
      </c>
      <c r="H352" s="45"/>
      <c r="I352" s="45">
        <v>3.7</v>
      </c>
      <c r="J352" s="47">
        <v>0</v>
      </c>
      <c r="K352" s="45"/>
      <c r="L352" s="47">
        <v>0</v>
      </c>
      <c r="M352" s="45">
        <v>3.7</v>
      </c>
      <c r="N352" s="45"/>
      <c r="O352" s="45">
        <v>3.7</v>
      </c>
    </row>
    <row r="353" spans="1:16" ht="31.5" x14ac:dyDescent="0.2">
      <c r="A353" s="40"/>
      <c r="B353" s="41" t="s">
        <v>412</v>
      </c>
      <c r="C353" s="42" t="s">
        <v>51</v>
      </c>
      <c r="D353" s="43" t="s">
        <v>399</v>
      </c>
      <c r="E353" s="43" t="s">
        <v>413</v>
      </c>
      <c r="F353" s="44" t="s">
        <v>11</v>
      </c>
      <c r="G353" s="45">
        <f>G354</f>
        <v>885.1</v>
      </c>
      <c r="H353" s="45"/>
      <c r="I353" s="45">
        <f>I354</f>
        <v>885.1</v>
      </c>
      <c r="J353" s="46">
        <f>J354</f>
        <v>0</v>
      </c>
      <c r="K353" s="45"/>
      <c r="L353" s="46">
        <f>L354</f>
        <v>0</v>
      </c>
      <c r="M353" s="45">
        <f>M354+M355</f>
        <v>1041.0999999999999</v>
      </c>
      <c r="N353" s="45">
        <f>N354</f>
        <v>0</v>
      </c>
      <c r="O353" s="45">
        <f>O354</f>
        <v>885.1</v>
      </c>
    </row>
    <row r="354" spans="1:16" ht="31.5" x14ac:dyDescent="0.2">
      <c r="A354" s="40"/>
      <c r="B354" s="41" t="s">
        <v>40</v>
      </c>
      <c r="C354" s="42" t="s">
        <v>51</v>
      </c>
      <c r="D354" s="43" t="s">
        <v>399</v>
      </c>
      <c r="E354" s="43" t="s">
        <v>413</v>
      </c>
      <c r="F354" s="44" t="s">
        <v>41</v>
      </c>
      <c r="G354" s="45">
        <v>885.1</v>
      </c>
      <c r="H354" s="45"/>
      <c r="I354" s="45">
        <f>SUM(G354)</f>
        <v>885.1</v>
      </c>
      <c r="J354" s="47">
        <v>0</v>
      </c>
      <c r="K354" s="45"/>
      <c r="L354" s="47">
        <v>0</v>
      </c>
      <c r="M354" s="45">
        <f>SUM(G354)</f>
        <v>885.1</v>
      </c>
      <c r="N354" s="45">
        <f>SUM(H354)</f>
        <v>0</v>
      </c>
      <c r="O354" s="45">
        <f>SUM(M354)</f>
        <v>885.1</v>
      </c>
    </row>
    <row r="355" spans="1:16" ht="78.75" x14ac:dyDescent="0.2">
      <c r="A355" s="40"/>
      <c r="B355" s="68" t="s">
        <v>414</v>
      </c>
      <c r="C355" s="42">
        <v>992</v>
      </c>
      <c r="D355" s="43" t="s">
        <v>399</v>
      </c>
      <c r="E355" s="57" t="s">
        <v>415</v>
      </c>
      <c r="F355" s="44"/>
      <c r="G355" s="45"/>
      <c r="H355" s="45"/>
      <c r="I355" s="45"/>
      <c r="J355" s="47">
        <v>156</v>
      </c>
      <c r="K355" s="45"/>
      <c r="L355" s="47">
        <f>SUM(L356)</f>
        <v>156</v>
      </c>
      <c r="M355" s="45">
        <f t="shared" ref="M355:O356" si="61">SUM(J355)</f>
        <v>156</v>
      </c>
      <c r="N355" s="45">
        <f t="shared" si="61"/>
        <v>0</v>
      </c>
      <c r="O355" s="45">
        <f t="shared" si="61"/>
        <v>156</v>
      </c>
    </row>
    <row r="356" spans="1:16" ht="31.5" x14ac:dyDescent="0.2">
      <c r="A356" s="40"/>
      <c r="B356" s="41" t="s">
        <v>40</v>
      </c>
      <c r="C356" s="42">
        <v>992</v>
      </c>
      <c r="D356" s="43" t="s">
        <v>399</v>
      </c>
      <c r="E356" s="57" t="s">
        <v>415</v>
      </c>
      <c r="F356" s="44">
        <v>200</v>
      </c>
      <c r="G356" s="45"/>
      <c r="H356" s="45"/>
      <c r="I356" s="45"/>
      <c r="J356" s="47">
        <v>156</v>
      </c>
      <c r="K356" s="45"/>
      <c r="L356" s="47">
        <f>SUM(J356)</f>
        <v>156</v>
      </c>
      <c r="M356" s="45">
        <f t="shared" si="61"/>
        <v>156</v>
      </c>
      <c r="N356" s="45">
        <f t="shared" si="61"/>
        <v>0</v>
      </c>
      <c r="O356" s="45">
        <f t="shared" si="61"/>
        <v>156</v>
      </c>
    </row>
    <row r="357" spans="1:16" ht="31.5" x14ac:dyDescent="0.2">
      <c r="A357" s="40"/>
      <c r="B357" s="41" t="s">
        <v>87</v>
      </c>
      <c r="C357" s="42" t="s">
        <v>51</v>
      </c>
      <c r="D357" s="43" t="s">
        <v>399</v>
      </c>
      <c r="E357" s="43" t="s">
        <v>88</v>
      </c>
      <c r="F357" s="44" t="s">
        <v>11</v>
      </c>
      <c r="G357" s="45">
        <f t="shared" ref="G357:O360" si="62">G358</f>
        <v>80</v>
      </c>
      <c r="H357" s="45">
        <f t="shared" si="62"/>
        <v>0</v>
      </c>
      <c r="I357" s="45">
        <f t="shared" si="62"/>
        <v>80</v>
      </c>
      <c r="J357" s="46">
        <f t="shared" si="62"/>
        <v>0</v>
      </c>
      <c r="K357" s="45">
        <f>K358</f>
        <v>0</v>
      </c>
      <c r="L357" s="46">
        <f t="shared" si="62"/>
        <v>0</v>
      </c>
      <c r="M357" s="45">
        <f t="shared" si="62"/>
        <v>80</v>
      </c>
      <c r="N357" s="45">
        <f t="shared" si="62"/>
        <v>0</v>
      </c>
      <c r="O357" s="45">
        <f t="shared" si="62"/>
        <v>80</v>
      </c>
    </row>
    <row r="358" spans="1:16" ht="47.25" x14ac:dyDescent="0.2">
      <c r="A358" s="40"/>
      <c r="B358" s="41" t="s">
        <v>89</v>
      </c>
      <c r="C358" s="42" t="s">
        <v>51</v>
      </c>
      <c r="D358" s="43" t="s">
        <v>399</v>
      </c>
      <c r="E358" s="43" t="s">
        <v>90</v>
      </c>
      <c r="F358" s="44" t="s">
        <v>11</v>
      </c>
      <c r="G358" s="45">
        <f t="shared" si="62"/>
        <v>80</v>
      </c>
      <c r="H358" s="45">
        <f t="shared" si="62"/>
        <v>0</v>
      </c>
      <c r="I358" s="45">
        <f t="shared" si="62"/>
        <v>80</v>
      </c>
      <c r="J358" s="46">
        <f t="shared" si="62"/>
        <v>0</v>
      </c>
      <c r="K358" s="45">
        <f>K359</f>
        <v>0</v>
      </c>
      <c r="L358" s="46">
        <f t="shared" si="62"/>
        <v>0</v>
      </c>
      <c r="M358" s="45">
        <f t="shared" si="62"/>
        <v>80</v>
      </c>
      <c r="N358" s="45">
        <f t="shared" si="62"/>
        <v>0</v>
      </c>
      <c r="O358" s="45">
        <f t="shared" si="62"/>
        <v>80</v>
      </c>
    </row>
    <row r="359" spans="1:16" ht="78.75" x14ac:dyDescent="0.2">
      <c r="A359" s="40"/>
      <c r="B359" s="41" t="s">
        <v>91</v>
      </c>
      <c r="C359" s="42" t="s">
        <v>51</v>
      </c>
      <c r="D359" s="43" t="s">
        <v>399</v>
      </c>
      <c r="E359" s="43" t="s">
        <v>92</v>
      </c>
      <c r="F359" s="44" t="s">
        <v>11</v>
      </c>
      <c r="G359" s="45">
        <f t="shared" si="62"/>
        <v>80</v>
      </c>
      <c r="H359" s="45">
        <f t="shared" si="62"/>
        <v>0</v>
      </c>
      <c r="I359" s="45">
        <f t="shared" si="62"/>
        <v>80</v>
      </c>
      <c r="J359" s="46">
        <f t="shared" si="62"/>
        <v>0</v>
      </c>
      <c r="K359" s="45">
        <f>K360</f>
        <v>0</v>
      </c>
      <c r="L359" s="46">
        <f t="shared" si="62"/>
        <v>0</v>
      </c>
      <c r="M359" s="45">
        <f t="shared" si="62"/>
        <v>80</v>
      </c>
      <c r="N359" s="45">
        <f t="shared" si="62"/>
        <v>0</v>
      </c>
      <c r="O359" s="45">
        <f t="shared" si="62"/>
        <v>80</v>
      </c>
    </row>
    <row r="360" spans="1:16" ht="47.25" x14ac:dyDescent="0.2">
      <c r="A360" s="40"/>
      <c r="B360" s="41" t="s">
        <v>93</v>
      </c>
      <c r="C360" s="42" t="s">
        <v>51</v>
      </c>
      <c r="D360" s="43" t="s">
        <v>399</v>
      </c>
      <c r="E360" s="43" t="s">
        <v>94</v>
      </c>
      <c r="F360" s="44" t="s">
        <v>11</v>
      </c>
      <c r="G360" s="45">
        <f>G361</f>
        <v>80</v>
      </c>
      <c r="H360" s="45"/>
      <c r="I360" s="45">
        <f>I361</f>
        <v>80</v>
      </c>
      <c r="J360" s="46">
        <f t="shared" si="62"/>
        <v>0</v>
      </c>
      <c r="K360" s="45"/>
      <c r="L360" s="46">
        <f t="shared" si="62"/>
        <v>0</v>
      </c>
      <c r="M360" s="45">
        <f t="shared" si="62"/>
        <v>80</v>
      </c>
      <c r="N360" s="45">
        <f t="shared" si="62"/>
        <v>0</v>
      </c>
      <c r="O360" s="45">
        <f t="shared" si="62"/>
        <v>80</v>
      </c>
    </row>
    <row r="361" spans="1:16" ht="30.6" customHeight="1" x14ac:dyDescent="0.2">
      <c r="A361" s="40"/>
      <c r="B361" s="41" t="s">
        <v>95</v>
      </c>
      <c r="C361" s="42" t="s">
        <v>51</v>
      </c>
      <c r="D361" s="43" t="s">
        <v>399</v>
      </c>
      <c r="E361" s="43" t="s">
        <v>94</v>
      </c>
      <c r="F361" s="44" t="s">
        <v>96</v>
      </c>
      <c r="G361" s="45">
        <v>80</v>
      </c>
      <c r="H361" s="25"/>
      <c r="I361" s="45">
        <v>80</v>
      </c>
      <c r="J361" s="47">
        <v>0</v>
      </c>
      <c r="K361" s="25"/>
      <c r="L361" s="47">
        <v>0</v>
      </c>
      <c r="M361" s="45">
        <v>80</v>
      </c>
      <c r="N361" s="45"/>
      <c r="O361" s="45">
        <v>80</v>
      </c>
    </row>
    <row r="362" spans="1:16" ht="15.75" x14ac:dyDescent="0.2">
      <c r="A362" s="20" t="s">
        <v>416</v>
      </c>
      <c r="B362" s="21" t="s">
        <v>417</v>
      </c>
      <c r="C362" s="22" t="s">
        <v>51</v>
      </c>
      <c r="D362" s="23" t="s">
        <v>418</v>
      </c>
      <c r="E362" s="23" t="s">
        <v>11</v>
      </c>
      <c r="F362" s="24" t="s">
        <v>11</v>
      </c>
      <c r="G362" s="25">
        <f>G363+G369+G375+G381</f>
        <v>11586.2</v>
      </c>
      <c r="H362" s="38">
        <f>H363</f>
        <v>0</v>
      </c>
      <c r="I362" s="25">
        <f>I363+I369+I375+I381</f>
        <v>11586.2</v>
      </c>
      <c r="J362" s="26">
        <f>J363+J369+J375+J381</f>
        <v>3074.2</v>
      </c>
      <c r="K362" s="38">
        <f>K363</f>
        <v>0</v>
      </c>
      <c r="L362" s="26">
        <f>L363+L369+L375+L381</f>
        <v>3074.2</v>
      </c>
      <c r="M362" s="25">
        <f>M363+M369+M375+M381</f>
        <v>14660.4</v>
      </c>
      <c r="N362" s="25">
        <f>N363+N369+N375+N381</f>
        <v>0</v>
      </c>
      <c r="O362" s="25">
        <f>O363+O369+O375+O381</f>
        <v>14660.4</v>
      </c>
      <c r="P362" s="17"/>
    </row>
    <row r="363" spans="1:16" ht="15.75" x14ac:dyDescent="0.2">
      <c r="A363" s="33" t="s">
        <v>419</v>
      </c>
      <c r="B363" s="34" t="s">
        <v>420</v>
      </c>
      <c r="C363" s="35" t="s">
        <v>51</v>
      </c>
      <c r="D363" s="36" t="s">
        <v>421</v>
      </c>
      <c r="E363" s="36" t="s">
        <v>11</v>
      </c>
      <c r="F363" s="37" t="s">
        <v>11</v>
      </c>
      <c r="G363" s="38">
        <f>G364</f>
        <v>4040</v>
      </c>
      <c r="H363" s="45">
        <f>H364</f>
        <v>0</v>
      </c>
      <c r="I363" s="38">
        <f>I364</f>
        <v>4040</v>
      </c>
      <c r="J363" s="39">
        <f t="shared" ref="J363:O367" si="63">J364</f>
        <v>0</v>
      </c>
      <c r="K363" s="45">
        <f>K364</f>
        <v>0</v>
      </c>
      <c r="L363" s="39">
        <f t="shared" si="63"/>
        <v>0</v>
      </c>
      <c r="M363" s="38">
        <f t="shared" si="63"/>
        <v>4040</v>
      </c>
      <c r="N363" s="38">
        <f t="shared" si="63"/>
        <v>0</v>
      </c>
      <c r="O363" s="38">
        <f t="shared" si="63"/>
        <v>4040</v>
      </c>
    </row>
    <row r="364" spans="1:16" ht="31.5" x14ac:dyDescent="0.2">
      <c r="A364" s="40"/>
      <c r="B364" s="41" t="s">
        <v>87</v>
      </c>
      <c r="C364" s="42" t="s">
        <v>51</v>
      </c>
      <c r="D364" s="43" t="s">
        <v>421</v>
      </c>
      <c r="E364" s="43" t="s">
        <v>88</v>
      </c>
      <c r="F364" s="44" t="s">
        <v>11</v>
      </c>
      <c r="G364" s="45">
        <f>G365</f>
        <v>4040</v>
      </c>
      <c r="H364" s="45">
        <f>H365</f>
        <v>0</v>
      </c>
      <c r="I364" s="45">
        <f>I365</f>
        <v>4040</v>
      </c>
      <c r="J364" s="46">
        <f t="shared" si="63"/>
        <v>0</v>
      </c>
      <c r="K364" s="45">
        <f>K365</f>
        <v>0</v>
      </c>
      <c r="L364" s="46">
        <f t="shared" si="63"/>
        <v>0</v>
      </c>
      <c r="M364" s="45">
        <f t="shared" si="63"/>
        <v>4040</v>
      </c>
      <c r="N364" s="45">
        <f t="shared" si="63"/>
        <v>0</v>
      </c>
      <c r="O364" s="45">
        <f t="shared" si="63"/>
        <v>4040</v>
      </c>
    </row>
    <row r="365" spans="1:16" ht="31.5" x14ac:dyDescent="0.2">
      <c r="A365" s="40"/>
      <c r="B365" s="41" t="s">
        <v>422</v>
      </c>
      <c r="C365" s="42" t="s">
        <v>51</v>
      </c>
      <c r="D365" s="43" t="s">
        <v>421</v>
      </c>
      <c r="E365" s="43" t="s">
        <v>423</v>
      </c>
      <c r="F365" s="44" t="s">
        <v>11</v>
      </c>
      <c r="G365" s="45">
        <f>G366</f>
        <v>4040</v>
      </c>
      <c r="H365" s="45">
        <f>H366</f>
        <v>0</v>
      </c>
      <c r="I365" s="45">
        <f>I366</f>
        <v>4040</v>
      </c>
      <c r="J365" s="46">
        <f t="shared" si="63"/>
        <v>0</v>
      </c>
      <c r="K365" s="45">
        <f>K366</f>
        <v>0</v>
      </c>
      <c r="L365" s="46">
        <f t="shared" si="63"/>
        <v>0</v>
      </c>
      <c r="M365" s="45">
        <f t="shared" si="63"/>
        <v>4040</v>
      </c>
      <c r="N365" s="45">
        <f t="shared" si="63"/>
        <v>0</v>
      </c>
      <c r="O365" s="45">
        <f t="shared" si="63"/>
        <v>4040</v>
      </c>
    </row>
    <row r="366" spans="1:16" ht="47.25" x14ac:dyDescent="0.2">
      <c r="A366" s="40"/>
      <c r="B366" s="41" t="s">
        <v>424</v>
      </c>
      <c r="C366" s="42" t="s">
        <v>51</v>
      </c>
      <c r="D366" s="43" t="s">
        <v>421</v>
      </c>
      <c r="E366" s="43" t="s">
        <v>425</v>
      </c>
      <c r="F366" s="44" t="s">
        <v>11</v>
      </c>
      <c r="G366" s="45">
        <f>G367</f>
        <v>4040</v>
      </c>
      <c r="H366" s="45">
        <f>H367</f>
        <v>0</v>
      </c>
      <c r="I366" s="45">
        <f>I367</f>
        <v>4040</v>
      </c>
      <c r="J366" s="46">
        <f t="shared" si="63"/>
        <v>0</v>
      </c>
      <c r="K366" s="45">
        <f>K367</f>
        <v>0</v>
      </c>
      <c r="L366" s="46">
        <f t="shared" si="63"/>
        <v>0</v>
      </c>
      <c r="M366" s="45">
        <f t="shared" si="63"/>
        <v>4040</v>
      </c>
      <c r="N366" s="45">
        <f t="shared" si="63"/>
        <v>0</v>
      </c>
      <c r="O366" s="45">
        <f t="shared" si="63"/>
        <v>4040</v>
      </c>
    </row>
    <row r="367" spans="1:16" ht="33" customHeight="1" x14ac:dyDescent="0.2">
      <c r="A367" s="40"/>
      <c r="B367" s="41" t="s">
        <v>426</v>
      </c>
      <c r="C367" s="42" t="s">
        <v>51</v>
      </c>
      <c r="D367" s="43" t="s">
        <v>421</v>
      </c>
      <c r="E367" s="43" t="s">
        <v>427</v>
      </c>
      <c r="F367" s="44" t="s">
        <v>11</v>
      </c>
      <c r="G367" s="45">
        <f>G368</f>
        <v>4040</v>
      </c>
      <c r="H367" s="45"/>
      <c r="I367" s="45">
        <f>I368</f>
        <v>4040</v>
      </c>
      <c r="J367" s="46">
        <f t="shared" si="63"/>
        <v>0</v>
      </c>
      <c r="K367" s="45"/>
      <c r="L367" s="46">
        <f t="shared" si="63"/>
        <v>0</v>
      </c>
      <c r="M367" s="45">
        <f t="shared" si="63"/>
        <v>4040</v>
      </c>
      <c r="N367" s="45">
        <f t="shared" si="63"/>
        <v>0</v>
      </c>
      <c r="O367" s="45">
        <f t="shared" si="63"/>
        <v>4040</v>
      </c>
    </row>
    <row r="368" spans="1:16" ht="31.5" x14ac:dyDescent="0.2">
      <c r="A368" s="40"/>
      <c r="B368" s="41" t="s">
        <v>112</v>
      </c>
      <c r="C368" s="42" t="s">
        <v>51</v>
      </c>
      <c r="D368" s="43" t="s">
        <v>421</v>
      </c>
      <c r="E368" s="43" t="s">
        <v>427</v>
      </c>
      <c r="F368" s="44" t="s">
        <v>113</v>
      </c>
      <c r="G368" s="45">
        <v>4040</v>
      </c>
      <c r="H368" s="38"/>
      <c r="I368" s="45">
        <v>4040</v>
      </c>
      <c r="J368" s="47">
        <v>0</v>
      </c>
      <c r="K368" s="38"/>
      <c r="L368" s="47">
        <v>0</v>
      </c>
      <c r="M368" s="45">
        <v>4040</v>
      </c>
      <c r="N368" s="45"/>
      <c r="O368" s="45">
        <v>4040</v>
      </c>
    </row>
    <row r="369" spans="1:15" ht="15.75" x14ac:dyDescent="0.2">
      <c r="A369" s="33" t="s">
        <v>428</v>
      </c>
      <c r="B369" s="34" t="s">
        <v>429</v>
      </c>
      <c r="C369" s="35" t="s">
        <v>51</v>
      </c>
      <c r="D369" s="36" t="s">
        <v>430</v>
      </c>
      <c r="E369" s="36" t="s">
        <v>11</v>
      </c>
      <c r="F369" s="37" t="s">
        <v>11</v>
      </c>
      <c r="G369" s="38">
        <f t="shared" ref="G369:O373" si="64">G370</f>
        <v>4496</v>
      </c>
      <c r="H369" s="45">
        <f t="shared" si="64"/>
        <v>0</v>
      </c>
      <c r="I369" s="38">
        <f t="shared" si="64"/>
        <v>4496</v>
      </c>
      <c r="J369" s="39">
        <f t="shared" si="64"/>
        <v>0</v>
      </c>
      <c r="K369" s="45">
        <f>K370</f>
        <v>0</v>
      </c>
      <c r="L369" s="39">
        <f t="shared" si="64"/>
        <v>0</v>
      </c>
      <c r="M369" s="38">
        <f t="shared" si="64"/>
        <v>4496</v>
      </c>
      <c r="N369" s="38">
        <f t="shared" si="64"/>
        <v>0</v>
      </c>
      <c r="O369" s="38">
        <f t="shared" si="64"/>
        <v>4496</v>
      </c>
    </row>
    <row r="370" spans="1:15" ht="31.5" x14ac:dyDescent="0.2">
      <c r="A370" s="40"/>
      <c r="B370" s="41" t="s">
        <v>87</v>
      </c>
      <c r="C370" s="42" t="s">
        <v>51</v>
      </c>
      <c r="D370" s="43" t="s">
        <v>430</v>
      </c>
      <c r="E370" s="43" t="s">
        <v>88</v>
      </c>
      <c r="F370" s="44" t="s">
        <v>11</v>
      </c>
      <c r="G370" s="45">
        <f t="shared" si="64"/>
        <v>4496</v>
      </c>
      <c r="H370" s="45">
        <f t="shared" si="64"/>
        <v>0</v>
      </c>
      <c r="I370" s="45">
        <f t="shared" si="64"/>
        <v>4496</v>
      </c>
      <c r="J370" s="46">
        <f t="shared" si="64"/>
        <v>0</v>
      </c>
      <c r="K370" s="45">
        <f>K371</f>
        <v>0</v>
      </c>
      <c r="L370" s="46">
        <f t="shared" si="64"/>
        <v>0</v>
      </c>
      <c r="M370" s="45">
        <f t="shared" si="64"/>
        <v>4496</v>
      </c>
      <c r="N370" s="45">
        <f t="shared" si="64"/>
        <v>0</v>
      </c>
      <c r="O370" s="45">
        <f t="shared" si="64"/>
        <v>4496</v>
      </c>
    </row>
    <row r="371" spans="1:15" ht="31.5" x14ac:dyDescent="0.2">
      <c r="A371" s="40"/>
      <c r="B371" s="41" t="s">
        <v>422</v>
      </c>
      <c r="C371" s="42" t="s">
        <v>51</v>
      </c>
      <c r="D371" s="43" t="s">
        <v>430</v>
      </c>
      <c r="E371" s="43" t="s">
        <v>423</v>
      </c>
      <c r="F371" s="44" t="s">
        <v>11</v>
      </c>
      <c r="G371" s="45">
        <f t="shared" si="64"/>
        <v>4496</v>
      </c>
      <c r="H371" s="45">
        <f t="shared" si="64"/>
        <v>0</v>
      </c>
      <c r="I371" s="45">
        <f t="shared" si="64"/>
        <v>4496</v>
      </c>
      <c r="J371" s="46">
        <f t="shared" si="64"/>
        <v>0</v>
      </c>
      <c r="K371" s="45">
        <f>K372</f>
        <v>0</v>
      </c>
      <c r="L371" s="46">
        <f t="shared" si="64"/>
        <v>0</v>
      </c>
      <c r="M371" s="45">
        <f t="shared" si="64"/>
        <v>4496</v>
      </c>
      <c r="N371" s="45">
        <f t="shared" si="64"/>
        <v>0</v>
      </c>
      <c r="O371" s="45">
        <f t="shared" si="64"/>
        <v>4496</v>
      </c>
    </row>
    <row r="372" spans="1:15" ht="31.5" x14ac:dyDescent="0.2">
      <c r="A372" s="40"/>
      <c r="B372" s="41" t="s">
        <v>431</v>
      </c>
      <c r="C372" s="42" t="s">
        <v>51</v>
      </c>
      <c r="D372" s="43" t="s">
        <v>430</v>
      </c>
      <c r="E372" s="43" t="s">
        <v>432</v>
      </c>
      <c r="F372" s="44" t="s">
        <v>11</v>
      </c>
      <c r="G372" s="45">
        <f t="shared" si="64"/>
        <v>4496</v>
      </c>
      <c r="H372" s="45">
        <f t="shared" si="64"/>
        <v>0</v>
      </c>
      <c r="I372" s="45">
        <f t="shared" si="64"/>
        <v>4496</v>
      </c>
      <c r="J372" s="46">
        <f t="shared" si="64"/>
        <v>0</v>
      </c>
      <c r="K372" s="45">
        <f>K373</f>
        <v>0</v>
      </c>
      <c r="L372" s="46">
        <f t="shared" si="64"/>
        <v>0</v>
      </c>
      <c r="M372" s="45">
        <f t="shared" si="64"/>
        <v>4496</v>
      </c>
      <c r="N372" s="45">
        <f t="shared" si="64"/>
        <v>0</v>
      </c>
      <c r="O372" s="45">
        <f t="shared" si="64"/>
        <v>4496</v>
      </c>
    </row>
    <row r="373" spans="1:15" ht="21" customHeight="1" x14ac:dyDescent="0.2">
      <c r="A373" s="40"/>
      <c r="B373" s="41" t="s">
        <v>433</v>
      </c>
      <c r="C373" s="42" t="s">
        <v>51</v>
      </c>
      <c r="D373" s="43" t="s">
        <v>430</v>
      </c>
      <c r="E373" s="43" t="s">
        <v>434</v>
      </c>
      <c r="F373" s="44" t="s">
        <v>11</v>
      </c>
      <c r="G373" s="45">
        <f>G374</f>
        <v>4496</v>
      </c>
      <c r="H373" s="45"/>
      <c r="I373" s="45">
        <f>I374</f>
        <v>4496</v>
      </c>
      <c r="J373" s="46">
        <f t="shared" si="64"/>
        <v>0</v>
      </c>
      <c r="K373" s="45"/>
      <c r="L373" s="46">
        <f t="shared" si="64"/>
        <v>0</v>
      </c>
      <c r="M373" s="45">
        <f t="shared" si="64"/>
        <v>4496</v>
      </c>
      <c r="N373" s="45">
        <f t="shared" si="64"/>
        <v>0</v>
      </c>
      <c r="O373" s="45">
        <f t="shared" si="64"/>
        <v>4496</v>
      </c>
    </row>
    <row r="374" spans="1:15" ht="31.5" x14ac:dyDescent="0.2">
      <c r="A374" s="40"/>
      <c r="B374" s="41" t="s">
        <v>112</v>
      </c>
      <c r="C374" s="42" t="s">
        <v>51</v>
      </c>
      <c r="D374" s="43" t="s">
        <v>430</v>
      </c>
      <c r="E374" s="43" t="s">
        <v>434</v>
      </c>
      <c r="F374" s="44" t="s">
        <v>113</v>
      </c>
      <c r="G374" s="45">
        <v>4496</v>
      </c>
      <c r="H374" s="38"/>
      <c r="I374" s="45">
        <v>4496</v>
      </c>
      <c r="J374" s="47">
        <v>0</v>
      </c>
      <c r="K374" s="38"/>
      <c r="L374" s="47">
        <v>0</v>
      </c>
      <c r="M374" s="45">
        <v>4496</v>
      </c>
      <c r="N374" s="45"/>
      <c r="O374" s="45">
        <v>4496</v>
      </c>
    </row>
    <row r="375" spans="1:15" ht="15.75" x14ac:dyDescent="0.2">
      <c r="A375" s="33" t="s">
        <v>435</v>
      </c>
      <c r="B375" s="34" t="s">
        <v>436</v>
      </c>
      <c r="C375" s="35" t="s">
        <v>51</v>
      </c>
      <c r="D375" s="36" t="s">
        <v>437</v>
      </c>
      <c r="E375" s="36" t="s">
        <v>11</v>
      </c>
      <c r="F375" s="37" t="s">
        <v>11</v>
      </c>
      <c r="G375" s="38">
        <f t="shared" ref="G375:O379" si="65">G376</f>
        <v>2930.2</v>
      </c>
      <c r="H375" s="45">
        <f t="shared" si="65"/>
        <v>0</v>
      </c>
      <c r="I375" s="38">
        <f t="shared" si="65"/>
        <v>2930.2</v>
      </c>
      <c r="J375" s="39">
        <f t="shared" si="65"/>
        <v>3074.2</v>
      </c>
      <c r="K375" s="45">
        <f>K376</f>
        <v>0</v>
      </c>
      <c r="L375" s="39">
        <f t="shared" si="65"/>
        <v>3074.2</v>
      </c>
      <c r="M375" s="38">
        <f t="shared" si="65"/>
        <v>6004.4</v>
      </c>
      <c r="N375" s="38">
        <f t="shared" si="65"/>
        <v>0</v>
      </c>
      <c r="O375" s="38">
        <f t="shared" si="65"/>
        <v>6004.4</v>
      </c>
    </row>
    <row r="376" spans="1:15" ht="31.5" x14ac:dyDescent="0.2">
      <c r="A376" s="40"/>
      <c r="B376" s="41" t="s">
        <v>245</v>
      </c>
      <c r="C376" s="42" t="s">
        <v>51</v>
      </c>
      <c r="D376" s="43" t="s">
        <v>437</v>
      </c>
      <c r="E376" s="43" t="s">
        <v>246</v>
      </c>
      <c r="F376" s="44" t="s">
        <v>11</v>
      </c>
      <c r="G376" s="45">
        <f t="shared" si="65"/>
        <v>2930.2</v>
      </c>
      <c r="H376" s="45">
        <f t="shared" si="65"/>
        <v>0</v>
      </c>
      <c r="I376" s="45">
        <f t="shared" si="65"/>
        <v>2930.2</v>
      </c>
      <c r="J376" s="46">
        <f t="shared" si="65"/>
        <v>3074.2</v>
      </c>
      <c r="K376" s="45">
        <f>K377</f>
        <v>0</v>
      </c>
      <c r="L376" s="46">
        <f t="shared" si="65"/>
        <v>3074.2</v>
      </c>
      <c r="M376" s="45">
        <f t="shared" si="65"/>
        <v>6004.4</v>
      </c>
      <c r="N376" s="45">
        <f t="shared" si="65"/>
        <v>0</v>
      </c>
      <c r="O376" s="45">
        <f t="shared" si="65"/>
        <v>6004.4</v>
      </c>
    </row>
    <row r="377" spans="1:15" ht="31.5" x14ac:dyDescent="0.2">
      <c r="A377" s="40"/>
      <c r="B377" s="41" t="s">
        <v>438</v>
      </c>
      <c r="C377" s="42" t="s">
        <v>51</v>
      </c>
      <c r="D377" s="43" t="s">
        <v>437</v>
      </c>
      <c r="E377" s="43" t="s">
        <v>439</v>
      </c>
      <c r="F377" s="44" t="s">
        <v>11</v>
      </c>
      <c r="G377" s="45">
        <f t="shared" si="65"/>
        <v>2930.2</v>
      </c>
      <c r="H377" s="45">
        <f t="shared" si="65"/>
        <v>0</v>
      </c>
      <c r="I377" s="45">
        <f t="shared" si="65"/>
        <v>2930.2</v>
      </c>
      <c r="J377" s="46">
        <f t="shared" si="65"/>
        <v>3074.2</v>
      </c>
      <c r="K377" s="45">
        <f>K378</f>
        <v>0</v>
      </c>
      <c r="L377" s="46">
        <f t="shared" si="65"/>
        <v>3074.2</v>
      </c>
      <c r="M377" s="45">
        <f t="shared" si="65"/>
        <v>6004.4</v>
      </c>
      <c r="N377" s="45">
        <f t="shared" si="65"/>
        <v>0</v>
      </c>
      <c r="O377" s="45">
        <f t="shared" si="65"/>
        <v>6004.4</v>
      </c>
    </row>
    <row r="378" spans="1:15" ht="31.5" x14ac:dyDescent="0.2">
      <c r="A378" s="40"/>
      <c r="B378" s="41" t="s">
        <v>440</v>
      </c>
      <c r="C378" s="42" t="s">
        <v>51</v>
      </c>
      <c r="D378" s="43" t="s">
        <v>437</v>
      </c>
      <c r="E378" s="43" t="s">
        <v>441</v>
      </c>
      <c r="F378" s="44" t="s">
        <v>11</v>
      </c>
      <c r="G378" s="45">
        <f t="shared" si="65"/>
        <v>2930.2</v>
      </c>
      <c r="H378" s="45">
        <f t="shared" si="65"/>
        <v>0</v>
      </c>
      <c r="I378" s="45">
        <f t="shared" si="65"/>
        <v>2930.2</v>
      </c>
      <c r="J378" s="46">
        <f t="shared" si="65"/>
        <v>3074.2</v>
      </c>
      <c r="K378" s="45">
        <f>K379</f>
        <v>0</v>
      </c>
      <c r="L378" s="46">
        <f t="shared" si="65"/>
        <v>3074.2</v>
      </c>
      <c r="M378" s="45">
        <f t="shared" si="65"/>
        <v>6004.4</v>
      </c>
      <c r="N378" s="45">
        <f t="shared" si="65"/>
        <v>0</v>
      </c>
      <c r="O378" s="45">
        <f t="shared" si="65"/>
        <v>6004.4</v>
      </c>
    </row>
    <row r="379" spans="1:15" ht="31.5" x14ac:dyDescent="0.2">
      <c r="A379" s="40"/>
      <c r="B379" s="41" t="s">
        <v>442</v>
      </c>
      <c r="C379" s="42" t="s">
        <v>51</v>
      </c>
      <c r="D379" s="43" t="s">
        <v>437</v>
      </c>
      <c r="E379" s="43" t="s">
        <v>443</v>
      </c>
      <c r="F379" s="44" t="s">
        <v>11</v>
      </c>
      <c r="G379" s="45">
        <f>G380</f>
        <v>2930.2</v>
      </c>
      <c r="H379" s="45"/>
      <c r="I379" s="45">
        <f>I380</f>
        <v>2930.2</v>
      </c>
      <c r="J379" s="46">
        <f t="shared" si="65"/>
        <v>3074.2</v>
      </c>
      <c r="K379" s="45"/>
      <c r="L379" s="46">
        <f t="shared" si="65"/>
        <v>3074.2</v>
      </c>
      <c r="M379" s="45">
        <f t="shared" si="65"/>
        <v>6004.4</v>
      </c>
      <c r="N379" s="45">
        <f t="shared" si="65"/>
        <v>0</v>
      </c>
      <c r="O379" s="45">
        <f t="shared" si="65"/>
        <v>6004.4</v>
      </c>
    </row>
    <row r="380" spans="1:15" ht="31.5" x14ac:dyDescent="0.2">
      <c r="A380" s="40"/>
      <c r="B380" s="41" t="s">
        <v>112</v>
      </c>
      <c r="C380" s="42" t="s">
        <v>51</v>
      </c>
      <c r="D380" s="43" t="s">
        <v>437</v>
      </c>
      <c r="E380" s="43" t="s">
        <v>443</v>
      </c>
      <c r="F380" s="44" t="s">
        <v>113</v>
      </c>
      <c r="G380" s="45">
        <v>2930.2</v>
      </c>
      <c r="H380" s="38"/>
      <c r="I380" s="45">
        <v>2930.2</v>
      </c>
      <c r="J380" s="47">
        <v>3074.2</v>
      </c>
      <c r="K380" s="38"/>
      <c r="L380" s="47">
        <v>3074.2</v>
      </c>
      <c r="M380" s="45">
        <f>2930.2+J380</f>
        <v>6004.4</v>
      </c>
      <c r="N380" s="45"/>
      <c r="O380" s="45">
        <f>2930.2+L380</f>
        <v>6004.4</v>
      </c>
    </row>
    <row r="381" spans="1:15" ht="15.75" x14ac:dyDescent="0.2">
      <c r="A381" s="33" t="s">
        <v>444</v>
      </c>
      <c r="B381" s="34" t="s">
        <v>445</v>
      </c>
      <c r="C381" s="35" t="s">
        <v>51</v>
      </c>
      <c r="D381" s="36" t="s">
        <v>446</v>
      </c>
      <c r="E381" s="36" t="s">
        <v>11</v>
      </c>
      <c r="F381" s="37" t="s">
        <v>11</v>
      </c>
      <c r="G381" s="38">
        <f t="shared" ref="G381:O385" si="66">G382</f>
        <v>120</v>
      </c>
      <c r="H381" s="45">
        <f t="shared" si="66"/>
        <v>0</v>
      </c>
      <c r="I381" s="38">
        <f t="shared" si="66"/>
        <v>120</v>
      </c>
      <c r="J381" s="39">
        <f t="shared" si="66"/>
        <v>0</v>
      </c>
      <c r="K381" s="45">
        <f>K382</f>
        <v>0</v>
      </c>
      <c r="L381" s="39">
        <f t="shared" si="66"/>
        <v>0</v>
      </c>
      <c r="M381" s="38">
        <f t="shared" si="66"/>
        <v>120</v>
      </c>
      <c r="N381" s="38">
        <f t="shared" si="66"/>
        <v>0</v>
      </c>
      <c r="O381" s="38">
        <f t="shared" si="66"/>
        <v>120</v>
      </c>
    </row>
    <row r="382" spans="1:15" ht="31.5" x14ac:dyDescent="0.2">
      <c r="A382" s="40"/>
      <c r="B382" s="41" t="s">
        <v>87</v>
      </c>
      <c r="C382" s="42" t="s">
        <v>51</v>
      </c>
      <c r="D382" s="43" t="s">
        <v>446</v>
      </c>
      <c r="E382" s="43" t="s">
        <v>88</v>
      </c>
      <c r="F382" s="44" t="s">
        <v>11</v>
      </c>
      <c r="G382" s="45">
        <f t="shared" si="66"/>
        <v>120</v>
      </c>
      <c r="H382" s="45">
        <f t="shared" si="66"/>
        <v>0</v>
      </c>
      <c r="I382" s="45">
        <f t="shared" si="66"/>
        <v>120</v>
      </c>
      <c r="J382" s="46">
        <f t="shared" si="66"/>
        <v>0</v>
      </c>
      <c r="K382" s="45">
        <f>K383</f>
        <v>0</v>
      </c>
      <c r="L382" s="46">
        <f t="shared" si="66"/>
        <v>0</v>
      </c>
      <c r="M382" s="45">
        <f t="shared" si="66"/>
        <v>120</v>
      </c>
      <c r="N382" s="45">
        <f t="shared" si="66"/>
        <v>0</v>
      </c>
      <c r="O382" s="45">
        <f t="shared" si="66"/>
        <v>120</v>
      </c>
    </row>
    <row r="383" spans="1:15" ht="47.25" x14ac:dyDescent="0.2">
      <c r="A383" s="40"/>
      <c r="B383" s="41" t="s">
        <v>89</v>
      </c>
      <c r="C383" s="42" t="s">
        <v>51</v>
      </c>
      <c r="D383" s="43" t="s">
        <v>446</v>
      </c>
      <c r="E383" s="43" t="s">
        <v>90</v>
      </c>
      <c r="F383" s="44" t="s">
        <v>11</v>
      </c>
      <c r="G383" s="45">
        <f t="shared" si="66"/>
        <v>120</v>
      </c>
      <c r="H383" s="45">
        <f t="shared" si="66"/>
        <v>0</v>
      </c>
      <c r="I383" s="45">
        <f t="shared" si="66"/>
        <v>120</v>
      </c>
      <c r="J383" s="46">
        <f t="shared" si="66"/>
        <v>0</v>
      </c>
      <c r="K383" s="45">
        <f>K384</f>
        <v>0</v>
      </c>
      <c r="L383" s="46">
        <f t="shared" si="66"/>
        <v>0</v>
      </c>
      <c r="M383" s="45">
        <f t="shared" si="66"/>
        <v>120</v>
      </c>
      <c r="N383" s="45">
        <f t="shared" si="66"/>
        <v>0</v>
      </c>
      <c r="O383" s="45">
        <f t="shared" si="66"/>
        <v>120</v>
      </c>
    </row>
    <row r="384" spans="1:15" ht="78.75" x14ac:dyDescent="0.2">
      <c r="A384" s="40"/>
      <c r="B384" s="41" t="s">
        <v>91</v>
      </c>
      <c r="C384" s="42" t="s">
        <v>51</v>
      </c>
      <c r="D384" s="43" t="s">
        <v>446</v>
      </c>
      <c r="E384" s="43" t="s">
        <v>92</v>
      </c>
      <c r="F384" s="44" t="s">
        <v>11</v>
      </c>
      <c r="G384" s="45">
        <f t="shared" si="66"/>
        <v>120</v>
      </c>
      <c r="H384" s="45">
        <f t="shared" si="66"/>
        <v>0</v>
      </c>
      <c r="I384" s="45">
        <f t="shared" si="66"/>
        <v>120</v>
      </c>
      <c r="J384" s="46">
        <f t="shared" si="66"/>
        <v>0</v>
      </c>
      <c r="K384" s="45">
        <f>K385</f>
        <v>0</v>
      </c>
      <c r="L384" s="46">
        <f t="shared" si="66"/>
        <v>0</v>
      </c>
      <c r="M384" s="45">
        <f t="shared" si="66"/>
        <v>120</v>
      </c>
      <c r="N384" s="45">
        <f t="shared" si="66"/>
        <v>0</v>
      </c>
      <c r="O384" s="45">
        <f t="shared" si="66"/>
        <v>120</v>
      </c>
    </row>
    <row r="385" spans="1:15" ht="47.25" x14ac:dyDescent="0.2">
      <c r="A385" s="40"/>
      <c r="B385" s="41" t="s">
        <v>93</v>
      </c>
      <c r="C385" s="42" t="s">
        <v>51</v>
      </c>
      <c r="D385" s="43" t="s">
        <v>446</v>
      </c>
      <c r="E385" s="43" t="s">
        <v>94</v>
      </c>
      <c r="F385" s="44" t="s">
        <v>11</v>
      </c>
      <c r="G385" s="45">
        <f>G386</f>
        <v>120</v>
      </c>
      <c r="H385" s="45"/>
      <c r="I385" s="45">
        <f>I386</f>
        <v>120</v>
      </c>
      <c r="J385" s="46">
        <f t="shared" si="66"/>
        <v>0</v>
      </c>
      <c r="K385" s="45"/>
      <c r="L385" s="46">
        <f t="shared" si="66"/>
        <v>0</v>
      </c>
      <c r="M385" s="45">
        <f t="shared" si="66"/>
        <v>120</v>
      </c>
      <c r="N385" s="45">
        <f t="shared" si="66"/>
        <v>0</v>
      </c>
      <c r="O385" s="45">
        <f t="shared" si="66"/>
        <v>120</v>
      </c>
    </row>
    <row r="386" spans="1:15" ht="33.6" customHeight="1" x14ac:dyDescent="0.2">
      <c r="A386" s="40"/>
      <c r="B386" s="41" t="s">
        <v>95</v>
      </c>
      <c r="C386" s="42" t="s">
        <v>51</v>
      </c>
      <c r="D386" s="43" t="s">
        <v>446</v>
      </c>
      <c r="E386" s="43" t="s">
        <v>94</v>
      </c>
      <c r="F386" s="44" t="s">
        <v>96</v>
      </c>
      <c r="G386" s="45">
        <v>120</v>
      </c>
      <c r="H386" s="25"/>
      <c r="I386" s="45">
        <v>120</v>
      </c>
      <c r="J386" s="47">
        <v>0</v>
      </c>
      <c r="K386" s="25"/>
      <c r="L386" s="47">
        <v>0</v>
      </c>
      <c r="M386" s="45">
        <v>120</v>
      </c>
      <c r="N386" s="45"/>
      <c r="O386" s="45">
        <v>120</v>
      </c>
    </row>
    <row r="387" spans="1:15" ht="15.75" x14ac:dyDescent="0.2">
      <c r="A387" s="20" t="s">
        <v>447</v>
      </c>
      <c r="B387" s="21" t="s">
        <v>448</v>
      </c>
      <c r="C387" s="22" t="s">
        <v>51</v>
      </c>
      <c r="D387" s="23" t="s">
        <v>449</v>
      </c>
      <c r="E387" s="23" t="s">
        <v>11</v>
      </c>
      <c r="F387" s="24" t="s">
        <v>11</v>
      </c>
      <c r="G387" s="25">
        <f>G388</f>
        <v>1863.8</v>
      </c>
      <c r="H387" s="38">
        <f>H388+H393</f>
        <v>0</v>
      </c>
      <c r="I387" s="25">
        <f>I388</f>
        <v>1863.8</v>
      </c>
      <c r="J387" s="26">
        <f>J388</f>
        <v>0</v>
      </c>
      <c r="K387" s="38">
        <f>K388+K393</f>
        <v>0</v>
      </c>
      <c r="L387" s="26">
        <f>L388</f>
        <v>0</v>
      </c>
      <c r="M387" s="25">
        <f>M388</f>
        <v>1863.8</v>
      </c>
      <c r="N387" s="25">
        <f>N388</f>
        <v>0</v>
      </c>
      <c r="O387" s="25">
        <f>O388</f>
        <v>1863.8</v>
      </c>
    </row>
    <row r="388" spans="1:15" ht="15.75" x14ac:dyDescent="0.2">
      <c r="A388" s="33" t="s">
        <v>450</v>
      </c>
      <c r="B388" s="34" t="s">
        <v>451</v>
      </c>
      <c r="C388" s="35" t="s">
        <v>51</v>
      </c>
      <c r="D388" s="36" t="s">
        <v>452</v>
      </c>
      <c r="E388" s="36" t="s">
        <v>11</v>
      </c>
      <c r="F388" s="37" t="s">
        <v>11</v>
      </c>
      <c r="G388" s="38">
        <f>G389+G394</f>
        <v>1863.8</v>
      </c>
      <c r="H388" s="45">
        <f t="shared" ref="G388:O390" si="67">H389</f>
        <v>0</v>
      </c>
      <c r="I388" s="38">
        <f>I389+I394</f>
        <v>1863.8</v>
      </c>
      <c r="J388" s="39">
        <f>J389+J394</f>
        <v>0</v>
      </c>
      <c r="K388" s="45">
        <f t="shared" si="67"/>
        <v>0</v>
      </c>
      <c r="L388" s="39">
        <f>L389+L394</f>
        <v>0</v>
      </c>
      <c r="M388" s="38">
        <f>M389+M394</f>
        <v>1863.8</v>
      </c>
      <c r="N388" s="38">
        <f>N389+N394</f>
        <v>0</v>
      </c>
      <c r="O388" s="38">
        <f>O389+O394</f>
        <v>1863.8</v>
      </c>
    </row>
    <row r="389" spans="1:15" ht="31.5" x14ac:dyDescent="0.2">
      <c r="A389" s="40"/>
      <c r="B389" s="41" t="s">
        <v>453</v>
      </c>
      <c r="C389" s="42" t="s">
        <v>51</v>
      </c>
      <c r="D389" s="43" t="s">
        <v>452</v>
      </c>
      <c r="E389" s="43" t="s">
        <v>454</v>
      </c>
      <c r="F389" s="44" t="s">
        <v>11</v>
      </c>
      <c r="G389" s="45">
        <f t="shared" si="67"/>
        <v>1813.8</v>
      </c>
      <c r="H389" s="45">
        <f t="shared" si="67"/>
        <v>0</v>
      </c>
      <c r="I389" s="45">
        <f t="shared" si="67"/>
        <v>1813.8</v>
      </c>
      <c r="J389" s="46">
        <f t="shared" si="67"/>
        <v>0</v>
      </c>
      <c r="K389" s="45">
        <f t="shared" si="67"/>
        <v>0</v>
      </c>
      <c r="L389" s="46">
        <f t="shared" si="67"/>
        <v>0</v>
      </c>
      <c r="M389" s="45">
        <f t="shared" si="67"/>
        <v>1813.8</v>
      </c>
      <c r="N389" s="45">
        <f t="shared" si="67"/>
        <v>0</v>
      </c>
      <c r="O389" s="45">
        <f t="shared" si="67"/>
        <v>1813.8</v>
      </c>
    </row>
    <row r="390" spans="1:15" ht="63" x14ac:dyDescent="0.2">
      <c r="A390" s="40"/>
      <c r="B390" s="41" t="s">
        <v>455</v>
      </c>
      <c r="C390" s="42" t="s">
        <v>51</v>
      </c>
      <c r="D390" s="43" t="s">
        <v>452</v>
      </c>
      <c r="E390" s="43" t="s">
        <v>456</v>
      </c>
      <c r="F390" s="44" t="s">
        <v>11</v>
      </c>
      <c r="G390" s="45">
        <f t="shared" si="67"/>
        <v>1813.8</v>
      </c>
      <c r="H390" s="45">
        <f>H391+H392</f>
        <v>0</v>
      </c>
      <c r="I390" s="45">
        <f t="shared" si="67"/>
        <v>1813.8</v>
      </c>
      <c r="J390" s="46">
        <f t="shared" si="67"/>
        <v>0</v>
      </c>
      <c r="K390" s="45">
        <f>K391+K392</f>
        <v>0</v>
      </c>
      <c r="L390" s="46">
        <f t="shared" si="67"/>
        <v>0</v>
      </c>
      <c r="M390" s="45">
        <f t="shared" si="67"/>
        <v>1813.8</v>
      </c>
      <c r="N390" s="45">
        <f t="shared" si="67"/>
        <v>0</v>
      </c>
      <c r="O390" s="45">
        <f t="shared" si="67"/>
        <v>1813.8</v>
      </c>
    </row>
    <row r="391" spans="1:15" ht="47.25" x14ac:dyDescent="0.2">
      <c r="A391" s="40"/>
      <c r="B391" s="41" t="s">
        <v>457</v>
      </c>
      <c r="C391" s="42" t="s">
        <v>51</v>
      </c>
      <c r="D391" s="43" t="s">
        <v>452</v>
      </c>
      <c r="E391" s="43" t="s">
        <v>458</v>
      </c>
      <c r="F391" s="44" t="s">
        <v>11</v>
      </c>
      <c r="G391" s="45">
        <f>G392+G393</f>
        <v>1813.8</v>
      </c>
      <c r="H391" s="45"/>
      <c r="I391" s="45">
        <f>I392+I393</f>
        <v>1813.8</v>
      </c>
      <c r="J391" s="46">
        <f>J392+J393</f>
        <v>0</v>
      </c>
      <c r="K391" s="45"/>
      <c r="L391" s="46">
        <f>L392+L393</f>
        <v>0</v>
      </c>
      <c r="M391" s="45">
        <f>M392+M393</f>
        <v>1813.8</v>
      </c>
      <c r="N391" s="45">
        <f>N392+N393</f>
        <v>0</v>
      </c>
      <c r="O391" s="45">
        <f>O392+O393</f>
        <v>1813.8</v>
      </c>
    </row>
    <row r="392" spans="1:15" ht="31.5" x14ac:dyDescent="0.2">
      <c r="A392" s="40"/>
      <c r="B392" s="41" t="s">
        <v>40</v>
      </c>
      <c r="C392" s="42" t="s">
        <v>51</v>
      </c>
      <c r="D392" s="43" t="s">
        <v>452</v>
      </c>
      <c r="E392" s="43" t="s">
        <v>458</v>
      </c>
      <c r="F392" s="44" t="s">
        <v>41</v>
      </c>
      <c r="G392" s="45">
        <v>300</v>
      </c>
      <c r="H392" s="45"/>
      <c r="I392" s="45">
        <v>300</v>
      </c>
      <c r="J392" s="47">
        <v>0</v>
      </c>
      <c r="K392" s="45"/>
      <c r="L392" s="47">
        <v>0</v>
      </c>
      <c r="M392" s="45">
        <v>300</v>
      </c>
      <c r="N392" s="45"/>
      <c r="O392" s="45">
        <v>300</v>
      </c>
    </row>
    <row r="393" spans="1:15" ht="31.5" x14ac:dyDescent="0.2">
      <c r="A393" s="40"/>
      <c r="B393" s="41" t="s">
        <v>112</v>
      </c>
      <c r="C393" s="42" t="s">
        <v>51</v>
      </c>
      <c r="D393" s="43" t="s">
        <v>452</v>
      </c>
      <c r="E393" s="43" t="s">
        <v>458</v>
      </c>
      <c r="F393" s="44" t="s">
        <v>113</v>
      </c>
      <c r="G393" s="45">
        <v>1513.8</v>
      </c>
      <c r="H393" s="45"/>
      <c r="I393" s="45">
        <v>1513.8</v>
      </c>
      <c r="J393" s="47">
        <v>0</v>
      </c>
      <c r="K393" s="45"/>
      <c r="L393" s="47">
        <v>0</v>
      </c>
      <c r="M393" s="45">
        <v>1513.8</v>
      </c>
      <c r="N393" s="45"/>
      <c r="O393" s="45">
        <v>1513.8</v>
      </c>
    </row>
    <row r="394" spans="1:15" ht="15.75" x14ac:dyDescent="0.2">
      <c r="A394" s="40"/>
      <c r="B394" s="41" t="s">
        <v>459</v>
      </c>
      <c r="C394" s="42" t="s">
        <v>51</v>
      </c>
      <c r="D394" s="43" t="s">
        <v>452</v>
      </c>
      <c r="E394" s="43" t="s">
        <v>460</v>
      </c>
      <c r="F394" s="44" t="s">
        <v>11</v>
      </c>
      <c r="G394" s="45">
        <f t="shared" ref="G394:O396" si="68">G395</f>
        <v>50</v>
      </c>
      <c r="H394" s="45">
        <f t="shared" si="68"/>
        <v>0</v>
      </c>
      <c r="I394" s="45">
        <f t="shared" si="68"/>
        <v>50</v>
      </c>
      <c r="J394" s="46">
        <f t="shared" si="68"/>
        <v>0</v>
      </c>
      <c r="K394" s="45">
        <f>K395</f>
        <v>0</v>
      </c>
      <c r="L394" s="46">
        <f t="shared" si="68"/>
        <v>0</v>
      </c>
      <c r="M394" s="45">
        <f t="shared" si="68"/>
        <v>50</v>
      </c>
      <c r="N394" s="45">
        <f t="shared" si="68"/>
        <v>0</v>
      </c>
      <c r="O394" s="45">
        <f t="shared" si="68"/>
        <v>50</v>
      </c>
    </row>
    <row r="395" spans="1:15" ht="63" x14ac:dyDescent="0.2">
      <c r="A395" s="40"/>
      <c r="B395" s="41" t="s">
        <v>461</v>
      </c>
      <c r="C395" s="42" t="s">
        <v>51</v>
      </c>
      <c r="D395" s="43" t="s">
        <v>452</v>
      </c>
      <c r="E395" s="43" t="s">
        <v>462</v>
      </c>
      <c r="F395" s="44" t="s">
        <v>11</v>
      </c>
      <c r="G395" s="45">
        <f t="shared" si="68"/>
        <v>50</v>
      </c>
      <c r="H395" s="45">
        <f t="shared" si="68"/>
        <v>0</v>
      </c>
      <c r="I395" s="45">
        <f t="shared" si="68"/>
        <v>50</v>
      </c>
      <c r="J395" s="46">
        <f t="shared" si="68"/>
        <v>0</v>
      </c>
      <c r="K395" s="45">
        <f>K396</f>
        <v>0</v>
      </c>
      <c r="L395" s="46">
        <f t="shared" si="68"/>
        <v>0</v>
      </c>
      <c r="M395" s="45">
        <f t="shared" si="68"/>
        <v>50</v>
      </c>
      <c r="N395" s="45">
        <f t="shared" si="68"/>
        <v>0</v>
      </c>
      <c r="O395" s="45">
        <f t="shared" si="68"/>
        <v>50</v>
      </c>
    </row>
    <row r="396" spans="1:15" ht="31.5" x14ac:dyDescent="0.2">
      <c r="A396" s="40"/>
      <c r="B396" s="41" t="s">
        <v>463</v>
      </c>
      <c r="C396" s="42" t="s">
        <v>51</v>
      </c>
      <c r="D396" s="43" t="s">
        <v>452</v>
      </c>
      <c r="E396" s="43" t="s">
        <v>464</v>
      </c>
      <c r="F396" s="44" t="s">
        <v>11</v>
      </c>
      <c r="G396" s="45">
        <f>G397</f>
        <v>50</v>
      </c>
      <c r="H396" s="45"/>
      <c r="I396" s="45">
        <f>I397</f>
        <v>50</v>
      </c>
      <c r="J396" s="46">
        <f t="shared" si="68"/>
        <v>0</v>
      </c>
      <c r="K396" s="45"/>
      <c r="L396" s="46">
        <f t="shared" si="68"/>
        <v>0</v>
      </c>
      <c r="M396" s="45">
        <f t="shared" si="68"/>
        <v>50</v>
      </c>
      <c r="N396" s="45">
        <f t="shared" si="68"/>
        <v>0</v>
      </c>
      <c r="O396" s="45">
        <f t="shared" si="68"/>
        <v>50</v>
      </c>
    </row>
    <row r="397" spans="1:15" ht="31.5" x14ac:dyDescent="0.2">
      <c r="A397" s="40"/>
      <c r="B397" s="41" t="s">
        <v>40</v>
      </c>
      <c r="C397" s="42" t="s">
        <v>51</v>
      </c>
      <c r="D397" s="43" t="s">
        <v>452</v>
      </c>
      <c r="E397" s="43" t="s">
        <v>464</v>
      </c>
      <c r="F397" s="44" t="s">
        <v>41</v>
      </c>
      <c r="G397" s="45">
        <v>50</v>
      </c>
      <c r="H397" s="25"/>
      <c r="I397" s="45">
        <v>50</v>
      </c>
      <c r="J397" s="47"/>
      <c r="K397" s="25">
        <f t="shared" ref="G397:O403" si="69">K398</f>
        <v>0</v>
      </c>
      <c r="L397" s="47"/>
      <c r="M397" s="45">
        <v>50</v>
      </c>
      <c r="N397" s="45"/>
      <c r="O397" s="45">
        <v>50</v>
      </c>
    </row>
    <row r="398" spans="1:15" ht="31.5" x14ac:dyDescent="0.2">
      <c r="A398" s="20" t="s">
        <v>465</v>
      </c>
      <c r="B398" s="21" t="s">
        <v>466</v>
      </c>
      <c r="C398" s="22" t="s">
        <v>51</v>
      </c>
      <c r="D398" s="23" t="s">
        <v>467</v>
      </c>
      <c r="E398" s="23" t="s">
        <v>11</v>
      </c>
      <c r="F398" s="24" t="s">
        <v>11</v>
      </c>
      <c r="G398" s="25">
        <f t="shared" si="69"/>
        <v>10.5</v>
      </c>
      <c r="H398" s="38">
        <f t="shared" si="69"/>
        <v>0</v>
      </c>
      <c r="I398" s="25">
        <f t="shared" si="69"/>
        <v>10.5</v>
      </c>
      <c r="J398" s="26">
        <f t="shared" si="69"/>
        <v>0</v>
      </c>
      <c r="K398" s="38">
        <f t="shared" si="69"/>
        <v>0</v>
      </c>
      <c r="L398" s="26">
        <f t="shared" si="69"/>
        <v>0</v>
      </c>
      <c r="M398" s="25">
        <f t="shared" si="69"/>
        <v>10.5</v>
      </c>
      <c r="N398" s="25">
        <f t="shared" si="69"/>
        <v>0</v>
      </c>
      <c r="O398" s="76">
        <f t="shared" si="69"/>
        <v>10.5</v>
      </c>
    </row>
    <row r="399" spans="1:15" ht="31.5" x14ac:dyDescent="0.2">
      <c r="A399" s="33" t="s">
        <v>468</v>
      </c>
      <c r="B399" s="34" t="s">
        <v>469</v>
      </c>
      <c r="C399" s="35" t="s">
        <v>51</v>
      </c>
      <c r="D399" s="36" t="s">
        <v>470</v>
      </c>
      <c r="E399" s="36" t="s">
        <v>11</v>
      </c>
      <c r="F399" s="37" t="s">
        <v>11</v>
      </c>
      <c r="G399" s="38">
        <f t="shared" si="69"/>
        <v>10.5</v>
      </c>
      <c r="H399" s="45">
        <f t="shared" si="69"/>
        <v>0</v>
      </c>
      <c r="I399" s="38">
        <f t="shared" si="69"/>
        <v>10.5</v>
      </c>
      <c r="J399" s="39">
        <f t="shared" si="69"/>
        <v>0</v>
      </c>
      <c r="K399" s="45">
        <f t="shared" si="69"/>
        <v>0</v>
      </c>
      <c r="L399" s="39">
        <f t="shared" si="69"/>
        <v>0</v>
      </c>
      <c r="M399" s="38">
        <f t="shared" si="69"/>
        <v>10.5</v>
      </c>
      <c r="N399" s="38">
        <f t="shared" si="69"/>
        <v>0</v>
      </c>
      <c r="O399" s="38">
        <f t="shared" si="69"/>
        <v>10.5</v>
      </c>
    </row>
    <row r="400" spans="1:15" ht="31.5" x14ac:dyDescent="0.2">
      <c r="A400" s="40"/>
      <c r="B400" s="41" t="s">
        <v>128</v>
      </c>
      <c r="C400" s="42" t="s">
        <v>51</v>
      </c>
      <c r="D400" s="43" t="s">
        <v>470</v>
      </c>
      <c r="E400" s="43" t="s">
        <v>129</v>
      </c>
      <c r="F400" s="44" t="s">
        <v>11</v>
      </c>
      <c r="G400" s="45">
        <f t="shared" si="69"/>
        <v>10.5</v>
      </c>
      <c r="H400" s="45">
        <f t="shared" si="69"/>
        <v>0</v>
      </c>
      <c r="I400" s="45">
        <f t="shared" si="69"/>
        <v>10.5</v>
      </c>
      <c r="J400" s="46">
        <f t="shared" si="69"/>
        <v>0</v>
      </c>
      <c r="K400" s="45">
        <f t="shared" si="69"/>
        <v>0</v>
      </c>
      <c r="L400" s="46">
        <f t="shared" si="69"/>
        <v>0</v>
      </c>
      <c r="M400" s="45">
        <f t="shared" si="69"/>
        <v>10.5</v>
      </c>
      <c r="N400" s="45">
        <f t="shared" si="69"/>
        <v>0</v>
      </c>
      <c r="O400" s="45">
        <f t="shared" si="69"/>
        <v>10.5</v>
      </c>
    </row>
    <row r="401" spans="1:16" ht="15.75" x14ac:dyDescent="0.2">
      <c r="A401" s="40"/>
      <c r="B401" s="41" t="s">
        <v>141</v>
      </c>
      <c r="C401" s="42" t="s">
        <v>51</v>
      </c>
      <c r="D401" s="43" t="s">
        <v>470</v>
      </c>
      <c r="E401" s="43" t="s">
        <v>142</v>
      </c>
      <c r="F401" s="44" t="s">
        <v>11</v>
      </c>
      <c r="G401" s="45">
        <f t="shared" si="69"/>
        <v>10.5</v>
      </c>
      <c r="H401" s="45">
        <f t="shared" si="69"/>
        <v>0</v>
      </c>
      <c r="I401" s="45">
        <f t="shared" si="69"/>
        <v>10.5</v>
      </c>
      <c r="J401" s="46">
        <f t="shared" si="69"/>
        <v>0</v>
      </c>
      <c r="K401" s="45">
        <f t="shared" si="69"/>
        <v>0</v>
      </c>
      <c r="L401" s="46">
        <f t="shared" si="69"/>
        <v>0</v>
      </c>
      <c r="M401" s="45">
        <f t="shared" si="69"/>
        <v>10.5</v>
      </c>
      <c r="N401" s="45">
        <f t="shared" si="69"/>
        <v>0</v>
      </c>
      <c r="O401" s="45">
        <f t="shared" si="69"/>
        <v>10.5</v>
      </c>
    </row>
    <row r="402" spans="1:16" ht="47.25" x14ac:dyDescent="0.2">
      <c r="A402" s="40"/>
      <c r="B402" s="41" t="s">
        <v>143</v>
      </c>
      <c r="C402" s="42" t="s">
        <v>51</v>
      </c>
      <c r="D402" s="43" t="s">
        <v>470</v>
      </c>
      <c r="E402" s="43" t="s">
        <v>144</v>
      </c>
      <c r="F402" s="44" t="s">
        <v>11</v>
      </c>
      <c r="G402" s="45">
        <f t="shared" si="69"/>
        <v>10.5</v>
      </c>
      <c r="H402" s="45">
        <f>SUM(H403)</f>
        <v>0</v>
      </c>
      <c r="I402" s="45">
        <f t="shared" si="69"/>
        <v>10.5</v>
      </c>
      <c r="J402" s="46">
        <f t="shared" si="69"/>
        <v>0</v>
      </c>
      <c r="K402" s="45">
        <f t="shared" si="69"/>
        <v>0</v>
      </c>
      <c r="L402" s="46">
        <f t="shared" si="69"/>
        <v>0</v>
      </c>
      <c r="M402" s="45">
        <f t="shared" si="69"/>
        <v>10.5</v>
      </c>
      <c r="N402" s="45">
        <f t="shared" si="69"/>
        <v>0</v>
      </c>
      <c r="O402" s="45">
        <f t="shared" si="69"/>
        <v>10.5</v>
      </c>
    </row>
    <row r="403" spans="1:16" ht="15.75" x14ac:dyDescent="0.2">
      <c r="A403" s="40"/>
      <c r="B403" s="41" t="s">
        <v>471</v>
      </c>
      <c r="C403" s="42" t="s">
        <v>51</v>
      </c>
      <c r="D403" s="43" t="s">
        <v>470</v>
      </c>
      <c r="E403" s="43" t="s">
        <v>472</v>
      </c>
      <c r="F403" s="44" t="s">
        <v>11</v>
      </c>
      <c r="G403" s="45">
        <f t="shared" si="69"/>
        <v>10.5</v>
      </c>
      <c r="H403" s="45">
        <f t="shared" si="69"/>
        <v>0</v>
      </c>
      <c r="I403" s="45">
        <f t="shared" si="69"/>
        <v>10.5</v>
      </c>
      <c r="J403" s="46">
        <f t="shared" si="69"/>
        <v>0</v>
      </c>
      <c r="K403" s="48"/>
      <c r="L403" s="46">
        <f t="shared" si="69"/>
        <v>0</v>
      </c>
      <c r="M403" s="45">
        <f t="shared" si="69"/>
        <v>10.5</v>
      </c>
      <c r="N403" s="45">
        <f t="shared" si="69"/>
        <v>0</v>
      </c>
      <c r="O403" s="45">
        <f t="shared" si="69"/>
        <v>10.5</v>
      </c>
    </row>
    <row r="404" spans="1:16" ht="31.5" x14ac:dyDescent="0.2">
      <c r="A404" s="40"/>
      <c r="B404" s="41" t="s">
        <v>473</v>
      </c>
      <c r="C404" s="42" t="s">
        <v>51</v>
      </c>
      <c r="D404" s="43" t="s">
        <v>470</v>
      </c>
      <c r="E404" s="43" t="s">
        <v>472</v>
      </c>
      <c r="F404" s="44" t="s">
        <v>474</v>
      </c>
      <c r="G404" s="48">
        <v>10.5</v>
      </c>
      <c r="H404" s="25"/>
      <c r="I404" s="48">
        <v>10.5</v>
      </c>
      <c r="J404" s="47">
        <v>0</v>
      </c>
      <c r="K404" s="25"/>
      <c r="L404" s="47">
        <v>0</v>
      </c>
      <c r="M404" s="48">
        <f>SUM(G404)</f>
        <v>10.5</v>
      </c>
      <c r="N404" s="48">
        <f>SUM(H404)</f>
        <v>0</v>
      </c>
      <c r="O404" s="48">
        <f>SUM(I404)</f>
        <v>10.5</v>
      </c>
    </row>
    <row r="405" spans="1:16" ht="31.5" x14ac:dyDescent="0.2">
      <c r="A405" s="20" t="s">
        <v>475</v>
      </c>
      <c r="B405" s="21" t="s">
        <v>476</v>
      </c>
      <c r="C405" s="22" t="s">
        <v>477</v>
      </c>
      <c r="D405" s="23" t="s">
        <v>11</v>
      </c>
      <c r="E405" s="23" t="s">
        <v>11</v>
      </c>
      <c r="F405" s="24" t="s">
        <v>11</v>
      </c>
      <c r="G405" s="25">
        <f>G406</f>
        <v>137499.9</v>
      </c>
      <c r="H405" s="25">
        <f>H406+H432+H438</f>
        <v>0</v>
      </c>
      <c r="I405" s="25">
        <f>I406</f>
        <v>138099.9</v>
      </c>
      <c r="J405" s="26">
        <f>J406</f>
        <v>5408.7</v>
      </c>
      <c r="K405" s="25">
        <f>K406+K432+K438</f>
        <v>0</v>
      </c>
      <c r="L405" s="26">
        <f>L406</f>
        <v>5408.7</v>
      </c>
      <c r="M405" s="25">
        <f>M406</f>
        <v>142908.6</v>
      </c>
      <c r="N405" s="25">
        <f>N406</f>
        <v>600</v>
      </c>
      <c r="O405" s="76">
        <f>O406</f>
        <v>143508.6</v>
      </c>
      <c r="P405" s="18"/>
    </row>
    <row r="406" spans="1:16" ht="15.75" x14ac:dyDescent="0.2">
      <c r="A406" s="20" t="s">
        <v>478</v>
      </c>
      <c r="B406" s="21" t="s">
        <v>479</v>
      </c>
      <c r="C406" s="22" t="s">
        <v>477</v>
      </c>
      <c r="D406" s="23" t="s">
        <v>480</v>
      </c>
      <c r="E406" s="23" t="s">
        <v>11</v>
      </c>
      <c r="F406" s="24" t="s">
        <v>11</v>
      </c>
      <c r="G406" s="25">
        <f>G407+G433+G441</f>
        <v>137499.9</v>
      </c>
      <c r="H406" s="38">
        <f>H407+H441</f>
        <v>0</v>
      </c>
      <c r="I406" s="25">
        <f>I407+I433+I441</f>
        <v>138099.9</v>
      </c>
      <c r="J406" s="26">
        <f>J407+J433+J441</f>
        <v>5408.7</v>
      </c>
      <c r="K406" s="38">
        <f>K407</f>
        <v>0</v>
      </c>
      <c r="L406" s="26">
        <f>L407+L433+L441</f>
        <v>5408.7</v>
      </c>
      <c r="M406" s="25">
        <f>M407+M433+M441</f>
        <v>142908.6</v>
      </c>
      <c r="N406" s="25">
        <f>N407+N433+N441</f>
        <v>600</v>
      </c>
      <c r="O406" s="25">
        <f>O407+O433+O441</f>
        <v>143508.6</v>
      </c>
      <c r="P406" s="17"/>
    </row>
    <row r="407" spans="1:16" ht="15.75" x14ac:dyDescent="0.2">
      <c r="A407" s="33" t="s">
        <v>481</v>
      </c>
      <c r="B407" s="34" t="s">
        <v>482</v>
      </c>
      <c r="C407" s="35" t="s">
        <v>477</v>
      </c>
      <c r="D407" s="36" t="s">
        <v>483</v>
      </c>
      <c r="E407" s="36" t="s">
        <v>11</v>
      </c>
      <c r="F407" s="37" t="s">
        <v>11</v>
      </c>
      <c r="G407" s="38">
        <f>G408</f>
        <v>110456.5</v>
      </c>
      <c r="H407" s="45">
        <f>H408+H416</f>
        <v>0</v>
      </c>
      <c r="I407" s="38">
        <f>I408</f>
        <v>110456.5</v>
      </c>
      <c r="J407" s="39">
        <f>J408</f>
        <v>5408.7</v>
      </c>
      <c r="K407" s="45">
        <f>K408+K416</f>
        <v>0</v>
      </c>
      <c r="L407" s="39">
        <f>L408</f>
        <v>5408.7</v>
      </c>
      <c r="M407" s="38">
        <f>M408</f>
        <v>115865.2</v>
      </c>
      <c r="N407" s="38">
        <f>N408</f>
        <v>0</v>
      </c>
      <c r="O407" s="38">
        <f>O408</f>
        <v>115865.2</v>
      </c>
      <c r="P407" s="15"/>
    </row>
    <row r="408" spans="1:16" ht="31.5" x14ac:dyDescent="0.2">
      <c r="A408" s="40"/>
      <c r="B408" s="41" t="s">
        <v>484</v>
      </c>
      <c r="C408" s="42" t="s">
        <v>477</v>
      </c>
      <c r="D408" s="43" t="s">
        <v>483</v>
      </c>
      <c r="E408" s="43" t="s">
        <v>485</v>
      </c>
      <c r="F408" s="44" t="s">
        <v>11</v>
      </c>
      <c r="G408" s="45">
        <f>G409+G417</f>
        <v>110456.5</v>
      </c>
      <c r="H408" s="45">
        <f>H409+H424+H419+H426</f>
        <v>0</v>
      </c>
      <c r="I408" s="45">
        <f>I409+I417</f>
        <v>110456.5</v>
      </c>
      <c r="J408" s="46">
        <f>J409+J417</f>
        <v>5408.7</v>
      </c>
      <c r="K408" s="45">
        <f>K409+K417</f>
        <v>0</v>
      </c>
      <c r="L408" s="46">
        <f>L409+L417</f>
        <v>5408.7</v>
      </c>
      <c r="M408" s="45">
        <f>M409+M417</f>
        <v>115865.2</v>
      </c>
      <c r="N408" s="45">
        <f>N409+N424+N419+N426</f>
        <v>0</v>
      </c>
      <c r="O408" s="45">
        <f>O409+O417</f>
        <v>115865.2</v>
      </c>
      <c r="P408" s="16"/>
    </row>
    <row r="409" spans="1:16" ht="15.75" x14ac:dyDescent="0.2">
      <c r="A409" s="40"/>
      <c r="B409" s="41" t="s">
        <v>486</v>
      </c>
      <c r="C409" s="42" t="s">
        <v>477</v>
      </c>
      <c r="D409" s="43" t="s">
        <v>483</v>
      </c>
      <c r="E409" s="43" t="s">
        <v>487</v>
      </c>
      <c r="F409" s="44" t="s">
        <v>11</v>
      </c>
      <c r="G409" s="45">
        <f>G410</f>
        <v>6334.3</v>
      </c>
      <c r="H409" s="45">
        <f>H410+H414</f>
        <v>0</v>
      </c>
      <c r="I409" s="45">
        <f>I410</f>
        <v>6334.3</v>
      </c>
      <c r="J409" s="46">
        <f>J410</f>
        <v>0</v>
      </c>
      <c r="K409" s="45">
        <f>K410+K412+K414</f>
        <v>0</v>
      </c>
      <c r="L409" s="46">
        <f>L410</f>
        <v>0</v>
      </c>
      <c r="M409" s="45">
        <f>M410</f>
        <v>6334.3</v>
      </c>
      <c r="N409" s="45">
        <f>N410</f>
        <v>0</v>
      </c>
      <c r="O409" s="45">
        <f>O410</f>
        <v>6334.3</v>
      </c>
    </row>
    <row r="410" spans="1:16" ht="15.75" x14ac:dyDescent="0.2">
      <c r="A410" s="40"/>
      <c r="B410" s="41" t="s">
        <v>488</v>
      </c>
      <c r="C410" s="42" t="s">
        <v>477</v>
      </c>
      <c r="D410" s="43" t="s">
        <v>483</v>
      </c>
      <c r="E410" s="43" t="s">
        <v>489</v>
      </c>
      <c r="F410" s="44" t="s">
        <v>11</v>
      </c>
      <c r="G410" s="45">
        <f>G411+G413+G415</f>
        <v>6334.3</v>
      </c>
      <c r="H410" s="45">
        <f>H411</f>
        <v>0</v>
      </c>
      <c r="I410" s="45">
        <f>I411+I413+I415</f>
        <v>6334.3</v>
      </c>
      <c r="J410" s="46">
        <f>J411+J413+J415</f>
        <v>0</v>
      </c>
      <c r="K410" s="45">
        <f>K411</f>
        <v>0</v>
      </c>
      <c r="L410" s="46">
        <f>L411+L413+L415</f>
        <v>0</v>
      </c>
      <c r="M410" s="45">
        <f>M411+M413+M415</f>
        <v>6334.3</v>
      </c>
      <c r="N410" s="45">
        <f>N411+N413+N415</f>
        <v>0</v>
      </c>
      <c r="O410" s="45">
        <f>O411+O413+O415</f>
        <v>6334.3</v>
      </c>
    </row>
    <row r="411" spans="1:16" ht="15.75" x14ac:dyDescent="0.2">
      <c r="A411" s="40"/>
      <c r="B411" s="41" t="s">
        <v>490</v>
      </c>
      <c r="C411" s="42" t="s">
        <v>477</v>
      </c>
      <c r="D411" s="43" t="s">
        <v>483</v>
      </c>
      <c r="E411" s="43" t="s">
        <v>491</v>
      </c>
      <c r="F411" s="44" t="s">
        <v>11</v>
      </c>
      <c r="G411" s="45">
        <f>G412</f>
        <v>6034.3</v>
      </c>
      <c r="H411" s="45">
        <f>H412</f>
        <v>0</v>
      </c>
      <c r="I411" s="45">
        <f>I412</f>
        <v>6034.3</v>
      </c>
      <c r="J411" s="46">
        <f>J412</f>
        <v>0</v>
      </c>
      <c r="K411" s="45"/>
      <c r="L411" s="46">
        <f>L412</f>
        <v>0</v>
      </c>
      <c r="M411" s="45">
        <f>M412</f>
        <v>6034.3</v>
      </c>
      <c r="N411" s="45">
        <f>N412</f>
        <v>0</v>
      </c>
      <c r="O411" s="45">
        <f>O412</f>
        <v>6034.3</v>
      </c>
    </row>
    <row r="412" spans="1:16" ht="31.5" x14ac:dyDescent="0.2">
      <c r="A412" s="40"/>
      <c r="B412" s="41" t="s">
        <v>40</v>
      </c>
      <c r="C412" s="42" t="s">
        <v>477</v>
      </c>
      <c r="D412" s="43" t="s">
        <v>483</v>
      </c>
      <c r="E412" s="43" t="s">
        <v>491</v>
      </c>
      <c r="F412" s="44" t="s">
        <v>41</v>
      </c>
      <c r="G412" s="45">
        <v>6034.3</v>
      </c>
      <c r="H412" s="45"/>
      <c r="I412" s="45">
        <f>SUM(G412+H412)</f>
        <v>6034.3</v>
      </c>
      <c r="J412" s="47">
        <v>0</v>
      </c>
      <c r="K412" s="45"/>
      <c r="L412" s="47">
        <v>0</v>
      </c>
      <c r="M412" s="45">
        <f>SUM(G412)</f>
        <v>6034.3</v>
      </c>
      <c r="N412" s="45">
        <f>SUM(H412)</f>
        <v>0</v>
      </c>
      <c r="O412" s="45">
        <f>SUM(M412+N412)</f>
        <v>6034.3</v>
      </c>
    </row>
    <row r="413" spans="1:16" ht="15.75" x14ac:dyDescent="0.2">
      <c r="A413" s="40"/>
      <c r="B413" s="41" t="s">
        <v>492</v>
      </c>
      <c r="C413" s="42" t="s">
        <v>477</v>
      </c>
      <c r="D413" s="43" t="s">
        <v>483</v>
      </c>
      <c r="E413" s="43" t="s">
        <v>493</v>
      </c>
      <c r="F413" s="44" t="s">
        <v>11</v>
      </c>
      <c r="G413" s="45">
        <f>G414</f>
        <v>300</v>
      </c>
      <c r="H413" s="45"/>
      <c r="I413" s="45">
        <f>I414</f>
        <v>300</v>
      </c>
      <c r="J413" s="46">
        <f>J414</f>
        <v>0</v>
      </c>
      <c r="K413" s="45"/>
      <c r="L413" s="46">
        <f>L414</f>
        <v>0</v>
      </c>
      <c r="M413" s="45">
        <f>M414</f>
        <v>300</v>
      </c>
      <c r="N413" s="45">
        <f>N414</f>
        <v>0</v>
      </c>
      <c r="O413" s="45">
        <f>O414</f>
        <v>300</v>
      </c>
    </row>
    <row r="414" spans="1:16" ht="31.5" x14ac:dyDescent="0.2">
      <c r="A414" s="40"/>
      <c r="B414" s="41" t="s">
        <v>40</v>
      </c>
      <c r="C414" s="42" t="s">
        <v>477</v>
      </c>
      <c r="D414" s="43" t="s">
        <v>483</v>
      </c>
      <c r="E414" s="43" t="s">
        <v>493</v>
      </c>
      <c r="F414" s="44" t="s">
        <v>41</v>
      </c>
      <c r="G414" s="45">
        <f>300000/1000</f>
        <v>300</v>
      </c>
      <c r="H414" s="45"/>
      <c r="I414" s="45">
        <f>300000/1000</f>
        <v>300</v>
      </c>
      <c r="J414" s="47">
        <v>0</v>
      </c>
      <c r="K414" s="45"/>
      <c r="L414" s="47">
        <v>0</v>
      </c>
      <c r="M414" s="45">
        <f>300000/1000</f>
        <v>300</v>
      </c>
      <c r="N414" s="45"/>
      <c r="O414" s="45">
        <f>300000/1000</f>
        <v>300</v>
      </c>
    </row>
    <row r="415" spans="1:16" ht="15.75" x14ac:dyDescent="0.2">
      <c r="A415" s="40"/>
      <c r="B415" s="41" t="s">
        <v>378</v>
      </c>
      <c r="C415" s="42" t="s">
        <v>477</v>
      </c>
      <c r="D415" s="43" t="s">
        <v>483</v>
      </c>
      <c r="E415" s="43" t="s">
        <v>494</v>
      </c>
      <c r="F415" s="44" t="s">
        <v>11</v>
      </c>
      <c r="G415" s="45">
        <f>G416</f>
        <v>0</v>
      </c>
      <c r="H415" s="45"/>
      <c r="I415" s="45">
        <f>I416</f>
        <v>0</v>
      </c>
      <c r="J415" s="46">
        <f>J416</f>
        <v>0</v>
      </c>
      <c r="K415" s="45"/>
      <c r="L415" s="46">
        <f>L416</f>
        <v>0</v>
      </c>
      <c r="M415" s="45">
        <f>M416</f>
        <v>0</v>
      </c>
      <c r="N415" s="45">
        <f>N416</f>
        <v>0</v>
      </c>
      <c r="O415" s="45">
        <f>O416</f>
        <v>0</v>
      </c>
    </row>
    <row r="416" spans="1:16" ht="31.5" x14ac:dyDescent="0.2">
      <c r="A416" s="40"/>
      <c r="B416" s="41" t="s">
        <v>40</v>
      </c>
      <c r="C416" s="42" t="s">
        <v>477</v>
      </c>
      <c r="D416" s="43" t="s">
        <v>483</v>
      </c>
      <c r="E416" s="43" t="s">
        <v>494</v>
      </c>
      <c r="F416" s="44" t="s">
        <v>41</v>
      </c>
      <c r="G416" s="45"/>
      <c r="H416" s="45"/>
      <c r="I416" s="45"/>
      <c r="J416" s="47">
        <v>0</v>
      </c>
      <c r="K416" s="45"/>
      <c r="L416" s="47">
        <v>0</v>
      </c>
      <c r="M416" s="45"/>
      <c r="N416" s="45"/>
      <c r="O416" s="45"/>
    </row>
    <row r="417" spans="1:16" ht="47.25" x14ac:dyDescent="0.2">
      <c r="A417" s="40"/>
      <c r="B417" s="41" t="s">
        <v>495</v>
      </c>
      <c r="C417" s="42" t="s">
        <v>477</v>
      </c>
      <c r="D417" s="43" t="s">
        <v>483</v>
      </c>
      <c r="E417" s="43" t="s">
        <v>496</v>
      </c>
      <c r="F417" s="44" t="s">
        <v>11</v>
      </c>
      <c r="G417" s="45">
        <f>G418</f>
        <v>104122.2</v>
      </c>
      <c r="H417" s="45">
        <f>H418+H423+H427+H430</f>
        <v>0</v>
      </c>
      <c r="I417" s="45">
        <f>I418</f>
        <v>104122.2</v>
      </c>
      <c r="J417" s="46">
        <f>J418</f>
        <v>5408.7</v>
      </c>
      <c r="K417" s="45">
        <f>K418+K423+K427+K430</f>
        <v>0</v>
      </c>
      <c r="L417" s="46">
        <f>L418</f>
        <v>5408.7</v>
      </c>
      <c r="M417" s="45">
        <f>M418+M424</f>
        <v>109530.9</v>
      </c>
      <c r="N417" s="45">
        <f>N418</f>
        <v>0</v>
      </c>
      <c r="O417" s="80">
        <f>O418</f>
        <v>109530.9</v>
      </c>
      <c r="P417" s="16"/>
    </row>
    <row r="418" spans="1:16" ht="47.25" x14ac:dyDescent="0.2">
      <c r="A418" s="40"/>
      <c r="B418" s="41" t="s">
        <v>497</v>
      </c>
      <c r="C418" s="42" t="s">
        <v>477</v>
      </c>
      <c r="D418" s="43" t="s">
        <v>483</v>
      </c>
      <c r="E418" s="43" t="s">
        <v>498</v>
      </c>
      <c r="F418" s="44" t="s">
        <v>11</v>
      </c>
      <c r="G418" s="45">
        <f>G419+G426+G428+G431+G424</f>
        <v>104122.2</v>
      </c>
      <c r="H418" s="45">
        <f>SUM(H419)</f>
        <v>0</v>
      </c>
      <c r="I418" s="45">
        <f>I419+I426+I428+I431+I424</f>
        <v>104122.2</v>
      </c>
      <c r="J418" s="46">
        <f>J419+J426+J428+J431+J424</f>
        <v>5408.7</v>
      </c>
      <c r="K418" s="45">
        <f>K419+K420+K421+K422+K424</f>
        <v>0</v>
      </c>
      <c r="L418" s="46">
        <f>L419+L426+L428+L431+L424</f>
        <v>5408.7</v>
      </c>
      <c r="M418" s="45">
        <f>M419+M426+M428+M431</f>
        <v>108082</v>
      </c>
      <c r="N418" s="45">
        <f>SUM(N419)</f>
        <v>0</v>
      </c>
      <c r="O418" s="45">
        <f>SUM(I417+L417)</f>
        <v>109530.9</v>
      </c>
      <c r="P418" s="16"/>
    </row>
    <row r="419" spans="1:16" ht="31.5" x14ac:dyDescent="0.2">
      <c r="A419" s="40"/>
      <c r="B419" s="41" t="s">
        <v>134</v>
      </c>
      <c r="C419" s="42" t="s">
        <v>477</v>
      </c>
      <c r="D419" s="43" t="s">
        <v>483</v>
      </c>
      <c r="E419" s="43" t="s">
        <v>499</v>
      </c>
      <c r="F419" s="44" t="s">
        <v>11</v>
      </c>
      <c r="G419" s="45">
        <f>G420+G421+G422+G423</f>
        <v>99978.700000000012</v>
      </c>
      <c r="H419" s="45">
        <f>SUM(H421)+H422</f>
        <v>0</v>
      </c>
      <c r="I419" s="45">
        <f>I420+I421+I422+I423</f>
        <v>99978.700000000012</v>
      </c>
      <c r="J419" s="46">
        <f>J420+J421+J422+J423</f>
        <v>0</v>
      </c>
      <c r="K419" s="45"/>
      <c r="L419" s="46">
        <f>L420+L421+L422+L423</f>
        <v>0</v>
      </c>
      <c r="M419" s="45">
        <f>M420+M421+M422+M423</f>
        <v>99978.700000000012</v>
      </c>
      <c r="N419" s="45">
        <f>N420+N421+N422+N423</f>
        <v>0</v>
      </c>
      <c r="O419" s="45">
        <f>O420+O421+O422+O423</f>
        <v>99978.700000000012</v>
      </c>
    </row>
    <row r="420" spans="1:16" ht="78.75" x14ac:dyDescent="0.2">
      <c r="A420" s="40"/>
      <c r="B420" s="41" t="s">
        <v>61</v>
      </c>
      <c r="C420" s="42" t="s">
        <v>477</v>
      </c>
      <c r="D420" s="43" t="s">
        <v>483</v>
      </c>
      <c r="E420" s="43" t="s">
        <v>499</v>
      </c>
      <c r="F420" s="44" t="s">
        <v>62</v>
      </c>
      <c r="G420" s="45">
        <f>16503800/1000</f>
        <v>16503.8</v>
      </c>
      <c r="H420" s="45"/>
      <c r="I420" s="45">
        <f>16503800/1000</f>
        <v>16503.8</v>
      </c>
      <c r="J420" s="47">
        <v>0</v>
      </c>
      <c r="K420" s="45"/>
      <c r="L420" s="47">
        <v>0</v>
      </c>
      <c r="M420" s="45">
        <f>16503800/1000</f>
        <v>16503.8</v>
      </c>
      <c r="N420" s="45"/>
      <c r="O420" s="45">
        <f>16503800/1000</f>
        <v>16503.8</v>
      </c>
    </row>
    <row r="421" spans="1:16" ht="31.5" x14ac:dyDescent="0.2">
      <c r="A421" s="40"/>
      <c r="B421" s="41" t="s">
        <v>40</v>
      </c>
      <c r="C421" s="42" t="s">
        <v>477</v>
      </c>
      <c r="D421" s="43" t="s">
        <v>483</v>
      </c>
      <c r="E421" s="43" t="s">
        <v>499</v>
      </c>
      <c r="F421" s="44" t="s">
        <v>41</v>
      </c>
      <c r="G421" s="45">
        <v>6317.8</v>
      </c>
      <c r="H421" s="48"/>
      <c r="I421" s="45">
        <f>SUM(G421)</f>
        <v>6317.8</v>
      </c>
      <c r="J421" s="47">
        <v>0</v>
      </c>
      <c r="K421" s="48"/>
      <c r="L421" s="47">
        <v>0</v>
      </c>
      <c r="M421" s="45">
        <f>SUM(G421)</f>
        <v>6317.8</v>
      </c>
      <c r="N421" s="45">
        <f>SUM(H421)</f>
        <v>0</v>
      </c>
      <c r="O421" s="45">
        <f>SUM(I421)</f>
        <v>6317.8</v>
      </c>
    </row>
    <row r="422" spans="1:16" ht="39" customHeight="1" x14ac:dyDescent="0.2">
      <c r="A422" s="40"/>
      <c r="B422" s="41" t="s">
        <v>95</v>
      </c>
      <c r="C422" s="42" t="s">
        <v>477</v>
      </c>
      <c r="D422" s="43" t="s">
        <v>483</v>
      </c>
      <c r="E422" s="43" t="s">
        <v>499</v>
      </c>
      <c r="F422" s="44" t="s">
        <v>96</v>
      </c>
      <c r="G422" s="48">
        <f>75925300/1000+1213.2</f>
        <v>77138.5</v>
      </c>
      <c r="H422" s="45"/>
      <c r="I422" s="48">
        <f>75925300/1000+1213.2+H422</f>
        <v>77138.5</v>
      </c>
      <c r="J422" s="47">
        <v>0</v>
      </c>
      <c r="K422" s="45"/>
      <c r="L422" s="47">
        <v>0</v>
      </c>
      <c r="M422" s="48">
        <f>75925300/1000+1213.2</f>
        <v>77138.5</v>
      </c>
      <c r="N422" s="48">
        <f>SUM(H422)</f>
        <v>0</v>
      </c>
      <c r="O422" s="48">
        <f>75925300/1000+1213.2+N422</f>
        <v>77138.5</v>
      </c>
    </row>
    <row r="423" spans="1:16" ht="15.75" x14ac:dyDescent="0.2">
      <c r="A423" s="40"/>
      <c r="B423" s="41" t="s">
        <v>338</v>
      </c>
      <c r="C423" s="42" t="s">
        <v>477</v>
      </c>
      <c r="D423" s="43" t="s">
        <v>483</v>
      </c>
      <c r="E423" s="43" t="s">
        <v>499</v>
      </c>
      <c r="F423" s="44" t="s">
        <v>71</v>
      </c>
      <c r="G423" s="45">
        <f>18600/1000</f>
        <v>18.600000000000001</v>
      </c>
      <c r="H423" s="45"/>
      <c r="I423" s="45">
        <f>18600/1000</f>
        <v>18.600000000000001</v>
      </c>
      <c r="J423" s="47">
        <v>0</v>
      </c>
      <c r="K423" s="45"/>
      <c r="L423" s="47">
        <v>0</v>
      </c>
      <c r="M423" s="45">
        <f>18600/1000</f>
        <v>18.600000000000001</v>
      </c>
      <c r="N423" s="45"/>
      <c r="O423" s="45">
        <f>18600/1000</f>
        <v>18.600000000000001</v>
      </c>
    </row>
    <row r="424" spans="1:16" ht="31.5" x14ac:dyDescent="0.2">
      <c r="A424" s="40"/>
      <c r="B424" s="41" t="s">
        <v>500</v>
      </c>
      <c r="C424" s="42">
        <v>993</v>
      </c>
      <c r="D424" s="43" t="s">
        <v>483</v>
      </c>
      <c r="E424" s="57" t="s">
        <v>501</v>
      </c>
      <c r="F424" s="44"/>
      <c r="G424" s="45">
        <f>SUM(F424)+G425</f>
        <v>1448.9</v>
      </c>
      <c r="H424" s="45">
        <f>SUM(H425)</f>
        <v>0</v>
      </c>
      <c r="I424" s="45">
        <f>SUM(G424)+H424</f>
        <v>1448.9</v>
      </c>
      <c r="J424" s="47">
        <f>SUM(J425)</f>
        <v>0</v>
      </c>
      <c r="K424" s="45">
        <f>SUM(K425)</f>
        <v>0</v>
      </c>
      <c r="L424" s="47">
        <f>SUM(J424)+K424</f>
        <v>0</v>
      </c>
      <c r="M424" s="45">
        <f>SUM(G424+J424)</f>
        <v>1448.9</v>
      </c>
      <c r="N424" s="45">
        <f>SUM(K424)+H424</f>
        <v>0</v>
      </c>
      <c r="O424" s="45">
        <f>SUM(I424)+L424</f>
        <v>1448.9</v>
      </c>
    </row>
    <row r="425" spans="1:16" ht="47.25" x14ac:dyDescent="0.2">
      <c r="A425" s="40"/>
      <c r="B425" s="41" t="s">
        <v>95</v>
      </c>
      <c r="C425" s="42">
        <v>993</v>
      </c>
      <c r="D425" s="43" t="s">
        <v>483</v>
      </c>
      <c r="E425" s="57" t="s">
        <v>501</v>
      </c>
      <c r="F425" s="44">
        <v>600</v>
      </c>
      <c r="G425" s="45">
        <v>1448.9</v>
      </c>
      <c r="H425" s="45"/>
      <c r="I425" s="45">
        <f>SUM(G425)+H425</f>
        <v>1448.9</v>
      </c>
      <c r="J425" s="47">
        <v>0</v>
      </c>
      <c r="K425" s="45"/>
      <c r="L425" s="47">
        <f>SUM(J425)+K425</f>
        <v>0</v>
      </c>
      <c r="M425" s="45">
        <f>SUM(G425+J425)</f>
        <v>1448.9</v>
      </c>
      <c r="N425" s="45">
        <f>SUM(K425)+H425</f>
        <v>0</v>
      </c>
      <c r="O425" s="45">
        <f>SUM(I425)+L425</f>
        <v>1448.9</v>
      </c>
    </row>
    <row r="426" spans="1:16" ht="47.25" x14ac:dyDescent="0.2">
      <c r="A426" s="40"/>
      <c r="B426" s="41" t="s">
        <v>283</v>
      </c>
      <c r="C426" s="42" t="s">
        <v>477</v>
      </c>
      <c r="D426" s="43" t="s">
        <v>483</v>
      </c>
      <c r="E426" s="43" t="s">
        <v>502</v>
      </c>
      <c r="F426" s="44" t="s">
        <v>11</v>
      </c>
      <c r="G426" s="45">
        <f>G427</f>
        <v>1814</v>
      </c>
      <c r="H426" s="45">
        <f>SUM(H427)</f>
        <v>0</v>
      </c>
      <c r="I426" s="45">
        <f>SUM(G426)</f>
        <v>1814</v>
      </c>
      <c r="J426" s="46">
        <f>J427</f>
        <v>0</v>
      </c>
      <c r="K426" s="45"/>
      <c r="L426" s="46">
        <f>L427</f>
        <v>0</v>
      </c>
      <c r="M426" s="45">
        <f>M427</f>
        <v>1814</v>
      </c>
      <c r="N426" s="45">
        <f>N427</f>
        <v>0</v>
      </c>
      <c r="O426" s="45">
        <f>O427</f>
        <v>1814</v>
      </c>
    </row>
    <row r="427" spans="1:16" ht="36" customHeight="1" x14ac:dyDescent="0.2">
      <c r="A427" s="40"/>
      <c r="B427" s="41" t="s">
        <v>95</v>
      </c>
      <c r="C427" s="42" t="s">
        <v>477</v>
      </c>
      <c r="D427" s="43" t="s">
        <v>483</v>
      </c>
      <c r="E427" s="43" t="s">
        <v>502</v>
      </c>
      <c r="F427" s="44" t="s">
        <v>96</v>
      </c>
      <c r="G427" s="45">
        <v>1814</v>
      </c>
      <c r="H427" s="45"/>
      <c r="I427" s="45">
        <f>SUM(G427)</f>
        <v>1814</v>
      </c>
      <c r="J427" s="47"/>
      <c r="K427" s="45"/>
      <c r="L427" s="47"/>
      <c r="M427" s="45">
        <f>SUM(G427)</f>
        <v>1814</v>
      </c>
      <c r="N427" s="45">
        <f>SUM(H427)</f>
        <v>0</v>
      </c>
      <c r="O427" s="45">
        <f>SUM(M427)</f>
        <v>1814</v>
      </c>
    </row>
    <row r="428" spans="1:16" ht="31.5" x14ac:dyDescent="0.2">
      <c r="A428" s="40"/>
      <c r="B428" s="41" t="s">
        <v>503</v>
      </c>
      <c r="C428" s="42" t="s">
        <v>477</v>
      </c>
      <c r="D428" s="43" t="s">
        <v>483</v>
      </c>
      <c r="E428" s="43" t="s">
        <v>504</v>
      </c>
      <c r="F428" s="44" t="s">
        <v>11</v>
      </c>
      <c r="G428" s="45">
        <f>G429</f>
        <v>626.20000000000005</v>
      </c>
      <c r="H428" s="45"/>
      <c r="I428" s="45">
        <f>I429</f>
        <v>626.20000000000005</v>
      </c>
      <c r="J428" s="46">
        <f>J429</f>
        <v>3846.2</v>
      </c>
      <c r="K428" s="45"/>
      <c r="L428" s="46">
        <f>L429</f>
        <v>3846.2</v>
      </c>
      <c r="M428" s="45">
        <f>M429</f>
        <v>4472.3999999999996</v>
      </c>
      <c r="N428" s="45">
        <f>N429</f>
        <v>0</v>
      </c>
      <c r="O428" s="45">
        <f>O429</f>
        <v>4472.3999999999996</v>
      </c>
    </row>
    <row r="429" spans="1:16" ht="36" customHeight="1" x14ac:dyDescent="0.2">
      <c r="A429" s="40"/>
      <c r="B429" s="41" t="s">
        <v>95</v>
      </c>
      <c r="C429" s="42" t="s">
        <v>477</v>
      </c>
      <c r="D429" s="43" t="s">
        <v>483</v>
      </c>
      <c r="E429" s="43" t="s">
        <v>504</v>
      </c>
      <c r="F429" s="44" t="s">
        <v>96</v>
      </c>
      <c r="G429" s="45">
        <v>626.20000000000005</v>
      </c>
      <c r="H429" s="45"/>
      <c r="I429" s="45">
        <v>626.20000000000005</v>
      </c>
      <c r="J429" s="47">
        <v>3846.2</v>
      </c>
      <c r="K429" s="45"/>
      <c r="L429" s="47">
        <v>3846.2</v>
      </c>
      <c r="M429" s="45">
        <f>626.2+J429</f>
        <v>4472.3999999999996</v>
      </c>
      <c r="N429" s="45"/>
      <c r="O429" s="45">
        <f>626.2+L429</f>
        <v>4472.3999999999996</v>
      </c>
    </row>
    <row r="430" spans="1:16" ht="36" customHeight="1" x14ac:dyDescent="0.2">
      <c r="A430" s="40"/>
      <c r="B430" s="56" t="s">
        <v>505</v>
      </c>
      <c r="C430" s="42">
        <v>993</v>
      </c>
      <c r="D430" s="43" t="s">
        <v>483</v>
      </c>
      <c r="E430" s="43" t="s">
        <v>506</v>
      </c>
      <c r="F430" s="44"/>
      <c r="G430" s="45">
        <v>254.4</v>
      </c>
      <c r="H430" s="45"/>
      <c r="I430" s="45">
        <v>254.4</v>
      </c>
      <c r="J430" s="47">
        <v>1562.5</v>
      </c>
      <c r="K430" s="45"/>
      <c r="L430" s="47">
        <v>1562.5</v>
      </c>
      <c r="M430" s="45">
        <f>254.4+J430</f>
        <v>1816.9</v>
      </c>
      <c r="N430" s="45"/>
      <c r="O430" s="45">
        <f>254.4+L430</f>
        <v>1816.9</v>
      </c>
    </row>
    <row r="431" spans="1:16" ht="36" customHeight="1" x14ac:dyDescent="0.2">
      <c r="A431" s="40"/>
      <c r="B431" s="56" t="s">
        <v>507</v>
      </c>
      <c r="C431" s="42">
        <v>993</v>
      </c>
      <c r="D431" s="43" t="s">
        <v>483</v>
      </c>
      <c r="E431" s="43" t="s">
        <v>508</v>
      </c>
      <c r="F431" s="44"/>
      <c r="G431" s="45">
        <v>254.4</v>
      </c>
      <c r="H431" s="45"/>
      <c r="I431" s="45">
        <v>254.4</v>
      </c>
      <c r="J431" s="47">
        <v>1562.5</v>
      </c>
      <c r="K431" s="45"/>
      <c r="L431" s="47">
        <v>1562.5</v>
      </c>
      <c r="M431" s="45">
        <f>254.4+J431</f>
        <v>1816.9</v>
      </c>
      <c r="N431" s="45"/>
      <c r="O431" s="45">
        <f>254.4+L431</f>
        <v>1816.9</v>
      </c>
    </row>
    <row r="432" spans="1:16" ht="36" customHeight="1" x14ac:dyDescent="0.2">
      <c r="A432" s="40"/>
      <c r="B432" s="41" t="s">
        <v>95</v>
      </c>
      <c r="C432" s="42">
        <v>993</v>
      </c>
      <c r="D432" s="43" t="s">
        <v>483</v>
      </c>
      <c r="E432" s="43" t="s">
        <v>508</v>
      </c>
      <c r="F432" s="44">
        <v>600</v>
      </c>
      <c r="G432" s="45">
        <v>254.4</v>
      </c>
      <c r="H432" s="38"/>
      <c r="I432" s="45">
        <v>254.4</v>
      </c>
      <c r="J432" s="47">
        <v>1562.5</v>
      </c>
      <c r="K432" s="38"/>
      <c r="L432" s="47">
        <v>1562.5</v>
      </c>
      <c r="M432" s="45">
        <f>254.4+J432</f>
        <v>1816.9</v>
      </c>
      <c r="N432" s="45"/>
      <c r="O432" s="45">
        <f>254.4+L432</f>
        <v>1816.9</v>
      </c>
    </row>
    <row r="433" spans="1:15" ht="15.75" x14ac:dyDescent="0.2">
      <c r="A433" s="33" t="s">
        <v>509</v>
      </c>
      <c r="B433" s="34" t="s">
        <v>510</v>
      </c>
      <c r="C433" s="35" t="s">
        <v>477</v>
      </c>
      <c r="D433" s="36" t="s">
        <v>511</v>
      </c>
      <c r="E433" s="36" t="s">
        <v>11</v>
      </c>
      <c r="F433" s="37" t="s">
        <v>11</v>
      </c>
      <c r="G433" s="38">
        <f t="shared" ref="G433:O437" si="70">G434</f>
        <v>10735.7</v>
      </c>
      <c r="H433" s="45">
        <f t="shared" si="70"/>
        <v>600</v>
      </c>
      <c r="I433" s="38">
        <f t="shared" si="70"/>
        <v>11335.7</v>
      </c>
      <c r="J433" s="39">
        <f t="shared" si="70"/>
        <v>0</v>
      </c>
      <c r="K433" s="45">
        <f>K434</f>
        <v>0</v>
      </c>
      <c r="L433" s="39">
        <f t="shared" si="70"/>
        <v>0</v>
      </c>
      <c r="M433" s="38">
        <f t="shared" si="70"/>
        <v>10735.7</v>
      </c>
      <c r="N433" s="38">
        <f t="shared" si="70"/>
        <v>600</v>
      </c>
      <c r="O433" s="38">
        <f t="shared" si="70"/>
        <v>11335.7</v>
      </c>
    </row>
    <row r="434" spans="1:15" ht="31.5" x14ac:dyDescent="0.2">
      <c r="A434" s="40"/>
      <c r="B434" s="41" t="s">
        <v>484</v>
      </c>
      <c r="C434" s="42" t="s">
        <v>477</v>
      </c>
      <c r="D434" s="43" t="s">
        <v>511</v>
      </c>
      <c r="E434" s="43" t="s">
        <v>485</v>
      </c>
      <c r="F434" s="44" t="s">
        <v>11</v>
      </c>
      <c r="G434" s="45">
        <f t="shared" si="70"/>
        <v>10735.7</v>
      </c>
      <c r="H434" s="45">
        <f t="shared" si="70"/>
        <v>600</v>
      </c>
      <c r="I434" s="45">
        <f t="shared" si="70"/>
        <v>11335.7</v>
      </c>
      <c r="J434" s="46">
        <f t="shared" si="70"/>
        <v>0</v>
      </c>
      <c r="K434" s="45">
        <f>K435</f>
        <v>0</v>
      </c>
      <c r="L434" s="46">
        <f t="shared" si="70"/>
        <v>0</v>
      </c>
      <c r="M434" s="45">
        <f t="shared" si="70"/>
        <v>10735.7</v>
      </c>
      <c r="N434" s="45">
        <f t="shared" si="70"/>
        <v>600</v>
      </c>
      <c r="O434" s="45">
        <f t="shared" si="70"/>
        <v>11335.7</v>
      </c>
    </row>
    <row r="435" spans="1:15" ht="47.25" x14ac:dyDescent="0.2">
      <c r="A435" s="40"/>
      <c r="B435" s="41" t="s">
        <v>495</v>
      </c>
      <c r="C435" s="42" t="s">
        <v>477</v>
      </c>
      <c r="D435" s="43" t="s">
        <v>511</v>
      </c>
      <c r="E435" s="43" t="s">
        <v>496</v>
      </c>
      <c r="F435" s="44" t="s">
        <v>11</v>
      </c>
      <c r="G435" s="45">
        <f t="shared" si="70"/>
        <v>10735.7</v>
      </c>
      <c r="H435" s="45">
        <f t="shared" si="70"/>
        <v>600</v>
      </c>
      <c r="I435" s="45">
        <f t="shared" si="70"/>
        <v>11335.7</v>
      </c>
      <c r="J435" s="46">
        <f t="shared" si="70"/>
        <v>0</v>
      </c>
      <c r="K435" s="45">
        <f>K436</f>
        <v>0</v>
      </c>
      <c r="L435" s="46">
        <f t="shared" si="70"/>
        <v>0</v>
      </c>
      <c r="M435" s="45">
        <f t="shared" si="70"/>
        <v>10735.7</v>
      </c>
      <c r="N435" s="45">
        <f t="shared" si="70"/>
        <v>600</v>
      </c>
      <c r="O435" s="45">
        <f t="shared" si="70"/>
        <v>11335.7</v>
      </c>
    </row>
    <row r="436" spans="1:15" ht="47.25" x14ac:dyDescent="0.2">
      <c r="A436" s="40"/>
      <c r="B436" s="41" t="s">
        <v>497</v>
      </c>
      <c r="C436" s="42" t="s">
        <v>477</v>
      </c>
      <c r="D436" s="43" t="s">
        <v>511</v>
      </c>
      <c r="E436" s="43" t="s">
        <v>498</v>
      </c>
      <c r="F436" s="44" t="s">
        <v>11</v>
      </c>
      <c r="G436" s="45">
        <f t="shared" si="70"/>
        <v>10735.7</v>
      </c>
      <c r="H436" s="45">
        <f>SUM(H439)</f>
        <v>600</v>
      </c>
      <c r="I436" s="45">
        <f>I437+I439</f>
        <v>11335.7</v>
      </c>
      <c r="J436" s="46">
        <f t="shared" si="70"/>
        <v>0</v>
      </c>
      <c r="K436" s="45">
        <f>K437</f>
        <v>0</v>
      </c>
      <c r="L436" s="46">
        <f t="shared" si="70"/>
        <v>0</v>
      </c>
      <c r="M436" s="45">
        <f t="shared" si="70"/>
        <v>10735.7</v>
      </c>
      <c r="N436" s="45">
        <f>SUM(N439)</f>
        <v>600</v>
      </c>
      <c r="O436" s="45">
        <f>O437+O439</f>
        <v>11335.7</v>
      </c>
    </row>
    <row r="437" spans="1:15" ht="31.5" x14ac:dyDescent="0.2">
      <c r="A437" s="40"/>
      <c r="B437" s="41" t="s">
        <v>134</v>
      </c>
      <c r="C437" s="42" t="s">
        <v>477</v>
      </c>
      <c r="D437" s="43" t="s">
        <v>511</v>
      </c>
      <c r="E437" s="43" t="s">
        <v>499</v>
      </c>
      <c r="F437" s="44" t="s">
        <v>11</v>
      </c>
      <c r="G437" s="45">
        <f>G438</f>
        <v>10735.7</v>
      </c>
      <c r="H437" s="45"/>
      <c r="I437" s="45">
        <f>I438</f>
        <v>10735.7</v>
      </c>
      <c r="J437" s="46">
        <f t="shared" si="70"/>
        <v>0</v>
      </c>
      <c r="K437" s="45"/>
      <c r="L437" s="46">
        <f t="shared" si="70"/>
        <v>0</v>
      </c>
      <c r="M437" s="45">
        <f t="shared" si="70"/>
        <v>10735.7</v>
      </c>
      <c r="N437" s="45">
        <f t="shared" si="70"/>
        <v>0</v>
      </c>
      <c r="O437" s="45">
        <f t="shared" si="70"/>
        <v>10735.7</v>
      </c>
    </row>
    <row r="438" spans="1:15" ht="36.6" customHeight="1" x14ac:dyDescent="0.2">
      <c r="A438" s="40"/>
      <c r="B438" s="41" t="s">
        <v>95</v>
      </c>
      <c r="C438" s="42" t="s">
        <v>477</v>
      </c>
      <c r="D438" s="43" t="s">
        <v>511</v>
      </c>
      <c r="E438" s="43" t="s">
        <v>499</v>
      </c>
      <c r="F438" s="44" t="s">
        <v>96</v>
      </c>
      <c r="G438" s="45">
        <f>10735700/1000</f>
        <v>10735.7</v>
      </c>
      <c r="H438" s="38"/>
      <c r="I438" s="45">
        <f>10735700/1000</f>
        <v>10735.7</v>
      </c>
      <c r="J438" s="47">
        <v>0</v>
      </c>
      <c r="K438" s="38"/>
      <c r="L438" s="47">
        <v>0</v>
      </c>
      <c r="M438" s="45">
        <f>10735700/1000</f>
        <v>10735.7</v>
      </c>
      <c r="N438" s="45"/>
      <c r="O438" s="45">
        <f>10735700/1000</f>
        <v>10735.7</v>
      </c>
    </row>
    <row r="439" spans="1:15" ht="36.6" customHeight="1" x14ac:dyDescent="0.2">
      <c r="A439" s="40"/>
      <c r="B439" s="41" t="s">
        <v>283</v>
      </c>
      <c r="C439" s="42">
        <v>993</v>
      </c>
      <c r="D439" s="43" t="s">
        <v>511</v>
      </c>
      <c r="E439" s="43" t="s">
        <v>502</v>
      </c>
      <c r="F439" s="44"/>
      <c r="G439" s="45"/>
      <c r="H439" s="38">
        <v>600</v>
      </c>
      <c r="I439" s="45">
        <f>SUM(H439)</f>
        <v>600</v>
      </c>
      <c r="J439" s="47"/>
      <c r="K439" s="38"/>
      <c r="L439" s="47"/>
      <c r="M439" s="45"/>
      <c r="N439" s="45">
        <f>SUM(H439)</f>
        <v>600</v>
      </c>
      <c r="O439" s="45">
        <f>SUM(I439)</f>
        <v>600</v>
      </c>
    </row>
    <row r="440" spans="1:15" ht="36.6" customHeight="1" x14ac:dyDescent="0.2">
      <c r="A440" s="40"/>
      <c r="B440" s="41" t="s">
        <v>95</v>
      </c>
      <c r="C440" s="42">
        <v>993</v>
      </c>
      <c r="D440" s="43" t="s">
        <v>511</v>
      </c>
      <c r="E440" s="43" t="s">
        <v>502</v>
      </c>
      <c r="F440" s="44">
        <v>600</v>
      </c>
      <c r="G440" s="45"/>
      <c r="H440" s="38">
        <v>600</v>
      </c>
      <c r="I440" s="45">
        <f>SUM(H440)</f>
        <v>600</v>
      </c>
      <c r="J440" s="47"/>
      <c r="K440" s="38"/>
      <c r="L440" s="47"/>
      <c r="M440" s="45"/>
      <c r="N440" s="45">
        <f>SUM(H440)</f>
        <v>600</v>
      </c>
      <c r="O440" s="45">
        <f>SUM(I440)</f>
        <v>600</v>
      </c>
    </row>
    <row r="441" spans="1:15" ht="31.5" x14ac:dyDescent="0.2">
      <c r="A441" s="33" t="s">
        <v>512</v>
      </c>
      <c r="B441" s="34" t="s">
        <v>513</v>
      </c>
      <c r="C441" s="35" t="s">
        <v>477</v>
      </c>
      <c r="D441" s="36" t="s">
        <v>514</v>
      </c>
      <c r="E441" s="36" t="s">
        <v>11</v>
      </c>
      <c r="F441" s="37" t="s">
        <v>11</v>
      </c>
      <c r="G441" s="38">
        <f>G442</f>
        <v>16307.699999999999</v>
      </c>
      <c r="H441" s="45">
        <f>H442+H452</f>
        <v>0</v>
      </c>
      <c r="I441" s="38">
        <f>I442</f>
        <v>16307.699999999999</v>
      </c>
      <c r="J441" s="39">
        <f>J442</f>
        <v>0</v>
      </c>
      <c r="K441" s="45">
        <f>K442+K452</f>
        <v>0</v>
      </c>
      <c r="L441" s="39">
        <f>L442</f>
        <v>0</v>
      </c>
      <c r="M441" s="38">
        <f>M442</f>
        <v>16307.699999999999</v>
      </c>
      <c r="N441" s="38">
        <f>N442</f>
        <v>0</v>
      </c>
      <c r="O441" s="38">
        <f>O442</f>
        <v>16307.699999999999</v>
      </c>
    </row>
    <row r="442" spans="1:15" ht="31.5" x14ac:dyDescent="0.2">
      <c r="A442" s="40"/>
      <c r="B442" s="41" t="s">
        <v>484</v>
      </c>
      <c r="C442" s="42" t="s">
        <v>477</v>
      </c>
      <c r="D442" s="43" t="s">
        <v>514</v>
      </c>
      <c r="E442" s="43" t="s">
        <v>485</v>
      </c>
      <c r="F442" s="44" t="s">
        <v>11</v>
      </c>
      <c r="G442" s="45">
        <f>G443+G453</f>
        <v>16307.699999999999</v>
      </c>
      <c r="H442" s="45">
        <f>H443+H447</f>
        <v>0</v>
      </c>
      <c r="I442" s="45">
        <f>I443+I453</f>
        <v>16307.699999999999</v>
      </c>
      <c r="J442" s="46">
        <f>J443+J453</f>
        <v>0</v>
      </c>
      <c r="K442" s="45">
        <f>K443+K447</f>
        <v>0</v>
      </c>
      <c r="L442" s="46">
        <f>L443+L453</f>
        <v>0</v>
      </c>
      <c r="M442" s="45">
        <f>M443+M453</f>
        <v>16307.699999999999</v>
      </c>
      <c r="N442" s="45">
        <f>N443+N453</f>
        <v>0</v>
      </c>
      <c r="O442" s="45">
        <f>O443+O453</f>
        <v>16307.699999999999</v>
      </c>
    </row>
    <row r="443" spans="1:15" ht="47.25" x14ac:dyDescent="0.2">
      <c r="A443" s="40"/>
      <c r="B443" s="41" t="s">
        <v>495</v>
      </c>
      <c r="C443" s="42" t="s">
        <v>477</v>
      </c>
      <c r="D443" s="43" t="s">
        <v>514</v>
      </c>
      <c r="E443" s="43" t="s">
        <v>496</v>
      </c>
      <c r="F443" s="44" t="s">
        <v>11</v>
      </c>
      <c r="G443" s="45">
        <f>G444+G448</f>
        <v>14441.8</v>
      </c>
      <c r="H443" s="45">
        <f>H444+H448</f>
        <v>0</v>
      </c>
      <c r="I443" s="45">
        <f>I444+I448</f>
        <v>14441.8</v>
      </c>
      <c r="J443" s="46">
        <f>J444+J448</f>
        <v>0</v>
      </c>
      <c r="K443" s="45">
        <f>K444</f>
        <v>0</v>
      </c>
      <c r="L443" s="46">
        <f>L444+L448</f>
        <v>0</v>
      </c>
      <c r="M443" s="45">
        <f>M444+M448</f>
        <v>14441.8</v>
      </c>
      <c r="N443" s="45">
        <f>N444+N448</f>
        <v>0</v>
      </c>
      <c r="O443" s="45">
        <f>O444+O448</f>
        <v>14441.8</v>
      </c>
    </row>
    <row r="444" spans="1:15" ht="47.25" x14ac:dyDescent="0.2">
      <c r="A444" s="40"/>
      <c r="B444" s="41" t="s">
        <v>497</v>
      </c>
      <c r="C444" s="42" t="s">
        <v>477</v>
      </c>
      <c r="D444" s="43" t="s">
        <v>514</v>
      </c>
      <c r="E444" s="43" t="s">
        <v>498</v>
      </c>
      <c r="F444" s="44" t="s">
        <v>11</v>
      </c>
      <c r="G444" s="45">
        <f>G445</f>
        <v>4730.5999999999995</v>
      </c>
      <c r="H444" s="45">
        <f>H445+H446</f>
        <v>0</v>
      </c>
      <c r="I444" s="45">
        <f>I445</f>
        <v>4730.5999999999995</v>
      </c>
      <c r="J444" s="46">
        <f>J445</f>
        <v>0</v>
      </c>
      <c r="K444" s="45">
        <f>K445+K446</f>
        <v>0</v>
      </c>
      <c r="L444" s="46">
        <f>L445</f>
        <v>0</v>
      </c>
      <c r="M444" s="45">
        <f>M445</f>
        <v>4730.5999999999995</v>
      </c>
      <c r="N444" s="45">
        <f>N445</f>
        <v>0</v>
      </c>
      <c r="O444" s="45">
        <f>O445</f>
        <v>4730.5999999999995</v>
      </c>
    </row>
    <row r="445" spans="1:15" ht="31.5" x14ac:dyDescent="0.2">
      <c r="A445" s="40"/>
      <c r="B445" s="41" t="s">
        <v>134</v>
      </c>
      <c r="C445" s="42" t="s">
        <v>477</v>
      </c>
      <c r="D445" s="43" t="s">
        <v>514</v>
      </c>
      <c r="E445" s="43" t="s">
        <v>499</v>
      </c>
      <c r="F445" s="44" t="s">
        <v>11</v>
      </c>
      <c r="G445" s="45">
        <f>G446+G447</f>
        <v>4730.5999999999995</v>
      </c>
      <c r="H445" s="45">
        <f>SUM(H447)</f>
        <v>0</v>
      </c>
      <c r="I445" s="45">
        <f>I446+I447</f>
        <v>4730.5999999999995</v>
      </c>
      <c r="J445" s="46">
        <f>J446+J447</f>
        <v>0</v>
      </c>
      <c r="K445" s="45"/>
      <c r="L445" s="46">
        <f>L446+L447</f>
        <v>0</v>
      </c>
      <c r="M445" s="45">
        <f>M446+M447</f>
        <v>4730.5999999999995</v>
      </c>
      <c r="N445" s="45">
        <f>N446+N447</f>
        <v>0</v>
      </c>
      <c r="O445" s="45">
        <f>O446+O447</f>
        <v>4730.5999999999995</v>
      </c>
    </row>
    <row r="446" spans="1:15" ht="78.75" x14ac:dyDescent="0.2">
      <c r="A446" s="40"/>
      <c r="B446" s="41" t="s">
        <v>61</v>
      </c>
      <c r="C446" s="42" t="s">
        <v>477</v>
      </c>
      <c r="D446" s="43" t="s">
        <v>514</v>
      </c>
      <c r="E446" s="43" t="s">
        <v>499</v>
      </c>
      <c r="F446" s="44" t="s">
        <v>62</v>
      </c>
      <c r="G446" s="45">
        <f>3786600/1000+351.1</f>
        <v>4137.7</v>
      </c>
      <c r="H446" s="45"/>
      <c r="I446" s="45">
        <f>3786600/1000+351.1</f>
        <v>4137.7</v>
      </c>
      <c r="J446" s="47"/>
      <c r="K446" s="45"/>
      <c r="L446" s="47"/>
      <c r="M446" s="45">
        <f>3786600/1000+351.1</f>
        <v>4137.7</v>
      </c>
      <c r="N446" s="45"/>
      <c r="O446" s="45">
        <f>3786600/1000+351.1</f>
        <v>4137.7</v>
      </c>
    </row>
    <row r="447" spans="1:15" ht="31.5" x14ac:dyDescent="0.2">
      <c r="A447" s="40"/>
      <c r="B447" s="41" t="s">
        <v>40</v>
      </c>
      <c r="C447" s="42" t="s">
        <v>477</v>
      </c>
      <c r="D447" s="43" t="s">
        <v>514</v>
      </c>
      <c r="E447" s="43" t="s">
        <v>499</v>
      </c>
      <c r="F447" s="44" t="s">
        <v>41</v>
      </c>
      <c r="G447" s="45">
        <v>592.9</v>
      </c>
      <c r="H447" s="45"/>
      <c r="I447" s="45">
        <f>SUM(G447+H447)</f>
        <v>592.9</v>
      </c>
      <c r="J447" s="47"/>
      <c r="K447" s="45"/>
      <c r="L447" s="47"/>
      <c r="M447" s="45">
        <f>SUM(G447)</f>
        <v>592.9</v>
      </c>
      <c r="N447" s="45">
        <f>SUM(H447)</f>
        <v>0</v>
      </c>
      <c r="O447" s="45">
        <f>SUM(M447+N447)</f>
        <v>592.9</v>
      </c>
    </row>
    <row r="448" spans="1:15" ht="47.25" x14ac:dyDescent="0.2">
      <c r="A448" s="40"/>
      <c r="B448" s="41" t="s">
        <v>515</v>
      </c>
      <c r="C448" s="42" t="s">
        <v>477</v>
      </c>
      <c r="D448" s="43" t="s">
        <v>514</v>
      </c>
      <c r="E448" s="43" t="s">
        <v>516</v>
      </c>
      <c r="F448" s="44" t="s">
        <v>11</v>
      </c>
      <c r="G448" s="45">
        <f>G449</f>
        <v>9711.2000000000007</v>
      </c>
      <c r="H448" s="45">
        <f>H449</f>
        <v>0</v>
      </c>
      <c r="I448" s="45">
        <f>I449</f>
        <v>9711.2000000000007</v>
      </c>
      <c r="J448" s="46">
        <f>J449</f>
        <v>0</v>
      </c>
      <c r="K448" s="45">
        <f>K449+K450+K451</f>
        <v>0</v>
      </c>
      <c r="L448" s="46">
        <f>L449</f>
        <v>0</v>
      </c>
      <c r="M448" s="45">
        <f>M449</f>
        <v>9711.2000000000007</v>
      </c>
      <c r="N448" s="45">
        <f>N449</f>
        <v>0</v>
      </c>
      <c r="O448" s="45">
        <f>O449</f>
        <v>9711.2000000000007</v>
      </c>
    </row>
    <row r="449" spans="1:16" ht="31.5" x14ac:dyDescent="0.2">
      <c r="A449" s="40"/>
      <c r="B449" s="41" t="s">
        <v>134</v>
      </c>
      <c r="C449" s="42" t="s">
        <v>477</v>
      </c>
      <c r="D449" s="43" t="s">
        <v>514</v>
      </c>
      <c r="E449" s="43" t="s">
        <v>517</v>
      </c>
      <c r="F449" s="44" t="s">
        <v>11</v>
      </c>
      <c r="G449" s="45">
        <f>G450+G451+G452</f>
        <v>9711.2000000000007</v>
      </c>
      <c r="H449" s="45">
        <f>SUM(H450+H451)</f>
        <v>0</v>
      </c>
      <c r="I449" s="45">
        <f>I450+I451+I452</f>
        <v>9711.2000000000007</v>
      </c>
      <c r="J449" s="46">
        <f>J450+J451+J452</f>
        <v>0</v>
      </c>
      <c r="K449" s="45"/>
      <c r="L449" s="46">
        <f>L450+L451+L452</f>
        <v>0</v>
      </c>
      <c r="M449" s="45">
        <f>M450+M451+M452</f>
        <v>9711.2000000000007</v>
      </c>
      <c r="N449" s="45">
        <f>N450+N451+N452</f>
        <v>0</v>
      </c>
      <c r="O449" s="45">
        <f>O450+O451+O452</f>
        <v>9711.2000000000007</v>
      </c>
    </row>
    <row r="450" spans="1:16" ht="78.75" x14ac:dyDescent="0.2">
      <c r="A450" s="40"/>
      <c r="B450" s="41" t="s">
        <v>61</v>
      </c>
      <c r="C450" s="42" t="s">
        <v>477</v>
      </c>
      <c r="D450" s="43" t="s">
        <v>514</v>
      </c>
      <c r="E450" s="43" t="s">
        <v>517</v>
      </c>
      <c r="F450" s="44" t="s">
        <v>62</v>
      </c>
      <c r="G450" s="45">
        <v>8283.2000000000007</v>
      </c>
      <c r="H450" s="45"/>
      <c r="I450" s="45">
        <f>SUM(G450)</f>
        <v>8283.2000000000007</v>
      </c>
      <c r="J450" s="47">
        <v>0</v>
      </c>
      <c r="K450" s="45"/>
      <c r="L450" s="47">
        <v>0</v>
      </c>
      <c r="M450" s="45">
        <f t="shared" ref="M450:O451" si="71">SUM(G450)</f>
        <v>8283.2000000000007</v>
      </c>
      <c r="N450" s="45">
        <f t="shared" si="71"/>
        <v>0</v>
      </c>
      <c r="O450" s="45">
        <f t="shared" si="71"/>
        <v>8283.2000000000007</v>
      </c>
    </row>
    <row r="451" spans="1:16" ht="31.5" x14ac:dyDescent="0.2">
      <c r="A451" s="40"/>
      <c r="B451" s="41" t="s">
        <v>40</v>
      </c>
      <c r="C451" s="42" t="s">
        <v>477</v>
      </c>
      <c r="D451" s="43" t="s">
        <v>514</v>
      </c>
      <c r="E451" s="43" t="s">
        <v>517</v>
      </c>
      <c r="F451" s="44" t="s">
        <v>41</v>
      </c>
      <c r="G451" s="45">
        <v>1426.9</v>
      </c>
      <c r="H451" s="45"/>
      <c r="I451" s="45">
        <f>SUM(G451)</f>
        <v>1426.9</v>
      </c>
      <c r="J451" s="47">
        <v>0</v>
      </c>
      <c r="K451" s="45"/>
      <c r="L451" s="47">
        <v>0</v>
      </c>
      <c r="M451" s="45">
        <f t="shared" si="71"/>
        <v>1426.9</v>
      </c>
      <c r="N451" s="45">
        <f t="shared" si="71"/>
        <v>0</v>
      </c>
      <c r="O451" s="45">
        <f t="shared" si="71"/>
        <v>1426.9</v>
      </c>
    </row>
    <row r="452" spans="1:16" ht="15.75" x14ac:dyDescent="0.2">
      <c r="A452" s="40"/>
      <c r="B452" s="41" t="s">
        <v>70</v>
      </c>
      <c r="C452" s="42" t="s">
        <v>477</v>
      </c>
      <c r="D452" s="43" t="s">
        <v>514</v>
      </c>
      <c r="E452" s="43" t="s">
        <v>517</v>
      </c>
      <c r="F452" s="44" t="s">
        <v>71</v>
      </c>
      <c r="G452" s="45">
        <f>1100/1000</f>
        <v>1.1000000000000001</v>
      </c>
      <c r="H452" s="45"/>
      <c r="I452" s="45">
        <f>1100/1000</f>
        <v>1.1000000000000001</v>
      </c>
      <c r="J452" s="47">
        <v>0</v>
      </c>
      <c r="K452" s="45"/>
      <c r="L452" s="47">
        <v>0</v>
      </c>
      <c r="M452" s="45">
        <f>1100/1000</f>
        <v>1.1000000000000001</v>
      </c>
      <c r="N452" s="45"/>
      <c r="O452" s="45">
        <f>1100/1000</f>
        <v>1.1000000000000001</v>
      </c>
    </row>
    <row r="453" spans="1:16" ht="31.5" x14ac:dyDescent="0.2">
      <c r="A453" s="40"/>
      <c r="B453" s="41" t="s">
        <v>518</v>
      </c>
      <c r="C453" s="42" t="s">
        <v>477</v>
      </c>
      <c r="D453" s="43" t="s">
        <v>514</v>
      </c>
      <c r="E453" s="43" t="s">
        <v>519</v>
      </c>
      <c r="F453" s="44" t="s">
        <v>11</v>
      </c>
      <c r="G453" s="45">
        <f t="shared" ref="G453:O454" si="72">G454</f>
        <v>1865.9</v>
      </c>
      <c r="H453" s="45">
        <f t="shared" si="72"/>
        <v>0</v>
      </c>
      <c r="I453" s="45">
        <f t="shared" si="72"/>
        <v>1865.9</v>
      </c>
      <c r="J453" s="46">
        <f t="shared" si="72"/>
        <v>0</v>
      </c>
      <c r="K453" s="45">
        <f t="shared" si="72"/>
        <v>0</v>
      </c>
      <c r="L453" s="46">
        <f t="shared" si="72"/>
        <v>0</v>
      </c>
      <c r="M453" s="45">
        <f t="shared" si="72"/>
        <v>1865.9</v>
      </c>
      <c r="N453" s="45">
        <f t="shared" si="72"/>
        <v>0</v>
      </c>
      <c r="O453" s="45">
        <f t="shared" si="72"/>
        <v>1865.9</v>
      </c>
    </row>
    <row r="454" spans="1:16" ht="31.5" x14ac:dyDescent="0.2">
      <c r="A454" s="40"/>
      <c r="B454" s="41" t="s">
        <v>520</v>
      </c>
      <c r="C454" s="42" t="s">
        <v>477</v>
      </c>
      <c r="D454" s="43" t="s">
        <v>514</v>
      </c>
      <c r="E454" s="43" t="s">
        <v>521</v>
      </c>
      <c r="F454" s="44" t="s">
        <v>11</v>
      </c>
      <c r="G454" s="45">
        <f t="shared" si="72"/>
        <v>1865.9</v>
      </c>
      <c r="H454" s="45">
        <f>H455+H456</f>
        <v>0</v>
      </c>
      <c r="I454" s="45">
        <f t="shared" si="72"/>
        <v>1865.9</v>
      </c>
      <c r="J454" s="46">
        <f t="shared" si="72"/>
        <v>0</v>
      </c>
      <c r="K454" s="45">
        <f>K455+K456</f>
        <v>0</v>
      </c>
      <c r="L454" s="46">
        <f t="shared" si="72"/>
        <v>0</v>
      </c>
      <c r="M454" s="45">
        <f t="shared" si="72"/>
        <v>1865.9</v>
      </c>
      <c r="N454" s="45">
        <f t="shared" si="72"/>
        <v>0</v>
      </c>
      <c r="O454" s="45">
        <f t="shared" si="72"/>
        <v>1865.9</v>
      </c>
    </row>
    <row r="455" spans="1:16" ht="31.5" x14ac:dyDescent="0.2">
      <c r="A455" s="40"/>
      <c r="B455" s="41" t="s">
        <v>38</v>
      </c>
      <c r="C455" s="42" t="s">
        <v>477</v>
      </c>
      <c r="D455" s="43" t="s">
        <v>514</v>
      </c>
      <c r="E455" s="43" t="s">
        <v>522</v>
      </c>
      <c r="F455" s="44" t="s">
        <v>11</v>
      </c>
      <c r="G455" s="45">
        <f>G456+G457</f>
        <v>1865.9</v>
      </c>
      <c r="H455" s="45"/>
      <c r="I455" s="45">
        <f>I456+I457</f>
        <v>1865.9</v>
      </c>
      <c r="J455" s="46">
        <f>J456+J457</f>
        <v>0</v>
      </c>
      <c r="K455" s="45"/>
      <c r="L455" s="46">
        <f>L456+L457</f>
        <v>0</v>
      </c>
      <c r="M455" s="45">
        <f>M456+M457</f>
        <v>1865.9</v>
      </c>
      <c r="N455" s="45">
        <f>N456+N457</f>
        <v>0</v>
      </c>
      <c r="O455" s="45">
        <f>O456+O457</f>
        <v>1865.9</v>
      </c>
    </row>
    <row r="456" spans="1:16" ht="78.75" x14ac:dyDescent="0.2">
      <c r="A456" s="40"/>
      <c r="B456" s="41" t="s">
        <v>61</v>
      </c>
      <c r="C456" s="42" t="s">
        <v>477</v>
      </c>
      <c r="D456" s="43" t="s">
        <v>514</v>
      </c>
      <c r="E456" s="43" t="s">
        <v>522</v>
      </c>
      <c r="F456" s="44" t="s">
        <v>62</v>
      </c>
      <c r="G456" s="45">
        <f>1855900/1000</f>
        <v>1855.9</v>
      </c>
      <c r="H456" s="45"/>
      <c r="I456" s="45">
        <f>1855900/1000</f>
        <v>1855.9</v>
      </c>
      <c r="J456" s="47">
        <v>0</v>
      </c>
      <c r="K456" s="45"/>
      <c r="L456" s="47">
        <v>0</v>
      </c>
      <c r="M456" s="45">
        <f>1855900/1000</f>
        <v>1855.9</v>
      </c>
      <c r="N456" s="45"/>
      <c r="O456" s="45">
        <f>1855900/1000</f>
        <v>1855.9</v>
      </c>
    </row>
    <row r="457" spans="1:16" ht="31.5" x14ac:dyDescent="0.2">
      <c r="A457" s="40"/>
      <c r="B457" s="41" t="s">
        <v>40</v>
      </c>
      <c r="C457" s="42" t="s">
        <v>477</v>
      </c>
      <c r="D457" s="43" t="s">
        <v>514</v>
      </c>
      <c r="E457" s="43" t="s">
        <v>522</v>
      </c>
      <c r="F457" s="44" t="s">
        <v>41</v>
      </c>
      <c r="G457" s="45">
        <f>10000/1000</f>
        <v>10</v>
      </c>
      <c r="H457" s="25"/>
      <c r="I457" s="45">
        <f>10000/1000</f>
        <v>10</v>
      </c>
      <c r="J457" s="47">
        <v>0</v>
      </c>
      <c r="K457" s="25"/>
      <c r="L457" s="47">
        <v>0</v>
      </c>
      <c r="M457" s="45">
        <f>10000/1000</f>
        <v>10</v>
      </c>
      <c r="N457" s="45"/>
      <c r="O457" s="45">
        <f>10000/1000</f>
        <v>10</v>
      </c>
    </row>
    <row r="458" spans="1:16" ht="47.25" x14ac:dyDescent="0.2">
      <c r="A458" s="20" t="s">
        <v>523</v>
      </c>
      <c r="B458" s="21" t="s">
        <v>524</v>
      </c>
      <c r="C458" s="22" t="s">
        <v>525</v>
      </c>
      <c r="D458" s="23" t="s">
        <v>11</v>
      </c>
      <c r="E458" s="23" t="s">
        <v>11</v>
      </c>
      <c r="F458" s="24" t="s">
        <v>11</v>
      </c>
      <c r="G458" s="25">
        <f>G459+G471</f>
        <v>15410</v>
      </c>
      <c r="H458" s="25">
        <f>H459</f>
        <v>-647.1</v>
      </c>
      <c r="I458" s="25">
        <f>I459+I471</f>
        <v>14762.9</v>
      </c>
      <c r="J458" s="26">
        <f>J459+J471</f>
        <v>0</v>
      </c>
      <c r="K458" s="25">
        <f>K459</f>
        <v>0</v>
      </c>
      <c r="L458" s="26">
        <f>L459+L471</f>
        <v>0</v>
      </c>
      <c r="M458" s="25">
        <f>M459+M471</f>
        <v>15410</v>
      </c>
      <c r="N458" s="25">
        <f>N459+N471</f>
        <v>-647.1</v>
      </c>
      <c r="O458" s="25">
        <f>O459+O471</f>
        <v>14762.9</v>
      </c>
      <c r="P458" s="19"/>
    </row>
    <row r="459" spans="1:16" ht="15.75" x14ac:dyDescent="0.2">
      <c r="A459" s="20" t="s">
        <v>526</v>
      </c>
      <c r="B459" s="21" t="s">
        <v>30</v>
      </c>
      <c r="C459" s="22" t="s">
        <v>525</v>
      </c>
      <c r="D459" s="23" t="s">
        <v>31</v>
      </c>
      <c r="E459" s="23" t="s">
        <v>11</v>
      </c>
      <c r="F459" s="24" t="s">
        <v>11</v>
      </c>
      <c r="G459" s="25">
        <f>G460</f>
        <v>5065.8999999999996</v>
      </c>
      <c r="H459" s="38">
        <f>H460</f>
        <v>-647.1</v>
      </c>
      <c r="I459" s="25">
        <f>I460</f>
        <v>4418.7999999999993</v>
      </c>
      <c r="J459" s="26">
        <f t="shared" ref="J459:O461" si="73">J460</f>
        <v>0</v>
      </c>
      <c r="K459" s="38">
        <f>K460</f>
        <v>0</v>
      </c>
      <c r="L459" s="26">
        <f t="shared" si="73"/>
        <v>0</v>
      </c>
      <c r="M459" s="25">
        <f t="shared" si="73"/>
        <v>5065.8999999999996</v>
      </c>
      <c r="N459" s="25">
        <f t="shared" si="73"/>
        <v>-647.1</v>
      </c>
      <c r="O459" s="25">
        <f t="shared" si="73"/>
        <v>4418.7999999999993</v>
      </c>
    </row>
    <row r="460" spans="1:16" ht="15.75" x14ac:dyDescent="0.2">
      <c r="A460" s="33" t="s">
        <v>527</v>
      </c>
      <c r="B460" s="34" t="s">
        <v>85</v>
      </c>
      <c r="C460" s="35" t="s">
        <v>525</v>
      </c>
      <c r="D460" s="36" t="s">
        <v>86</v>
      </c>
      <c r="E460" s="36" t="s">
        <v>11</v>
      </c>
      <c r="F460" s="37" t="s">
        <v>11</v>
      </c>
      <c r="G460" s="38">
        <f>G461</f>
        <v>5065.8999999999996</v>
      </c>
      <c r="H460" s="45">
        <f>H461</f>
        <v>-647.1</v>
      </c>
      <c r="I460" s="38">
        <f>I461</f>
        <v>4418.7999999999993</v>
      </c>
      <c r="J460" s="39">
        <f t="shared" si="73"/>
        <v>0</v>
      </c>
      <c r="K460" s="45">
        <f>K461</f>
        <v>0</v>
      </c>
      <c r="L460" s="39">
        <f t="shared" si="73"/>
        <v>0</v>
      </c>
      <c r="M460" s="38">
        <f t="shared" si="73"/>
        <v>5065.8999999999996</v>
      </c>
      <c r="N460" s="38">
        <f t="shared" si="73"/>
        <v>-647.1</v>
      </c>
      <c r="O460" s="38">
        <f t="shared" si="73"/>
        <v>4418.7999999999993</v>
      </c>
    </row>
    <row r="461" spans="1:16" ht="31.5" x14ac:dyDescent="0.2">
      <c r="A461" s="40"/>
      <c r="B461" s="41" t="s">
        <v>128</v>
      </c>
      <c r="C461" s="42" t="s">
        <v>525</v>
      </c>
      <c r="D461" s="43" t="s">
        <v>86</v>
      </c>
      <c r="E461" s="43" t="s">
        <v>129</v>
      </c>
      <c r="F461" s="44" t="s">
        <v>11</v>
      </c>
      <c r="G461" s="45">
        <f>G462</f>
        <v>5065.8999999999996</v>
      </c>
      <c r="H461" s="45">
        <f>H462+H466</f>
        <v>-647.1</v>
      </c>
      <c r="I461" s="45">
        <f>I462</f>
        <v>4418.7999999999993</v>
      </c>
      <c r="J461" s="46">
        <f t="shared" si="73"/>
        <v>0</v>
      </c>
      <c r="K461" s="45">
        <f>K462+K466</f>
        <v>0</v>
      </c>
      <c r="L461" s="46">
        <f t="shared" si="73"/>
        <v>0</v>
      </c>
      <c r="M461" s="45">
        <f t="shared" si="73"/>
        <v>5065.8999999999996</v>
      </c>
      <c r="N461" s="45">
        <f t="shared" si="73"/>
        <v>-647.1</v>
      </c>
      <c r="O461" s="45">
        <f t="shared" si="73"/>
        <v>4418.7999999999993</v>
      </c>
    </row>
    <row r="462" spans="1:16" ht="31.5" x14ac:dyDescent="0.2">
      <c r="A462" s="40"/>
      <c r="B462" s="41" t="s">
        <v>528</v>
      </c>
      <c r="C462" s="42" t="s">
        <v>525</v>
      </c>
      <c r="D462" s="43" t="s">
        <v>86</v>
      </c>
      <c r="E462" s="43" t="s">
        <v>529</v>
      </c>
      <c r="F462" s="44" t="s">
        <v>11</v>
      </c>
      <c r="G462" s="45">
        <f>G463+G467</f>
        <v>5065.8999999999996</v>
      </c>
      <c r="H462" s="45">
        <f>H463</f>
        <v>-647.1</v>
      </c>
      <c r="I462" s="45">
        <f>I463+I467</f>
        <v>4418.7999999999993</v>
      </c>
      <c r="J462" s="46">
        <f>J463+J467</f>
        <v>0</v>
      </c>
      <c r="K462" s="45">
        <f>K463</f>
        <v>0</v>
      </c>
      <c r="L462" s="46">
        <f>L463+L467</f>
        <v>0</v>
      </c>
      <c r="M462" s="45">
        <f>M463+M467</f>
        <v>5065.8999999999996</v>
      </c>
      <c r="N462" s="45">
        <f>N463+N467</f>
        <v>-647.1</v>
      </c>
      <c r="O462" s="45">
        <f>O463+O467</f>
        <v>4418.7999999999993</v>
      </c>
    </row>
    <row r="463" spans="1:16" ht="47.25" x14ac:dyDescent="0.2">
      <c r="A463" s="40"/>
      <c r="B463" s="41" t="s">
        <v>530</v>
      </c>
      <c r="C463" s="42" t="s">
        <v>525</v>
      </c>
      <c r="D463" s="43" t="s">
        <v>86</v>
      </c>
      <c r="E463" s="43" t="s">
        <v>531</v>
      </c>
      <c r="F463" s="44" t="s">
        <v>11</v>
      </c>
      <c r="G463" s="45">
        <f>G464</f>
        <v>4150.8999999999996</v>
      </c>
      <c r="H463" s="45">
        <f>H464</f>
        <v>-647.1</v>
      </c>
      <c r="I463" s="45">
        <f>I464</f>
        <v>3503.7999999999997</v>
      </c>
      <c r="J463" s="46">
        <f>J464</f>
        <v>0</v>
      </c>
      <c r="K463" s="45"/>
      <c r="L463" s="46">
        <f>L464</f>
        <v>0</v>
      </c>
      <c r="M463" s="45">
        <f>M464</f>
        <v>4150.8999999999996</v>
      </c>
      <c r="N463" s="45">
        <f>N464</f>
        <v>-647.1</v>
      </c>
      <c r="O463" s="45">
        <f>O464</f>
        <v>3503.7999999999997</v>
      </c>
    </row>
    <row r="464" spans="1:16" ht="31.5" x14ac:dyDescent="0.2">
      <c r="A464" s="40"/>
      <c r="B464" s="41" t="s">
        <v>38</v>
      </c>
      <c r="C464" s="42" t="s">
        <v>525</v>
      </c>
      <c r="D464" s="43" t="s">
        <v>86</v>
      </c>
      <c r="E464" s="43" t="s">
        <v>532</v>
      </c>
      <c r="F464" s="44" t="s">
        <v>11</v>
      </c>
      <c r="G464" s="45">
        <f>G465+G466</f>
        <v>4150.8999999999996</v>
      </c>
      <c r="H464" s="45">
        <f>SUM(H465)</f>
        <v>-647.1</v>
      </c>
      <c r="I464" s="45">
        <f>I465+I466</f>
        <v>3503.7999999999997</v>
      </c>
      <c r="J464" s="46">
        <f>J465+J466</f>
        <v>0</v>
      </c>
      <c r="K464" s="45"/>
      <c r="L464" s="46">
        <f>L465+L466</f>
        <v>0</v>
      </c>
      <c r="M464" s="45">
        <f>M465+M466</f>
        <v>4150.8999999999996</v>
      </c>
      <c r="N464" s="45">
        <f>N465+N466</f>
        <v>-647.1</v>
      </c>
      <c r="O464" s="45">
        <f>O465+O466</f>
        <v>3503.7999999999997</v>
      </c>
    </row>
    <row r="465" spans="1:15" ht="78.75" x14ac:dyDescent="0.2">
      <c r="A465" s="40"/>
      <c r="B465" s="41" t="s">
        <v>61</v>
      </c>
      <c r="C465" s="42" t="s">
        <v>525</v>
      </c>
      <c r="D465" s="43" t="s">
        <v>86</v>
      </c>
      <c r="E465" s="43" t="s">
        <v>532</v>
      </c>
      <c r="F465" s="44" t="s">
        <v>62</v>
      </c>
      <c r="G465" s="45">
        <v>4140.8999999999996</v>
      </c>
      <c r="H465" s="45">
        <v>-647.1</v>
      </c>
      <c r="I465" s="45">
        <f>4140.9+H465</f>
        <v>3493.7999999999997</v>
      </c>
      <c r="J465" s="47">
        <v>0</v>
      </c>
      <c r="K465" s="45"/>
      <c r="L465" s="47">
        <v>0</v>
      </c>
      <c r="M465" s="45">
        <v>4140.8999999999996</v>
      </c>
      <c r="N465" s="45">
        <f>SUM(H465)</f>
        <v>-647.1</v>
      </c>
      <c r="O465" s="45">
        <f>4140.9+N465</f>
        <v>3493.7999999999997</v>
      </c>
    </row>
    <row r="466" spans="1:15" ht="31.5" x14ac:dyDescent="0.2">
      <c r="A466" s="40"/>
      <c r="B466" s="41" t="s">
        <v>40</v>
      </c>
      <c r="C466" s="42" t="s">
        <v>525</v>
      </c>
      <c r="D466" s="43" t="s">
        <v>86</v>
      </c>
      <c r="E466" s="43" t="s">
        <v>532</v>
      </c>
      <c r="F466" s="44" t="s">
        <v>41</v>
      </c>
      <c r="G466" s="45">
        <v>10</v>
      </c>
      <c r="H466" s="45">
        <f>H467</f>
        <v>0</v>
      </c>
      <c r="I466" s="45">
        <v>10</v>
      </c>
      <c r="J466" s="47">
        <v>0</v>
      </c>
      <c r="K466" s="45">
        <f>K467</f>
        <v>0</v>
      </c>
      <c r="L466" s="47">
        <v>0</v>
      </c>
      <c r="M466" s="45">
        <v>10</v>
      </c>
      <c r="N466" s="45"/>
      <c r="O466" s="45">
        <v>10</v>
      </c>
    </row>
    <row r="467" spans="1:15" ht="47.25" x14ac:dyDescent="0.2">
      <c r="A467" s="40"/>
      <c r="B467" s="41" t="s">
        <v>533</v>
      </c>
      <c r="C467" s="42" t="s">
        <v>525</v>
      </c>
      <c r="D467" s="43" t="s">
        <v>86</v>
      </c>
      <c r="E467" s="43" t="s">
        <v>534</v>
      </c>
      <c r="F467" s="44" t="s">
        <v>11</v>
      </c>
      <c r="G467" s="45">
        <f>G468</f>
        <v>915</v>
      </c>
      <c r="H467" s="45">
        <f>H468+H469</f>
        <v>0</v>
      </c>
      <c r="I467" s="45">
        <f>I468</f>
        <v>915</v>
      </c>
      <c r="J467" s="46">
        <f>J468</f>
        <v>0</v>
      </c>
      <c r="K467" s="45">
        <f>K468+K469</f>
        <v>0</v>
      </c>
      <c r="L467" s="46">
        <f>L468</f>
        <v>0</v>
      </c>
      <c r="M467" s="45">
        <f>M468</f>
        <v>915</v>
      </c>
      <c r="N467" s="45">
        <f>N468</f>
        <v>0</v>
      </c>
      <c r="O467" s="45">
        <f>O468</f>
        <v>915</v>
      </c>
    </row>
    <row r="468" spans="1:15" ht="47.25" x14ac:dyDescent="0.2">
      <c r="A468" s="40"/>
      <c r="B468" s="41" t="s">
        <v>535</v>
      </c>
      <c r="C468" s="42" t="s">
        <v>525</v>
      </c>
      <c r="D468" s="43" t="s">
        <v>86</v>
      </c>
      <c r="E468" s="43" t="s">
        <v>536</v>
      </c>
      <c r="F468" s="44" t="s">
        <v>11</v>
      </c>
      <c r="G468" s="45">
        <f>G469+G470</f>
        <v>915</v>
      </c>
      <c r="H468" s="45"/>
      <c r="I468" s="45">
        <f>I469+I470</f>
        <v>915</v>
      </c>
      <c r="J468" s="46">
        <f>J469+J470</f>
        <v>0</v>
      </c>
      <c r="K468" s="45"/>
      <c r="L468" s="46">
        <f>L469+L470</f>
        <v>0</v>
      </c>
      <c r="M468" s="45">
        <f>M469+M470</f>
        <v>915</v>
      </c>
      <c r="N468" s="45">
        <f>N469+N470</f>
        <v>0</v>
      </c>
      <c r="O468" s="45">
        <f>O469+O470</f>
        <v>915</v>
      </c>
    </row>
    <row r="469" spans="1:15" ht="31.5" x14ac:dyDescent="0.2">
      <c r="A469" s="40"/>
      <c r="B469" s="41" t="s">
        <v>40</v>
      </c>
      <c r="C469" s="42" t="s">
        <v>525</v>
      </c>
      <c r="D469" s="43" t="s">
        <v>86</v>
      </c>
      <c r="E469" s="43" t="s">
        <v>536</v>
      </c>
      <c r="F469" s="44" t="s">
        <v>41</v>
      </c>
      <c r="G469" s="45">
        <f>900000/1000</f>
        <v>900</v>
      </c>
      <c r="H469" s="45"/>
      <c r="I469" s="45">
        <f>900000/1000</f>
        <v>900</v>
      </c>
      <c r="J469" s="47">
        <v>0</v>
      </c>
      <c r="K469" s="45"/>
      <c r="L469" s="47">
        <v>0</v>
      </c>
      <c r="M469" s="45">
        <f>900000/1000</f>
        <v>900</v>
      </c>
      <c r="N469" s="45"/>
      <c r="O469" s="45">
        <f>900000/1000</f>
        <v>900</v>
      </c>
    </row>
    <row r="470" spans="1:15" ht="15.75" x14ac:dyDescent="0.2">
      <c r="A470" s="40"/>
      <c r="B470" s="41" t="s">
        <v>70</v>
      </c>
      <c r="C470" s="42" t="s">
        <v>525</v>
      </c>
      <c r="D470" s="43" t="s">
        <v>86</v>
      </c>
      <c r="E470" s="43" t="s">
        <v>536</v>
      </c>
      <c r="F470" s="44" t="s">
        <v>71</v>
      </c>
      <c r="G470" s="45">
        <f>15000/1000</f>
        <v>15</v>
      </c>
      <c r="H470" s="25">
        <f t="shared" ref="G470:O476" si="74">H471</f>
        <v>0</v>
      </c>
      <c r="I470" s="45">
        <f>15000/1000</f>
        <v>15</v>
      </c>
      <c r="J470" s="47">
        <v>0</v>
      </c>
      <c r="K470" s="25">
        <f t="shared" si="74"/>
        <v>0</v>
      </c>
      <c r="L470" s="47">
        <v>0</v>
      </c>
      <c r="M470" s="45">
        <f>15000/1000</f>
        <v>15</v>
      </c>
      <c r="N470" s="45"/>
      <c r="O470" s="45">
        <f>15000/1000</f>
        <v>15</v>
      </c>
    </row>
    <row r="471" spans="1:15" ht="15.75" x14ac:dyDescent="0.2">
      <c r="A471" s="20" t="s">
        <v>537</v>
      </c>
      <c r="B471" s="21" t="s">
        <v>213</v>
      </c>
      <c r="C471" s="22" t="s">
        <v>525</v>
      </c>
      <c r="D471" s="23" t="s">
        <v>214</v>
      </c>
      <c r="E471" s="23" t="s">
        <v>11</v>
      </c>
      <c r="F471" s="24" t="s">
        <v>11</v>
      </c>
      <c r="G471" s="25">
        <f t="shared" si="74"/>
        <v>10344.1</v>
      </c>
      <c r="H471" s="38">
        <f t="shared" si="74"/>
        <v>0</v>
      </c>
      <c r="I471" s="25">
        <f t="shared" si="74"/>
        <v>10344.1</v>
      </c>
      <c r="J471" s="26">
        <f t="shared" si="74"/>
        <v>0</v>
      </c>
      <c r="K471" s="38">
        <f t="shared" si="74"/>
        <v>0</v>
      </c>
      <c r="L471" s="26">
        <f t="shared" si="74"/>
        <v>0</v>
      </c>
      <c r="M471" s="25">
        <f t="shared" si="74"/>
        <v>10344.1</v>
      </c>
      <c r="N471" s="25">
        <f t="shared" si="74"/>
        <v>0</v>
      </c>
      <c r="O471" s="25">
        <f t="shared" si="74"/>
        <v>10344.1</v>
      </c>
    </row>
    <row r="472" spans="1:15" ht="26.45" customHeight="1" x14ac:dyDescent="0.2">
      <c r="A472" s="33" t="s">
        <v>538</v>
      </c>
      <c r="B472" s="34" t="s">
        <v>261</v>
      </c>
      <c r="C472" s="35" t="s">
        <v>525</v>
      </c>
      <c r="D472" s="36" t="s">
        <v>262</v>
      </c>
      <c r="E472" s="36" t="s">
        <v>11</v>
      </c>
      <c r="F472" s="37" t="s">
        <v>11</v>
      </c>
      <c r="G472" s="38">
        <f t="shared" si="74"/>
        <v>10344.1</v>
      </c>
      <c r="H472" s="45">
        <f t="shared" si="74"/>
        <v>0</v>
      </c>
      <c r="I472" s="38">
        <f t="shared" si="74"/>
        <v>10344.1</v>
      </c>
      <c r="J472" s="39">
        <f t="shared" si="74"/>
        <v>0</v>
      </c>
      <c r="K472" s="45">
        <f t="shared" si="74"/>
        <v>0</v>
      </c>
      <c r="L472" s="39">
        <f t="shared" si="74"/>
        <v>0</v>
      </c>
      <c r="M472" s="38">
        <f t="shared" si="74"/>
        <v>10344.1</v>
      </c>
      <c r="N472" s="38">
        <f t="shared" si="74"/>
        <v>0</v>
      </c>
      <c r="O472" s="38">
        <f t="shared" si="74"/>
        <v>10344.1</v>
      </c>
    </row>
    <row r="473" spans="1:15" ht="31.5" x14ac:dyDescent="0.2">
      <c r="A473" s="40"/>
      <c r="B473" s="41" t="s">
        <v>128</v>
      </c>
      <c r="C473" s="42" t="s">
        <v>525</v>
      </c>
      <c r="D473" s="43" t="s">
        <v>262</v>
      </c>
      <c r="E473" s="43" t="s">
        <v>129</v>
      </c>
      <c r="F473" s="44" t="s">
        <v>11</v>
      </c>
      <c r="G473" s="45">
        <f t="shared" si="74"/>
        <v>10344.1</v>
      </c>
      <c r="H473" s="45">
        <f t="shared" si="74"/>
        <v>0</v>
      </c>
      <c r="I473" s="45">
        <f t="shared" si="74"/>
        <v>10344.1</v>
      </c>
      <c r="J473" s="46">
        <f t="shared" si="74"/>
        <v>0</v>
      </c>
      <c r="K473" s="45">
        <f t="shared" si="74"/>
        <v>0</v>
      </c>
      <c r="L473" s="46">
        <f t="shared" si="74"/>
        <v>0</v>
      </c>
      <c r="M473" s="45">
        <f t="shared" si="74"/>
        <v>10344.1</v>
      </c>
      <c r="N473" s="45">
        <f t="shared" si="74"/>
        <v>0</v>
      </c>
      <c r="O473" s="45">
        <f t="shared" si="74"/>
        <v>10344.1</v>
      </c>
    </row>
    <row r="474" spans="1:15" ht="31.5" x14ac:dyDescent="0.2">
      <c r="A474" s="40"/>
      <c r="B474" s="41" t="s">
        <v>528</v>
      </c>
      <c r="C474" s="42" t="s">
        <v>525</v>
      </c>
      <c r="D474" s="43" t="s">
        <v>262</v>
      </c>
      <c r="E474" s="43" t="s">
        <v>529</v>
      </c>
      <c r="F474" s="44" t="s">
        <v>11</v>
      </c>
      <c r="G474" s="45">
        <f t="shared" si="74"/>
        <v>10344.1</v>
      </c>
      <c r="H474" s="45">
        <f t="shared" si="74"/>
        <v>0</v>
      </c>
      <c r="I474" s="45">
        <f t="shared" si="74"/>
        <v>10344.1</v>
      </c>
      <c r="J474" s="46">
        <f t="shared" si="74"/>
        <v>0</v>
      </c>
      <c r="K474" s="45">
        <f t="shared" si="74"/>
        <v>0</v>
      </c>
      <c r="L474" s="46">
        <f t="shared" si="74"/>
        <v>0</v>
      </c>
      <c r="M474" s="45">
        <f t="shared" si="74"/>
        <v>10344.1</v>
      </c>
      <c r="N474" s="45">
        <f t="shared" si="74"/>
        <v>0</v>
      </c>
      <c r="O474" s="45">
        <f t="shared" si="74"/>
        <v>10344.1</v>
      </c>
    </row>
    <row r="475" spans="1:15" ht="47.25" x14ac:dyDescent="0.2">
      <c r="A475" s="40"/>
      <c r="B475" s="41" t="s">
        <v>539</v>
      </c>
      <c r="C475" s="42" t="s">
        <v>525</v>
      </c>
      <c r="D475" s="43" t="s">
        <v>262</v>
      </c>
      <c r="E475" s="43" t="s">
        <v>540</v>
      </c>
      <c r="F475" s="44" t="s">
        <v>11</v>
      </c>
      <c r="G475" s="45">
        <f t="shared" si="74"/>
        <v>10344.1</v>
      </c>
      <c r="H475" s="45">
        <f t="shared" si="74"/>
        <v>0</v>
      </c>
      <c r="I475" s="45">
        <f t="shared" si="74"/>
        <v>10344.1</v>
      </c>
      <c r="J475" s="46">
        <f t="shared" si="74"/>
        <v>0</v>
      </c>
      <c r="K475" s="45">
        <f t="shared" si="74"/>
        <v>0</v>
      </c>
      <c r="L475" s="46">
        <f t="shared" si="74"/>
        <v>0</v>
      </c>
      <c r="M475" s="45">
        <f t="shared" si="74"/>
        <v>10344.1</v>
      </c>
      <c r="N475" s="45">
        <f t="shared" si="74"/>
        <v>0</v>
      </c>
      <c r="O475" s="45">
        <f t="shared" si="74"/>
        <v>10344.1</v>
      </c>
    </row>
    <row r="476" spans="1:15" ht="32.25" thickBot="1" x14ac:dyDescent="0.25">
      <c r="A476" s="40"/>
      <c r="B476" s="41" t="s">
        <v>134</v>
      </c>
      <c r="C476" s="42" t="s">
        <v>525</v>
      </c>
      <c r="D476" s="43" t="s">
        <v>262</v>
      </c>
      <c r="E476" s="43" t="s">
        <v>541</v>
      </c>
      <c r="F476" s="44" t="s">
        <v>11</v>
      </c>
      <c r="G476" s="45">
        <f t="shared" si="74"/>
        <v>10344.1</v>
      </c>
      <c r="H476" s="54"/>
      <c r="I476" s="45">
        <f t="shared" si="74"/>
        <v>10344.1</v>
      </c>
      <c r="J476" s="46">
        <f t="shared" si="74"/>
        <v>0</v>
      </c>
      <c r="K476" s="54"/>
      <c r="L476" s="46">
        <f t="shared" si="74"/>
        <v>0</v>
      </c>
      <c r="M476" s="45">
        <f t="shared" si="74"/>
        <v>10344.1</v>
      </c>
      <c r="N476" s="45">
        <f t="shared" si="74"/>
        <v>0</v>
      </c>
      <c r="O476" s="45">
        <f t="shared" si="74"/>
        <v>10344.1</v>
      </c>
    </row>
    <row r="477" spans="1:15" ht="48" thickBot="1" x14ac:dyDescent="0.25">
      <c r="A477" s="49"/>
      <c r="B477" s="50" t="s">
        <v>95</v>
      </c>
      <c r="C477" s="51" t="s">
        <v>525</v>
      </c>
      <c r="D477" s="52" t="s">
        <v>262</v>
      </c>
      <c r="E477" s="52" t="s">
        <v>541</v>
      </c>
      <c r="F477" s="53" t="s">
        <v>96</v>
      </c>
      <c r="G477" s="54">
        <v>10344.1</v>
      </c>
      <c r="H477" s="63"/>
      <c r="I477" s="54">
        <v>10344.1</v>
      </c>
      <c r="J477" s="55">
        <v>0</v>
      </c>
      <c r="K477" s="63"/>
      <c r="L477" s="55">
        <v>0</v>
      </c>
      <c r="M477" s="54">
        <v>10344.1</v>
      </c>
      <c r="N477" s="54"/>
      <c r="O477" s="54">
        <v>10344.1</v>
      </c>
    </row>
    <row r="479" spans="1:15" x14ac:dyDescent="0.2">
      <c r="B479" s="302" t="s">
        <v>542</v>
      </c>
      <c r="C479" s="266"/>
      <c r="D479" s="266"/>
      <c r="E479" s="266"/>
      <c r="F479" s="266"/>
      <c r="G479" s="266"/>
      <c r="H479" s="266"/>
      <c r="I479" s="266"/>
      <c r="J479" s="266"/>
      <c r="K479" s="266"/>
      <c r="L479" s="266"/>
      <c r="M479" s="266"/>
      <c r="N479" s="266"/>
      <c r="O479" s="266"/>
    </row>
    <row r="480" spans="1:15" x14ac:dyDescent="0.2">
      <c r="B480" s="266"/>
      <c r="C480" s="266"/>
      <c r="D480" s="266"/>
      <c r="E480" s="266"/>
      <c r="F480" s="266"/>
      <c r="G480" s="266"/>
      <c r="H480" s="266"/>
      <c r="I480" s="266"/>
      <c r="J480" s="266"/>
      <c r="K480" s="266"/>
      <c r="L480" s="266"/>
      <c r="M480" s="266"/>
      <c r="N480" s="266"/>
      <c r="O480" s="266"/>
    </row>
    <row r="481" spans="2:15" x14ac:dyDescent="0.2">
      <c r="B481" s="266"/>
      <c r="C481" s="266"/>
      <c r="D481" s="266"/>
      <c r="E481" s="266"/>
      <c r="F481" s="266"/>
      <c r="G481" s="266"/>
      <c r="H481" s="266"/>
      <c r="I481" s="266"/>
      <c r="J481" s="266"/>
      <c r="K481" s="266"/>
      <c r="L481" s="266"/>
      <c r="M481" s="266"/>
      <c r="N481" s="266"/>
      <c r="O481" s="266"/>
    </row>
  </sheetData>
  <mergeCells count="21">
    <mergeCell ref="C19:F19"/>
    <mergeCell ref="G19:O19"/>
    <mergeCell ref="B479:O481"/>
    <mergeCell ref="B15:G15"/>
    <mergeCell ref="B16:G16"/>
    <mergeCell ref="A17:A18"/>
    <mergeCell ref="B17:B18"/>
    <mergeCell ref="C17:F17"/>
    <mergeCell ref="G17:O17"/>
    <mergeCell ref="A8:O8"/>
    <mergeCell ref="A9:O9"/>
    <mergeCell ref="A10:O10"/>
    <mergeCell ref="C13:F13"/>
    <mergeCell ref="B14:C14"/>
    <mergeCell ref="D14:F14"/>
    <mergeCell ref="J6:O6"/>
    <mergeCell ref="J1:O1"/>
    <mergeCell ref="J2:O2"/>
    <mergeCell ref="J3:O3"/>
    <mergeCell ref="J4:O4"/>
    <mergeCell ref="J5:O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декабрь (2)</vt:lpstr>
      <vt:lpstr>декабрь</vt:lpstr>
      <vt:lpstr>ноябрь</vt:lpstr>
      <vt:lpstr>август (А.Ю.)</vt:lpstr>
      <vt:lpstr>август</vt:lpstr>
      <vt:lpstr>июль</vt:lpstr>
      <vt:lpstr>июнь </vt:lpstr>
      <vt:lpstr>апрель</vt:lpstr>
      <vt:lpstr>март</vt:lpstr>
      <vt:lpstr>февраль (А.Ю.)</vt:lpstr>
      <vt:lpstr>февраль</vt:lpstr>
      <vt:lpstr>январь</vt:lpstr>
      <vt:lpstr>проект на 2024 (уточн.)</vt:lpstr>
      <vt:lpstr>август!Заголовки_для_печати</vt:lpstr>
      <vt:lpstr>'август (А.Ю.)'!Заголовки_для_печати</vt:lpstr>
      <vt:lpstr>апрель!Заголовки_для_печати</vt:lpstr>
      <vt:lpstr>декабрь!Заголовки_для_печати</vt:lpstr>
      <vt:lpstr>'декабрь (2)'!Заголовки_для_печати</vt:lpstr>
      <vt:lpstr>июль!Заголовки_для_печати</vt:lpstr>
      <vt:lpstr>'июнь '!Заголовки_для_печати</vt:lpstr>
      <vt:lpstr>март!Заголовки_для_печати</vt:lpstr>
      <vt:lpstr>ноябрь!Заголовки_для_печати</vt:lpstr>
      <vt:lpstr>'проект на 2024 (уточн.)'!Заголовки_для_печати</vt:lpstr>
      <vt:lpstr>февраль!Заголовки_для_печати</vt:lpstr>
      <vt:lpstr>'февраль (А.Ю.)'!Заголовки_для_печати</vt:lpstr>
      <vt:lpstr>январь!Заголовки_для_печати</vt:lpstr>
      <vt:lpstr>август!Область_печати</vt:lpstr>
      <vt:lpstr>'август (А.Ю.)'!Область_печати</vt:lpstr>
      <vt:lpstr>апрель!Область_печати</vt:lpstr>
      <vt:lpstr>декабрь!Область_печати</vt:lpstr>
      <vt:lpstr>'декабрь (2)'!Область_печати</vt:lpstr>
      <vt:lpstr>июль!Область_печати</vt:lpstr>
      <vt:lpstr>'июнь '!Область_печати</vt:lpstr>
      <vt:lpstr>март!Область_печати</vt:lpstr>
      <vt:lpstr>ноябрь!Область_печати</vt:lpstr>
      <vt:lpstr>'проект на 2024 (уточн.)'!Область_печати</vt:lpstr>
      <vt:lpstr>февраль!Область_печати</vt:lpstr>
      <vt:lpstr>'февраль (А.Ю.)'!Область_печати</vt:lpstr>
      <vt:lpstr>январь!Область_печати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Нагучева Зарина Васильевна</cp:lastModifiedBy>
  <cp:revision/>
  <cp:lastPrinted>2025-04-02T14:45:03Z</cp:lastPrinted>
  <dcterms:created xsi:type="dcterms:W3CDTF">2023-11-08T14:28:38Z</dcterms:created>
  <dcterms:modified xsi:type="dcterms:W3CDTF">2025-06-30T13:28:43Z</dcterms:modified>
</cp:coreProperties>
</file>